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概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<sst xmlns="http://schemas.openxmlformats.org/spreadsheetml/2006/main" count="406" uniqueCount="97">
  <si>
    <t>综合概算表</t>
  </si>
  <si>
    <t>工程名称：平罗县老旧小区改造项目新增电梯工程</t>
  </si>
  <si>
    <r>
      <t>序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号</t>
    </r>
  </si>
  <si>
    <t>项目或费用名称</t>
  </si>
  <si>
    <r>
      <t>概算价值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万元）</t>
    </r>
  </si>
  <si>
    <t>技术经济指标</t>
  </si>
  <si>
    <r>
      <t>占投资额</t>
    </r>
    <r>
      <rPr>
        <sz val="10"/>
        <rFont val="Times New Roman"/>
        <family val="1"/>
        <charset val="0"/>
      </rPr>
      <t>%</t>
    </r>
  </si>
  <si>
    <t>建筑工程费</t>
  </si>
  <si>
    <t>设备购置费</t>
  </si>
  <si>
    <t>安装工程费</t>
  </si>
  <si>
    <r>
      <t>其他</t>
    </r>
    <r>
      <rPr>
        <sz val="10"/>
        <rFont val="Times New Roman"/>
        <family val="1"/>
        <charset val="0"/>
      </rPr>
      <t xml:space="preserve">     </t>
    </r>
    <r>
      <rPr>
        <sz val="10"/>
        <rFont val="宋体"/>
        <charset val="134"/>
      </rPr>
      <t>费用</t>
    </r>
  </si>
  <si>
    <t>合计</t>
  </si>
  <si>
    <t>单位</t>
  </si>
  <si>
    <t>数量</t>
  </si>
  <si>
    <r>
      <t>单位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价值</t>
    </r>
  </si>
  <si>
    <t>Ⅰ</t>
  </si>
  <si>
    <t>工程费用</t>
  </si>
  <si>
    <t>部</t>
  </si>
  <si>
    <t>一</t>
  </si>
  <si>
    <r>
      <t>东方明珠</t>
    </r>
    <r>
      <rPr>
        <b/>
        <sz val="10"/>
        <rFont val="Times New Roman"/>
        <family val="1"/>
        <charset val="0"/>
      </rPr>
      <t>A</t>
    </r>
    <r>
      <rPr>
        <b/>
        <sz val="10"/>
        <rFont val="宋体"/>
        <charset val="134"/>
      </rPr>
      <t>区小区</t>
    </r>
  </si>
  <si>
    <t>土建工程</t>
  </si>
  <si>
    <r>
      <t>连廊</t>
    </r>
    <r>
      <rPr>
        <sz val="10"/>
        <rFont val="Times New Roman"/>
        <family val="1"/>
        <charset val="0"/>
      </rPr>
      <t>2.7m</t>
    </r>
  </si>
  <si>
    <r>
      <t>连廊</t>
    </r>
    <r>
      <rPr>
        <sz val="10"/>
        <rFont val="Times New Roman"/>
        <family val="1"/>
        <charset val="0"/>
      </rPr>
      <t>3.3m</t>
    </r>
  </si>
  <si>
    <t>电梯设备及安装</t>
  </si>
  <si>
    <t>广告位设置</t>
  </si>
  <si>
    <t>电气工程</t>
  </si>
  <si>
    <t>二</t>
  </si>
  <si>
    <r>
      <t>东方明珠</t>
    </r>
    <r>
      <rPr>
        <b/>
        <sz val="10"/>
        <rFont val="Times New Roman"/>
        <family val="1"/>
        <charset val="0"/>
      </rPr>
      <t>B</t>
    </r>
    <r>
      <rPr>
        <b/>
        <sz val="10"/>
        <rFont val="宋体"/>
        <charset val="134"/>
      </rPr>
      <t>区小区</t>
    </r>
  </si>
  <si>
    <t>三</t>
  </si>
  <si>
    <t>古城新苑</t>
  </si>
  <si>
    <t>四</t>
  </si>
  <si>
    <t>阳光城市花园</t>
  </si>
  <si>
    <t>五</t>
  </si>
  <si>
    <t>府地金源小区</t>
  </si>
  <si>
    <t>六</t>
  </si>
  <si>
    <t>祥云都市花园小区</t>
  </si>
  <si>
    <t>七</t>
  </si>
  <si>
    <t>金顺花园</t>
  </si>
  <si>
    <t>八</t>
  </si>
  <si>
    <t>星海北园</t>
  </si>
  <si>
    <t>九</t>
  </si>
  <si>
    <t>锦绣华城小区</t>
  </si>
  <si>
    <t>十</t>
  </si>
  <si>
    <t>唐华丽景</t>
  </si>
  <si>
    <t>十一</t>
  </si>
  <si>
    <t>新利小区</t>
  </si>
  <si>
    <t>十二</t>
  </si>
  <si>
    <t>金水湖畔</t>
  </si>
  <si>
    <t>十三</t>
  </si>
  <si>
    <t>桥馨小区</t>
  </si>
  <si>
    <t>十四</t>
  </si>
  <si>
    <t>康湖水岸</t>
  </si>
  <si>
    <t>十五</t>
  </si>
  <si>
    <t>阳光南苑</t>
  </si>
  <si>
    <t>十六</t>
  </si>
  <si>
    <t>惠景苑</t>
  </si>
  <si>
    <t>十七</t>
  </si>
  <si>
    <t>桥东民生家园</t>
  </si>
  <si>
    <t>十八</t>
  </si>
  <si>
    <t>和平新居</t>
  </si>
  <si>
    <t>十九</t>
  </si>
  <si>
    <r>
      <t>桥馨家园</t>
    </r>
    <r>
      <rPr>
        <b/>
        <sz val="10"/>
        <rFont val="Times New Roman"/>
        <family val="1"/>
        <charset val="0"/>
      </rPr>
      <t>B</t>
    </r>
    <r>
      <rPr>
        <b/>
        <sz val="10"/>
        <rFont val="宋体"/>
        <charset val="134"/>
      </rPr>
      <t>区</t>
    </r>
  </si>
  <si>
    <t>二十</t>
  </si>
  <si>
    <t>荣达水印荣庭</t>
  </si>
  <si>
    <t>二一</t>
  </si>
  <si>
    <t>永康</t>
  </si>
  <si>
    <t>二二</t>
  </si>
  <si>
    <t>永康三期</t>
  </si>
  <si>
    <t>二三</t>
  </si>
  <si>
    <t>金都家园</t>
  </si>
  <si>
    <t>二四</t>
  </si>
  <si>
    <t>渣土处理费</t>
  </si>
  <si>
    <t>m3</t>
  </si>
  <si>
    <t>Ⅱ</t>
  </si>
  <si>
    <t>其他费用</t>
  </si>
  <si>
    <t>项目前期工作咨询费</t>
  </si>
  <si>
    <t>万元</t>
  </si>
  <si>
    <t>地质勘察</t>
  </si>
  <si>
    <t>测量费</t>
  </si>
  <si>
    <t>工程设计费</t>
  </si>
  <si>
    <t>工程招标代理服务费</t>
  </si>
  <si>
    <r>
      <t>BIM</t>
    </r>
    <r>
      <rPr>
        <sz val="10"/>
        <rFont val="宋体"/>
        <charset val="134"/>
      </rPr>
      <t>建模费（设计阶段）</t>
    </r>
  </si>
  <si>
    <r>
      <t>BIM</t>
    </r>
    <r>
      <rPr>
        <sz val="10"/>
        <rFont val="宋体"/>
        <charset val="134"/>
      </rPr>
      <t>审图费（设计阶段）</t>
    </r>
  </si>
  <si>
    <t>工程保险费</t>
  </si>
  <si>
    <t>工程监理费</t>
  </si>
  <si>
    <t>环境影响咨询服务费</t>
  </si>
  <si>
    <t>施工图审查费</t>
  </si>
  <si>
    <t>场地准备及临时设施费</t>
  </si>
  <si>
    <t>工程量清单及招标控制价编制</t>
  </si>
  <si>
    <t>工程结算审核</t>
  </si>
  <si>
    <t>工程竣工决算审核</t>
  </si>
  <si>
    <t>项目检测试验费</t>
  </si>
  <si>
    <t>房屋检测（鉴定）费用</t>
  </si>
  <si>
    <t>Ⅲ</t>
  </si>
  <si>
    <r>
      <t>预备费</t>
    </r>
    <r>
      <rPr>
        <b/>
        <sz val="10"/>
        <rFont val="Times New Roman"/>
        <family val="1"/>
        <charset val="0"/>
      </rPr>
      <t>1%</t>
    </r>
  </si>
  <si>
    <t>建设期利息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</si>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</sst>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_ "/>
    <numFmt numFmtId="179" formatCode="0.000"/>
    <numFmt numFmtId="180" formatCode="0.0"/>
    <numFmt numFmtId="181" formatCode="0.0%"/>
    <numFmt numFmtId="182" formatCode="0_);\(0\)"/>
    <numFmt numFmtId="183" formatCode="0_ "/>
    <numFmt numFmtId="184" formatCode="0.00_ "/>
  </numFmts>
  <fonts count="3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family val="1"/>
      <charset val="0"/>
    </font>
    <font>
      <sz val="11"/>
      <name val="Times New Roman"/>
      <family val="1"/>
      <charset val="0"/>
    </font>
    <font>
      <sz val="11.5"/>
      <name val="Times New Roman"/>
      <charset val="134"/>
    </font>
    <font>
      <sz val="11.5"/>
      <name val="Times New Roman"/>
      <family val="1"/>
      <charset val="0"/>
    </font>
    <font>
      <sz val="11"/>
      <name val="Times New Roman"/>
      <charset val="134"/>
    </font>
    <font>
      <sz val="20"/>
      <name val="宋体"/>
      <charset val="134"/>
    </font>
    <font>
      <sz val="20"/>
      <name val="Times New Roman"/>
      <family val="1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b/>
      <sz val="10"/>
      <name val="汉仪书宋二KW"/>
      <charset val="134"/>
    </font>
    <font>
      <b/>
      <sz val="10"/>
      <name val="宋体"/>
      <charset val="134"/>
    </font>
    <font>
      <b/>
      <sz val="10"/>
      <name val="宋体"/>
      <family val="1"/>
      <charset val="0"/>
      <scheme val="minor"/>
    </font>
    <font>
      <b/>
      <sz val="10"/>
      <name val="宋体"/>
      <charset val="134"/>
      <scheme val="minor"/>
    </font>
    <font>
      <sz val="10"/>
      <name val="宋体"/>
      <family val="1"/>
      <charset val="0"/>
      <scheme val="minor"/>
    </font>
    <font>
      <sz val="10"/>
      <name val="宋体"/>
      <charset val="134"/>
      <scheme val="minor"/>
    </font>
    <font>
      <b/>
      <sz val="1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78" fontId="15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79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10" fontId="15" fillId="0" borderId="2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80" fontId="15" fillId="0" borderId="5" xfId="0" applyNumberFormat="1" applyFont="1" applyFill="1" applyBorder="1" applyAlignment="1">
      <alignment horizontal="center" vertical="center"/>
    </xf>
    <xf numFmtId="179" fontId="15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81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vertical="center"/>
    </xf>
    <xf numFmtId="2" fontId="1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80" fontId="15" fillId="0" borderId="2" xfId="0" applyNumberFormat="1" applyFont="1" applyFill="1" applyBorder="1" applyAlignment="1">
      <alignment horizontal="center" vertical="center"/>
    </xf>
    <xf numFmtId="182" fontId="17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83" fontId="13" fillId="0" borderId="6" xfId="0" applyNumberFormat="1" applyFont="1" applyFill="1" applyBorder="1" applyAlignment="1">
      <alignment horizontal="center" vertical="center"/>
    </xf>
    <xf numFmtId="183" fontId="13" fillId="0" borderId="7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/>
    <xf numFmtId="184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3"/>
  <sheetViews>
    <sheetView tabSelected="1" topLeftCell="A2" workbookViewId="0">
      <selection activeCell="P24" sqref="P24"/>
    </sheetView>
  </sheetViews>
  <sheetFormatPr defaultColWidth="10" defaultRowHeight="15.6"/>
  <cols>
    <col min="1" max="1" width="6.11111111111111" style="1" customWidth="1"/>
    <col min="2" max="2" width="17.4444444444444" style="7" customWidth="1"/>
    <col min="3" max="3" width="11.4444444444444" style="8" customWidth="1"/>
    <col min="4" max="4" width="10.6666666666667" style="8" customWidth="1"/>
    <col min="5" max="5" width="12.1111111111111" style="8" customWidth="1"/>
    <col min="6" max="6" width="8.47222222222222" style="8" customWidth="1"/>
    <col min="7" max="7" width="9.30555555555556" style="8" customWidth="1"/>
    <col min="8" max="8" width="5.27777777777778" style="8" customWidth="1"/>
    <col min="9" max="9" width="7.77777777777778" style="8" customWidth="1"/>
    <col min="10" max="10" width="7.36111111111111" style="8" customWidth="1"/>
    <col min="11" max="11" width="7.77777777777778" style="8" customWidth="1"/>
    <col min="12" max="16384" width="10" style="1"/>
  </cols>
  <sheetData>
    <row r="1" s="1" customFormat="1" ht="26" customHeight="1" spans="1:1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21" customHeight="1" spans="1:11">
      <c r="A2" s="12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</row>
    <row r="3" s="3" customFormat="1" ht="22.5" customHeight="1" spans="1:11">
      <c r="A3" s="15" t="s">
        <v>2</v>
      </c>
      <c r="B3" s="15" t="s">
        <v>3</v>
      </c>
      <c r="C3" s="15" t="s">
        <v>4</v>
      </c>
      <c r="D3" s="16"/>
      <c r="E3" s="16"/>
      <c r="F3" s="17"/>
      <c r="G3" s="17"/>
      <c r="H3" s="18" t="s">
        <v>5</v>
      </c>
      <c r="I3" s="17"/>
      <c r="J3" s="17"/>
      <c r="K3" s="19" t="s">
        <v>6</v>
      </c>
    </row>
    <row r="4" s="3" customFormat="1" ht="33" customHeight="1" spans="1:11">
      <c r="A4" s="20"/>
      <c r="B4" s="16"/>
      <c r="C4" s="15" t="s">
        <v>7</v>
      </c>
      <c r="D4" s="15" t="s">
        <v>8</v>
      </c>
      <c r="E4" s="15" t="s">
        <v>9</v>
      </c>
      <c r="F4" s="15" t="s">
        <v>10</v>
      </c>
      <c r="G4" s="18" t="s">
        <v>11</v>
      </c>
      <c r="H4" s="18" t="s">
        <v>12</v>
      </c>
      <c r="I4" s="18" t="s">
        <v>13</v>
      </c>
      <c r="J4" s="15" t="s">
        <v>14</v>
      </c>
      <c r="K4" s="21"/>
    </row>
    <row r="5" s="4" customFormat="1" ht="21" customHeight="1" spans="1:11">
      <c r="A5" s="22" t="s">
        <v>15</v>
      </c>
      <c r="B5" s="23" t="s">
        <v>16</v>
      </c>
      <c r="C5" s="24">
        <f>C6+C13+C20+C27+C34+C41+C48+C55+C62+C69+C76+C83+C90+C97+C104+C111+C118+C125+C132+C139+C146+C153+C160+C167</f>
        <v>4257.35848</v>
      </c>
      <c r="D5" s="24">
        <f t="shared" ref="D5:I5" si="0">D6+D13+D20+D27+D34+D41+D48+D55+D62+D69+D76+D83+D90+D97+D104+D111+D118+D125+D132+D139+D146+D153+D160</f>
        <v>2183</v>
      </c>
      <c r="E5" s="24">
        <f t="shared" si="0"/>
        <v>1461.61</v>
      </c>
      <c r="F5" s="24"/>
      <c r="G5" s="24">
        <f t="shared" ref="G5:G68" si="1">SUM(C5:F5)</f>
        <v>7901.96848</v>
      </c>
      <c r="H5" s="25" t="s">
        <v>17</v>
      </c>
      <c r="I5" s="26">
        <f t="shared" si="0"/>
        <v>180</v>
      </c>
      <c r="J5" s="27">
        <f t="shared" ref="J5:J7" si="2">G5/I5*10000</f>
        <v>438998.248888889</v>
      </c>
      <c r="K5" s="28">
        <f>G5/G188*100</f>
        <v>89.9609985280521</v>
      </c>
    </row>
    <row r="6" s="5" customFormat="1" ht="21" customHeight="1" outlineLevel="1" spans="1:11">
      <c r="A6" s="18" t="s">
        <v>18</v>
      </c>
      <c r="B6" s="23" t="s">
        <v>19</v>
      </c>
      <c r="C6" s="29">
        <f>C7+C10+C11+C12</f>
        <v>117.0216</v>
      </c>
      <c r="D6" s="29">
        <f>D7+D10+D11+D12</f>
        <v>64</v>
      </c>
      <c r="E6" s="29">
        <f>E7+E10+E11+E12</f>
        <v>51.14</v>
      </c>
      <c r="F6" s="29"/>
      <c r="G6" s="29">
        <f t="shared" si="1"/>
        <v>232.1616</v>
      </c>
      <c r="H6" s="30" t="s">
        <v>17</v>
      </c>
      <c r="I6" s="31">
        <f>I7</f>
        <v>5</v>
      </c>
      <c r="J6" s="31">
        <f t="shared" si="2"/>
        <v>464323.2</v>
      </c>
      <c r="K6" s="32"/>
    </row>
    <row r="7" s="6" customFormat="1" ht="21" customHeight="1" outlineLevel="1" spans="1:11">
      <c r="A7" s="17">
        <v>1</v>
      </c>
      <c r="B7" s="33" t="s">
        <v>20</v>
      </c>
      <c r="C7" s="29">
        <f>SUM(C8:C9)</f>
        <v>116.5216</v>
      </c>
      <c r="D7" s="29"/>
      <c r="E7" s="29"/>
      <c r="F7" s="29"/>
      <c r="G7" s="29">
        <f t="shared" si="1"/>
        <v>116.5216</v>
      </c>
      <c r="H7" s="30" t="s">
        <v>17</v>
      </c>
      <c r="I7" s="31">
        <f>SUM(I8:I9)</f>
        <v>5</v>
      </c>
      <c r="J7" s="31">
        <f t="shared" si="2"/>
        <v>233043.2</v>
      </c>
      <c r="K7" s="32"/>
    </row>
    <row r="8" s="6" customFormat="1" ht="21" customHeight="1" outlineLevel="1" spans="1:11">
      <c r="A8" s="17"/>
      <c r="B8" s="33" t="s">
        <v>21</v>
      </c>
      <c r="C8" s="29">
        <f t="shared" ref="C8:C11" si="3">I8*J8/10000</f>
        <v>46.0078</v>
      </c>
      <c r="D8" s="29"/>
      <c r="E8" s="29"/>
      <c r="F8" s="29"/>
      <c r="G8" s="29">
        <f t="shared" si="1"/>
        <v>46.0078</v>
      </c>
      <c r="H8" s="30" t="s">
        <v>17</v>
      </c>
      <c r="I8" s="31">
        <v>2</v>
      </c>
      <c r="J8" s="31">
        <v>230039</v>
      </c>
      <c r="K8" s="32"/>
    </row>
    <row r="9" s="6" customFormat="1" ht="21" customHeight="1" outlineLevel="1" spans="1:11">
      <c r="A9" s="17"/>
      <c r="B9" s="33" t="s">
        <v>22</v>
      </c>
      <c r="C9" s="29">
        <f t="shared" si="3"/>
        <v>70.5138</v>
      </c>
      <c r="D9" s="29"/>
      <c r="E9" s="29"/>
      <c r="F9" s="29"/>
      <c r="G9" s="29">
        <f t="shared" si="1"/>
        <v>70.5138</v>
      </c>
      <c r="H9" s="30" t="s">
        <v>17</v>
      </c>
      <c r="I9" s="31">
        <v>3</v>
      </c>
      <c r="J9" s="31">
        <v>235046</v>
      </c>
      <c r="K9" s="32"/>
    </row>
    <row r="10" s="6" customFormat="1" ht="21" customHeight="1" outlineLevel="1" spans="1:11">
      <c r="A10" s="17">
        <v>2</v>
      </c>
      <c r="B10" s="33" t="s">
        <v>23</v>
      </c>
      <c r="C10" s="29"/>
      <c r="D10" s="29">
        <f>I10*J10/10000*0.9</f>
        <v>54</v>
      </c>
      <c r="E10" s="29">
        <f>I10*J10/10000*0.1</f>
        <v>6</v>
      </c>
      <c r="F10" s="29"/>
      <c r="G10" s="29">
        <f t="shared" si="1"/>
        <v>60</v>
      </c>
      <c r="H10" s="30" t="s">
        <v>17</v>
      </c>
      <c r="I10" s="31">
        <f>I7</f>
        <v>5</v>
      </c>
      <c r="J10" s="31">
        <v>120000</v>
      </c>
      <c r="K10" s="32"/>
    </row>
    <row r="11" s="6" customFormat="1" ht="21" customHeight="1" outlineLevel="1" spans="1:11">
      <c r="A11" s="17">
        <v>3</v>
      </c>
      <c r="B11" s="33" t="s">
        <v>24</v>
      </c>
      <c r="C11" s="29">
        <f t="shared" si="3"/>
        <v>0.5</v>
      </c>
      <c r="D11" s="29"/>
      <c r="E11" s="29"/>
      <c r="F11" s="29"/>
      <c r="G11" s="29">
        <f t="shared" si="1"/>
        <v>0.5</v>
      </c>
      <c r="H11" s="30" t="s">
        <v>17</v>
      </c>
      <c r="I11" s="31">
        <f>I7</f>
        <v>5</v>
      </c>
      <c r="J11" s="31">
        <v>1000</v>
      </c>
      <c r="K11" s="32"/>
    </row>
    <row r="12" s="6" customFormat="1" ht="21" customHeight="1" outlineLevel="1" spans="1:11">
      <c r="A12" s="17">
        <v>4</v>
      </c>
      <c r="B12" s="33" t="s">
        <v>25</v>
      </c>
      <c r="C12" s="29"/>
      <c r="D12" s="29">
        <v>10</v>
      </c>
      <c r="E12" s="29">
        <f>55.14-D12</f>
        <v>45.14</v>
      </c>
      <c r="F12" s="29"/>
      <c r="G12" s="29">
        <f t="shared" si="1"/>
        <v>55.14</v>
      </c>
      <c r="H12" s="30" t="s">
        <v>17</v>
      </c>
      <c r="I12" s="31">
        <f>I7</f>
        <v>5</v>
      </c>
      <c r="J12" s="31">
        <f t="shared" ref="J12:J14" si="4">G12/I12*10000</f>
        <v>110280</v>
      </c>
      <c r="K12" s="32"/>
    </row>
    <row r="13" s="6" customFormat="1" ht="21" customHeight="1" outlineLevel="1" spans="1:11">
      <c r="A13" s="18" t="s">
        <v>26</v>
      </c>
      <c r="B13" s="23" t="s">
        <v>27</v>
      </c>
      <c r="C13" s="29">
        <f>C14+C17+C18+C19</f>
        <v>186.834</v>
      </c>
      <c r="D13" s="29">
        <f>D14+D17+D18+D19</f>
        <v>97.4</v>
      </c>
      <c r="E13" s="29">
        <f>E14+E17+E18+E19</f>
        <v>64.2</v>
      </c>
      <c r="F13" s="29"/>
      <c r="G13" s="29">
        <f t="shared" si="1"/>
        <v>348.434</v>
      </c>
      <c r="H13" s="30" t="s">
        <v>17</v>
      </c>
      <c r="I13" s="31">
        <f>I14</f>
        <v>8</v>
      </c>
      <c r="J13" s="31">
        <f t="shared" si="4"/>
        <v>435542.5</v>
      </c>
      <c r="K13" s="32"/>
    </row>
    <row r="14" s="6" customFormat="1" ht="21" customHeight="1" outlineLevel="1" spans="1:11">
      <c r="A14" s="17">
        <v>1</v>
      </c>
      <c r="B14" s="33" t="s">
        <v>20</v>
      </c>
      <c r="C14" s="29">
        <f>SUM(C15:C16)</f>
        <v>186.034</v>
      </c>
      <c r="D14" s="29"/>
      <c r="E14" s="29"/>
      <c r="F14" s="29"/>
      <c r="G14" s="29">
        <f t="shared" si="1"/>
        <v>186.034</v>
      </c>
      <c r="H14" s="30" t="s">
        <v>17</v>
      </c>
      <c r="I14" s="31">
        <f>SUM(I15:I16)</f>
        <v>8</v>
      </c>
      <c r="J14" s="31">
        <f t="shared" si="4"/>
        <v>232542.5</v>
      </c>
      <c r="K14" s="32"/>
    </row>
    <row r="15" s="6" customFormat="1" ht="21" customHeight="1" outlineLevel="1" spans="1:11">
      <c r="A15" s="17"/>
      <c r="B15" s="33" t="s">
        <v>21</v>
      </c>
      <c r="C15" s="29">
        <f t="shared" ref="C15:C18" si="5">I15*J15/10000</f>
        <v>92.0156</v>
      </c>
      <c r="D15" s="29"/>
      <c r="E15" s="29"/>
      <c r="F15" s="29"/>
      <c r="G15" s="29">
        <f t="shared" si="1"/>
        <v>92.0156</v>
      </c>
      <c r="H15" s="30" t="s">
        <v>17</v>
      </c>
      <c r="I15" s="31">
        <v>4</v>
      </c>
      <c r="J15" s="31">
        <f>$J$8</f>
        <v>230039</v>
      </c>
      <c r="K15" s="32"/>
    </row>
    <row r="16" s="6" customFormat="1" ht="21" customHeight="1" outlineLevel="1" spans="1:11">
      <c r="A16" s="17"/>
      <c r="B16" s="33" t="s">
        <v>22</v>
      </c>
      <c r="C16" s="29">
        <f t="shared" si="5"/>
        <v>94.0184</v>
      </c>
      <c r="D16" s="29"/>
      <c r="E16" s="29"/>
      <c r="F16" s="29"/>
      <c r="G16" s="29">
        <f t="shared" si="1"/>
        <v>94.0184</v>
      </c>
      <c r="H16" s="30" t="s">
        <v>17</v>
      </c>
      <c r="I16" s="31">
        <v>4</v>
      </c>
      <c r="J16" s="31">
        <f>$J$9</f>
        <v>235046</v>
      </c>
      <c r="K16" s="32"/>
    </row>
    <row r="17" s="6" customFormat="1" ht="21" customHeight="1" outlineLevel="1" spans="1:11">
      <c r="A17" s="17">
        <v>2</v>
      </c>
      <c r="B17" s="33" t="s">
        <v>23</v>
      </c>
      <c r="C17" s="29"/>
      <c r="D17" s="29">
        <f>I17*J17/10000*0.9</f>
        <v>86.4</v>
      </c>
      <c r="E17" s="29">
        <f>I17*J17/10000*0.1</f>
        <v>9.6</v>
      </c>
      <c r="F17" s="29"/>
      <c r="G17" s="29">
        <f t="shared" si="1"/>
        <v>96</v>
      </c>
      <c r="H17" s="30" t="s">
        <v>17</v>
      </c>
      <c r="I17" s="31">
        <f>I14</f>
        <v>8</v>
      </c>
      <c r="J17" s="31">
        <v>120000</v>
      </c>
      <c r="K17" s="32"/>
    </row>
    <row r="18" s="6" customFormat="1" ht="21" customHeight="1" outlineLevel="1" spans="1:11">
      <c r="A18" s="17">
        <v>3</v>
      </c>
      <c r="B18" s="33" t="s">
        <v>24</v>
      </c>
      <c r="C18" s="29">
        <f t="shared" si="5"/>
        <v>0.8</v>
      </c>
      <c r="D18" s="29"/>
      <c r="E18" s="29"/>
      <c r="F18" s="29"/>
      <c r="G18" s="29">
        <f t="shared" si="1"/>
        <v>0.8</v>
      </c>
      <c r="H18" s="30" t="s">
        <v>17</v>
      </c>
      <c r="I18" s="31">
        <f>I14</f>
        <v>8</v>
      </c>
      <c r="J18" s="31">
        <f>$J$11</f>
        <v>1000</v>
      </c>
      <c r="K18" s="32"/>
    </row>
    <row r="19" s="6" customFormat="1" ht="21" customHeight="1" outlineLevel="1" spans="1:11">
      <c r="A19" s="17">
        <v>4</v>
      </c>
      <c r="B19" s="33" t="s">
        <v>25</v>
      </c>
      <c r="C19" s="29"/>
      <c r="D19" s="29">
        <v>11</v>
      </c>
      <c r="E19" s="29">
        <f>65.6-D19</f>
        <v>54.6</v>
      </c>
      <c r="F19" s="29"/>
      <c r="G19" s="29">
        <f t="shared" si="1"/>
        <v>65.6</v>
      </c>
      <c r="H19" s="30" t="s">
        <v>17</v>
      </c>
      <c r="I19" s="31">
        <f>I14</f>
        <v>8</v>
      </c>
      <c r="J19" s="31">
        <f t="shared" ref="J19:J21" si="6">G19/I19*10000</f>
        <v>82000</v>
      </c>
      <c r="K19" s="32"/>
    </row>
    <row r="20" s="6" customFormat="1" ht="21" customHeight="1" outlineLevel="1" spans="1:11">
      <c r="A20" s="18" t="s">
        <v>28</v>
      </c>
      <c r="B20" s="23" t="s">
        <v>29</v>
      </c>
      <c r="C20" s="29">
        <f>C21+C24+C25+C26</f>
        <v>93.417</v>
      </c>
      <c r="D20" s="29">
        <f>D21+D24+D25+D26</f>
        <v>53.2</v>
      </c>
      <c r="E20" s="29">
        <f>E21+E24+E25+E26</f>
        <v>46.84</v>
      </c>
      <c r="F20" s="29"/>
      <c r="G20" s="29">
        <f t="shared" si="1"/>
        <v>193.457</v>
      </c>
      <c r="H20" s="30" t="s">
        <v>17</v>
      </c>
      <c r="I20" s="31">
        <f>I21</f>
        <v>4</v>
      </c>
      <c r="J20" s="31">
        <f t="shared" si="6"/>
        <v>483642.5</v>
      </c>
      <c r="K20" s="32"/>
    </row>
    <row r="21" s="6" customFormat="1" ht="21" customHeight="1" outlineLevel="1" spans="1:11">
      <c r="A21" s="17">
        <v>1</v>
      </c>
      <c r="B21" s="33" t="s">
        <v>20</v>
      </c>
      <c r="C21" s="29">
        <f>SUM(C22:C23)</f>
        <v>93.017</v>
      </c>
      <c r="D21" s="29"/>
      <c r="E21" s="29"/>
      <c r="F21" s="29"/>
      <c r="G21" s="29">
        <f t="shared" si="1"/>
        <v>93.017</v>
      </c>
      <c r="H21" s="30" t="s">
        <v>17</v>
      </c>
      <c r="I21" s="31">
        <f>SUM(I22:I23)</f>
        <v>4</v>
      </c>
      <c r="J21" s="31">
        <f t="shared" si="6"/>
        <v>232542.5</v>
      </c>
      <c r="K21" s="32"/>
    </row>
    <row r="22" s="6" customFormat="1" ht="21" customHeight="1" outlineLevel="1" spans="1:11">
      <c r="A22" s="17"/>
      <c r="B22" s="33" t="s">
        <v>21</v>
      </c>
      <c r="C22" s="29">
        <f t="shared" ref="C22:C25" si="7">I22*J22/10000</f>
        <v>46.0078</v>
      </c>
      <c r="D22" s="29"/>
      <c r="E22" s="29"/>
      <c r="F22" s="29"/>
      <c r="G22" s="29">
        <f t="shared" si="1"/>
        <v>46.0078</v>
      </c>
      <c r="H22" s="30" t="s">
        <v>17</v>
      </c>
      <c r="I22" s="31">
        <v>2</v>
      </c>
      <c r="J22" s="31">
        <f>$J$8</f>
        <v>230039</v>
      </c>
      <c r="K22" s="32"/>
    </row>
    <row r="23" s="6" customFormat="1" ht="21" customHeight="1" outlineLevel="1" spans="1:11">
      <c r="A23" s="17"/>
      <c r="B23" s="33" t="s">
        <v>22</v>
      </c>
      <c r="C23" s="29">
        <f t="shared" si="7"/>
        <v>47.0092</v>
      </c>
      <c r="D23" s="29"/>
      <c r="E23" s="29"/>
      <c r="F23" s="29"/>
      <c r="G23" s="29">
        <f t="shared" si="1"/>
        <v>47.0092</v>
      </c>
      <c r="H23" s="30" t="s">
        <v>17</v>
      </c>
      <c r="I23" s="31">
        <v>2</v>
      </c>
      <c r="J23" s="31">
        <f>$J$9</f>
        <v>235046</v>
      </c>
      <c r="K23" s="32"/>
    </row>
    <row r="24" s="6" customFormat="1" ht="21" customHeight="1" outlineLevel="1" spans="1:11">
      <c r="A24" s="17">
        <v>2</v>
      </c>
      <c r="B24" s="33" t="s">
        <v>23</v>
      </c>
      <c r="C24" s="29"/>
      <c r="D24" s="29">
        <f>I24*J24/10000*0.9</f>
        <v>43.2</v>
      </c>
      <c r="E24" s="29">
        <f>I24*J24/10000*0.1</f>
        <v>4.8</v>
      </c>
      <c r="F24" s="29"/>
      <c r="G24" s="29">
        <f t="shared" si="1"/>
        <v>48</v>
      </c>
      <c r="H24" s="30" t="s">
        <v>17</v>
      </c>
      <c r="I24" s="31">
        <f>I21</f>
        <v>4</v>
      </c>
      <c r="J24" s="31">
        <v>120000</v>
      </c>
      <c r="K24" s="32"/>
    </row>
    <row r="25" s="6" customFormat="1" ht="21" customHeight="1" outlineLevel="1" spans="1:11">
      <c r="A25" s="17">
        <v>3</v>
      </c>
      <c r="B25" s="33" t="s">
        <v>24</v>
      </c>
      <c r="C25" s="29">
        <f t="shared" si="7"/>
        <v>0.4</v>
      </c>
      <c r="D25" s="29"/>
      <c r="E25" s="29"/>
      <c r="F25" s="29"/>
      <c r="G25" s="29">
        <f t="shared" si="1"/>
        <v>0.4</v>
      </c>
      <c r="H25" s="30" t="s">
        <v>17</v>
      </c>
      <c r="I25" s="31">
        <f>I21</f>
        <v>4</v>
      </c>
      <c r="J25" s="31">
        <f>$J$11</f>
        <v>1000</v>
      </c>
      <c r="K25" s="32"/>
    </row>
    <row r="26" s="6" customFormat="1" ht="21" customHeight="1" outlineLevel="1" spans="1:11">
      <c r="A26" s="17">
        <v>4</v>
      </c>
      <c r="B26" s="33" t="s">
        <v>25</v>
      </c>
      <c r="C26" s="29"/>
      <c r="D26" s="29">
        <v>10</v>
      </c>
      <c r="E26" s="29">
        <f>52.04-D26</f>
        <v>42.04</v>
      </c>
      <c r="F26" s="29"/>
      <c r="G26" s="29">
        <f t="shared" si="1"/>
        <v>52.04</v>
      </c>
      <c r="H26" s="30" t="s">
        <v>17</v>
      </c>
      <c r="I26" s="31">
        <f>I21</f>
        <v>4</v>
      </c>
      <c r="J26" s="31">
        <f t="shared" ref="J26:J28" si="8">G26/I26*10000</f>
        <v>130100</v>
      </c>
      <c r="K26" s="32"/>
    </row>
    <row r="27" s="6" customFormat="1" ht="21" customHeight="1" outlineLevel="1" spans="1:11">
      <c r="A27" s="18" t="s">
        <v>30</v>
      </c>
      <c r="B27" s="23" t="s">
        <v>31</v>
      </c>
      <c r="C27" s="29">
        <f>C28+C31+C32+C33</f>
        <v>349.8634</v>
      </c>
      <c r="D27" s="29">
        <f>D28+D31+D32+D33</f>
        <v>152.4</v>
      </c>
      <c r="E27" s="29">
        <f>E28+E31+E32+E33</f>
        <v>97</v>
      </c>
      <c r="F27" s="29"/>
      <c r="G27" s="29">
        <f t="shared" si="1"/>
        <v>599.2634</v>
      </c>
      <c r="H27" s="30" t="s">
        <v>17</v>
      </c>
      <c r="I27" s="31">
        <f>I28</f>
        <v>13</v>
      </c>
      <c r="J27" s="31">
        <f t="shared" si="8"/>
        <v>460971.846153846</v>
      </c>
      <c r="K27" s="32"/>
    </row>
    <row r="28" s="6" customFormat="1" ht="21" customHeight="1" outlineLevel="1" spans="1:11">
      <c r="A28" s="17">
        <v>1</v>
      </c>
      <c r="B28" s="33" t="s">
        <v>20</v>
      </c>
      <c r="C28" s="29">
        <f>SUM(C29:C30)</f>
        <v>348.5634</v>
      </c>
      <c r="D28" s="29"/>
      <c r="E28" s="29"/>
      <c r="F28" s="29"/>
      <c r="G28" s="29">
        <f t="shared" si="1"/>
        <v>348.5634</v>
      </c>
      <c r="H28" s="30" t="s">
        <v>17</v>
      </c>
      <c r="I28" s="31">
        <v>13</v>
      </c>
      <c r="J28" s="31">
        <f t="shared" si="8"/>
        <v>268125.692307692</v>
      </c>
      <c r="K28" s="32"/>
    </row>
    <row r="29" s="6" customFormat="1" ht="21" customHeight="1" outlineLevel="1" spans="1:11">
      <c r="A29" s="17"/>
      <c r="B29" s="33" t="s">
        <v>21</v>
      </c>
      <c r="C29" s="29">
        <f t="shared" ref="C29:C32" si="9">I29*J29/10000</f>
        <v>184.0312</v>
      </c>
      <c r="D29" s="29"/>
      <c r="E29" s="29"/>
      <c r="F29" s="29"/>
      <c r="G29" s="29">
        <f t="shared" si="1"/>
        <v>184.0312</v>
      </c>
      <c r="H29" s="30" t="s">
        <v>17</v>
      </c>
      <c r="I29" s="31">
        <v>8</v>
      </c>
      <c r="J29" s="31">
        <f>$J$8</f>
        <v>230039</v>
      </c>
      <c r="K29" s="32"/>
    </row>
    <row r="30" s="6" customFormat="1" ht="21" customHeight="1" outlineLevel="1" spans="1:11">
      <c r="A30" s="17"/>
      <c r="B30" s="33" t="s">
        <v>22</v>
      </c>
      <c r="C30" s="29">
        <f t="shared" si="9"/>
        <v>164.5322</v>
      </c>
      <c r="D30" s="29"/>
      <c r="E30" s="29"/>
      <c r="F30" s="29"/>
      <c r="G30" s="29">
        <f t="shared" si="1"/>
        <v>164.5322</v>
      </c>
      <c r="H30" s="30" t="s">
        <v>17</v>
      </c>
      <c r="I30" s="31">
        <v>7</v>
      </c>
      <c r="J30" s="31">
        <f>$J$9</f>
        <v>235046</v>
      </c>
      <c r="K30" s="32"/>
    </row>
    <row r="31" s="6" customFormat="1" ht="21" customHeight="1" outlineLevel="1" spans="1:11">
      <c r="A31" s="17">
        <v>2</v>
      </c>
      <c r="B31" s="33" t="s">
        <v>23</v>
      </c>
      <c r="C31" s="29"/>
      <c r="D31" s="29">
        <f>I31*J31/10000*0.9</f>
        <v>140.4</v>
      </c>
      <c r="E31" s="29">
        <f>I31*J31/10000*0.1</f>
        <v>15.6</v>
      </c>
      <c r="F31" s="29"/>
      <c r="G31" s="29">
        <f t="shared" si="1"/>
        <v>156</v>
      </c>
      <c r="H31" s="30" t="s">
        <v>17</v>
      </c>
      <c r="I31" s="31">
        <f>I28</f>
        <v>13</v>
      </c>
      <c r="J31" s="31">
        <v>120000</v>
      </c>
      <c r="K31" s="32"/>
    </row>
    <row r="32" s="6" customFormat="1" ht="21" customHeight="1" outlineLevel="1" spans="1:11">
      <c r="A32" s="17">
        <v>3</v>
      </c>
      <c r="B32" s="33" t="s">
        <v>24</v>
      </c>
      <c r="C32" s="29">
        <f t="shared" si="9"/>
        <v>1.3</v>
      </c>
      <c r="D32" s="29"/>
      <c r="E32" s="29"/>
      <c r="F32" s="29"/>
      <c r="G32" s="29">
        <f t="shared" si="1"/>
        <v>1.3</v>
      </c>
      <c r="H32" s="30" t="s">
        <v>17</v>
      </c>
      <c r="I32" s="31">
        <f>I28</f>
        <v>13</v>
      </c>
      <c r="J32" s="31">
        <f>$J$11</f>
        <v>1000</v>
      </c>
      <c r="K32" s="32"/>
    </row>
    <row r="33" s="6" customFormat="1" ht="21" customHeight="1" outlineLevel="1" spans="1:11">
      <c r="A33" s="17">
        <v>4</v>
      </c>
      <c r="B33" s="33" t="s">
        <v>25</v>
      </c>
      <c r="C33" s="29"/>
      <c r="D33" s="29">
        <v>12</v>
      </c>
      <c r="E33" s="29">
        <f>93.4-D33</f>
        <v>81.4</v>
      </c>
      <c r="F33" s="29"/>
      <c r="G33" s="29">
        <f t="shared" si="1"/>
        <v>93.4</v>
      </c>
      <c r="H33" s="30" t="s">
        <v>17</v>
      </c>
      <c r="I33" s="31">
        <f>I28</f>
        <v>13</v>
      </c>
      <c r="J33" s="31">
        <f t="shared" ref="J33:J35" si="10">G33/I33*10000</f>
        <v>71846.1538461538</v>
      </c>
      <c r="K33" s="32"/>
    </row>
    <row r="34" s="6" customFormat="1" ht="21" customHeight="1" outlineLevel="1" spans="1:11">
      <c r="A34" s="18" t="s">
        <v>32</v>
      </c>
      <c r="B34" s="23" t="s">
        <v>33</v>
      </c>
      <c r="C34" s="29">
        <f>C35+C38+C39+C40</f>
        <v>233.5425</v>
      </c>
      <c r="D34" s="29">
        <f>D35+D38+D39+D40</f>
        <v>119</v>
      </c>
      <c r="E34" s="29">
        <f>E35+E38+E39+E40</f>
        <v>75.38</v>
      </c>
      <c r="F34" s="29"/>
      <c r="G34" s="29">
        <f t="shared" si="1"/>
        <v>427.9225</v>
      </c>
      <c r="H34" s="30" t="s">
        <v>17</v>
      </c>
      <c r="I34" s="31">
        <f>I35</f>
        <v>10</v>
      </c>
      <c r="J34" s="31">
        <f t="shared" si="10"/>
        <v>427922.5</v>
      </c>
      <c r="K34" s="32"/>
    </row>
    <row r="35" s="6" customFormat="1" ht="21" customHeight="1" outlineLevel="1" spans="1:11">
      <c r="A35" s="17">
        <v>1</v>
      </c>
      <c r="B35" s="33" t="s">
        <v>20</v>
      </c>
      <c r="C35" s="29">
        <f>SUM(C36:C37)</f>
        <v>232.5425</v>
      </c>
      <c r="D35" s="29"/>
      <c r="E35" s="29"/>
      <c r="F35" s="29"/>
      <c r="G35" s="29">
        <f t="shared" si="1"/>
        <v>232.5425</v>
      </c>
      <c r="H35" s="30" t="s">
        <v>17</v>
      </c>
      <c r="I35" s="31">
        <f>SUM(I36:I37)</f>
        <v>10</v>
      </c>
      <c r="J35" s="31">
        <f t="shared" si="10"/>
        <v>232542.5</v>
      </c>
      <c r="K35" s="32"/>
    </row>
    <row r="36" s="6" customFormat="1" ht="21" customHeight="1" outlineLevel="1" spans="1:11">
      <c r="A36" s="17"/>
      <c r="B36" s="33" t="s">
        <v>21</v>
      </c>
      <c r="C36" s="29">
        <f t="shared" ref="C36:C39" si="11">I36*J36/10000</f>
        <v>115.0195</v>
      </c>
      <c r="D36" s="29"/>
      <c r="E36" s="29"/>
      <c r="F36" s="29"/>
      <c r="G36" s="29">
        <f t="shared" si="1"/>
        <v>115.0195</v>
      </c>
      <c r="H36" s="30" t="s">
        <v>17</v>
      </c>
      <c r="I36" s="31">
        <v>5</v>
      </c>
      <c r="J36" s="31">
        <f>$J$8</f>
        <v>230039</v>
      </c>
      <c r="K36" s="32"/>
    </row>
    <row r="37" s="6" customFormat="1" ht="21" customHeight="1" outlineLevel="1" spans="1:11">
      <c r="A37" s="17"/>
      <c r="B37" s="33" t="s">
        <v>22</v>
      </c>
      <c r="C37" s="29">
        <f t="shared" si="11"/>
        <v>117.523</v>
      </c>
      <c r="D37" s="29"/>
      <c r="E37" s="29"/>
      <c r="F37" s="29"/>
      <c r="G37" s="29">
        <f t="shared" si="1"/>
        <v>117.523</v>
      </c>
      <c r="H37" s="30" t="s">
        <v>17</v>
      </c>
      <c r="I37" s="31">
        <v>5</v>
      </c>
      <c r="J37" s="31">
        <f>$J$9</f>
        <v>235046</v>
      </c>
      <c r="K37" s="32"/>
    </row>
    <row r="38" s="6" customFormat="1" ht="21" customHeight="1" outlineLevel="1" spans="1:11">
      <c r="A38" s="17">
        <v>2</v>
      </c>
      <c r="B38" s="33" t="s">
        <v>23</v>
      </c>
      <c r="C38" s="29"/>
      <c r="D38" s="29">
        <f>I38*J38/10000*0.9</f>
        <v>108</v>
      </c>
      <c r="E38" s="29">
        <f>I38*J38/10000*0.1</f>
        <v>12</v>
      </c>
      <c r="F38" s="29"/>
      <c r="G38" s="29">
        <f t="shared" si="1"/>
        <v>120</v>
      </c>
      <c r="H38" s="30" t="s">
        <v>17</v>
      </c>
      <c r="I38" s="31">
        <f>I35</f>
        <v>10</v>
      </c>
      <c r="J38" s="31">
        <v>120000</v>
      </c>
      <c r="K38" s="32"/>
    </row>
    <row r="39" s="6" customFormat="1" ht="21" customHeight="1" outlineLevel="1" spans="1:11">
      <c r="A39" s="17">
        <v>3</v>
      </c>
      <c r="B39" s="33" t="s">
        <v>24</v>
      </c>
      <c r="C39" s="29">
        <f t="shared" si="11"/>
        <v>1</v>
      </c>
      <c r="D39" s="29"/>
      <c r="E39" s="29"/>
      <c r="F39" s="29"/>
      <c r="G39" s="29">
        <f t="shared" si="1"/>
        <v>1</v>
      </c>
      <c r="H39" s="30" t="s">
        <v>17</v>
      </c>
      <c r="I39" s="31">
        <f>I35</f>
        <v>10</v>
      </c>
      <c r="J39" s="31">
        <f>$J$11</f>
        <v>1000</v>
      </c>
      <c r="K39" s="32"/>
    </row>
    <row r="40" s="6" customFormat="1" ht="21" customHeight="1" outlineLevel="1" spans="1:11">
      <c r="A40" s="17">
        <v>4</v>
      </c>
      <c r="B40" s="33" t="s">
        <v>25</v>
      </c>
      <c r="C40" s="29"/>
      <c r="D40" s="29">
        <v>11</v>
      </c>
      <c r="E40" s="29">
        <f>74.38-D40</f>
        <v>63.38</v>
      </c>
      <c r="F40" s="29"/>
      <c r="G40" s="29">
        <f t="shared" si="1"/>
        <v>74.38</v>
      </c>
      <c r="H40" s="30" t="s">
        <v>17</v>
      </c>
      <c r="I40" s="31">
        <f>I35</f>
        <v>10</v>
      </c>
      <c r="J40" s="31">
        <f t="shared" ref="J40:J42" si="12">G40/I40*10000</f>
        <v>74380</v>
      </c>
      <c r="K40" s="32"/>
    </row>
    <row r="41" s="6" customFormat="1" ht="21" customHeight="1" outlineLevel="1" spans="1:11">
      <c r="A41" s="18" t="s">
        <v>34</v>
      </c>
      <c r="B41" s="23" t="s">
        <v>35</v>
      </c>
      <c r="C41" s="29">
        <f>C42+C45+C46+C47</f>
        <v>140.1255</v>
      </c>
      <c r="D41" s="29">
        <f>D42+D45+D46+D47</f>
        <v>74.8</v>
      </c>
      <c r="E41" s="29">
        <f>E42+E45+E46+E47</f>
        <v>55.43</v>
      </c>
      <c r="F41" s="29"/>
      <c r="G41" s="29">
        <f t="shared" si="1"/>
        <v>270.3555</v>
      </c>
      <c r="H41" s="30" t="s">
        <v>17</v>
      </c>
      <c r="I41" s="31">
        <f>I42</f>
        <v>6</v>
      </c>
      <c r="J41" s="31">
        <f t="shared" si="12"/>
        <v>450592.5</v>
      </c>
      <c r="K41" s="32"/>
    </row>
    <row r="42" s="6" customFormat="1" ht="21" customHeight="1" outlineLevel="1" spans="1:11">
      <c r="A42" s="17">
        <v>1</v>
      </c>
      <c r="B42" s="33" t="s">
        <v>20</v>
      </c>
      <c r="C42" s="29">
        <f>SUM(C43:C44)</f>
        <v>139.5255</v>
      </c>
      <c r="D42" s="29"/>
      <c r="E42" s="29"/>
      <c r="F42" s="29"/>
      <c r="G42" s="29">
        <f t="shared" si="1"/>
        <v>139.5255</v>
      </c>
      <c r="H42" s="30" t="s">
        <v>17</v>
      </c>
      <c r="I42" s="31">
        <f>SUM(I43:I44)</f>
        <v>6</v>
      </c>
      <c r="J42" s="31">
        <f t="shared" si="12"/>
        <v>232542.5</v>
      </c>
      <c r="K42" s="32"/>
    </row>
    <row r="43" s="6" customFormat="1" ht="21" customHeight="1" outlineLevel="1" spans="1:11">
      <c r="A43" s="17"/>
      <c r="B43" s="33" t="s">
        <v>21</v>
      </c>
      <c r="C43" s="29">
        <f t="shared" ref="C43:C46" si="13">I43*J43/10000</f>
        <v>69.0117</v>
      </c>
      <c r="D43" s="29"/>
      <c r="E43" s="29"/>
      <c r="F43" s="29"/>
      <c r="G43" s="29">
        <f t="shared" si="1"/>
        <v>69.0117</v>
      </c>
      <c r="H43" s="30" t="s">
        <v>17</v>
      </c>
      <c r="I43" s="31">
        <v>3</v>
      </c>
      <c r="J43" s="31">
        <f>$J$8</f>
        <v>230039</v>
      </c>
      <c r="K43" s="32"/>
    </row>
    <row r="44" s="6" customFormat="1" ht="21" customHeight="1" outlineLevel="1" spans="1:11">
      <c r="A44" s="17"/>
      <c r="B44" s="33" t="s">
        <v>22</v>
      </c>
      <c r="C44" s="29">
        <f t="shared" si="13"/>
        <v>70.5138</v>
      </c>
      <c r="D44" s="29"/>
      <c r="E44" s="29"/>
      <c r="F44" s="29"/>
      <c r="G44" s="29">
        <f t="shared" si="1"/>
        <v>70.5138</v>
      </c>
      <c r="H44" s="30" t="s">
        <v>17</v>
      </c>
      <c r="I44" s="31">
        <v>3</v>
      </c>
      <c r="J44" s="31">
        <f>$J$9</f>
        <v>235046</v>
      </c>
      <c r="K44" s="32"/>
    </row>
    <row r="45" s="6" customFormat="1" ht="21" customHeight="1" outlineLevel="1" spans="1:11">
      <c r="A45" s="17">
        <v>2</v>
      </c>
      <c r="B45" s="33" t="s">
        <v>23</v>
      </c>
      <c r="C45" s="29"/>
      <c r="D45" s="29">
        <f>I45*J45/10000*0.9</f>
        <v>64.8</v>
      </c>
      <c r="E45" s="29">
        <f>I45*J45/10000*0.1</f>
        <v>7.2</v>
      </c>
      <c r="F45" s="29"/>
      <c r="G45" s="29">
        <f t="shared" si="1"/>
        <v>72</v>
      </c>
      <c r="H45" s="30" t="s">
        <v>17</v>
      </c>
      <c r="I45" s="31">
        <f>I42</f>
        <v>6</v>
      </c>
      <c r="J45" s="31">
        <v>120000</v>
      </c>
      <c r="K45" s="32"/>
    </row>
    <row r="46" s="6" customFormat="1" ht="21" customHeight="1" outlineLevel="1" spans="1:11">
      <c r="A46" s="17">
        <v>3</v>
      </c>
      <c r="B46" s="33" t="s">
        <v>24</v>
      </c>
      <c r="C46" s="29">
        <f t="shared" si="13"/>
        <v>0.6</v>
      </c>
      <c r="D46" s="29"/>
      <c r="E46" s="29"/>
      <c r="F46" s="29"/>
      <c r="G46" s="29">
        <f t="shared" si="1"/>
        <v>0.6</v>
      </c>
      <c r="H46" s="30" t="s">
        <v>17</v>
      </c>
      <c r="I46" s="31">
        <f>I42</f>
        <v>6</v>
      </c>
      <c r="J46" s="31">
        <f>$J$11</f>
        <v>1000</v>
      </c>
      <c r="K46" s="32"/>
    </row>
    <row r="47" s="6" customFormat="1" ht="21" customHeight="1" outlineLevel="1" spans="1:11">
      <c r="A47" s="17">
        <v>4</v>
      </c>
      <c r="B47" s="33" t="s">
        <v>25</v>
      </c>
      <c r="C47" s="29"/>
      <c r="D47" s="29">
        <v>10</v>
      </c>
      <c r="E47" s="29">
        <f>58.23-D47</f>
        <v>48.23</v>
      </c>
      <c r="F47" s="29"/>
      <c r="G47" s="29">
        <f t="shared" si="1"/>
        <v>58.23</v>
      </c>
      <c r="H47" s="30" t="s">
        <v>17</v>
      </c>
      <c r="I47" s="31">
        <f>I42</f>
        <v>6</v>
      </c>
      <c r="J47" s="31">
        <f t="shared" ref="J47:J49" si="14">G47/I47*10000</f>
        <v>97050</v>
      </c>
      <c r="K47" s="32"/>
    </row>
    <row r="48" s="6" customFormat="1" ht="21" customHeight="1" outlineLevel="1" spans="1:11">
      <c r="A48" s="18" t="s">
        <v>36</v>
      </c>
      <c r="B48" s="23" t="s">
        <v>37</v>
      </c>
      <c r="C48" s="29">
        <f>C49+C52+C53+C54</f>
        <v>234.0432</v>
      </c>
      <c r="D48" s="29">
        <f>D49+D52+D53+D54</f>
        <v>120</v>
      </c>
      <c r="E48" s="29">
        <f>E49+E52+E53+E54</f>
        <v>72.92</v>
      </c>
      <c r="F48" s="29"/>
      <c r="G48" s="29">
        <f t="shared" si="1"/>
        <v>426.9632</v>
      </c>
      <c r="H48" s="30" t="s">
        <v>17</v>
      </c>
      <c r="I48" s="31">
        <f>I49</f>
        <v>10</v>
      </c>
      <c r="J48" s="31">
        <f t="shared" si="14"/>
        <v>426963.2</v>
      </c>
      <c r="K48" s="32"/>
    </row>
    <row r="49" s="6" customFormat="1" ht="21" customHeight="1" outlineLevel="1" spans="1:11">
      <c r="A49" s="17">
        <v>1</v>
      </c>
      <c r="B49" s="33" t="s">
        <v>20</v>
      </c>
      <c r="C49" s="29">
        <f>SUM(C50:C51)</f>
        <v>233.0432</v>
      </c>
      <c r="D49" s="29"/>
      <c r="E49" s="29"/>
      <c r="F49" s="29"/>
      <c r="G49" s="29">
        <f t="shared" si="1"/>
        <v>233.0432</v>
      </c>
      <c r="H49" s="30" t="s">
        <v>17</v>
      </c>
      <c r="I49" s="31">
        <f>SUM(I50:I51)</f>
        <v>10</v>
      </c>
      <c r="J49" s="31">
        <f t="shared" si="14"/>
        <v>233043.2</v>
      </c>
      <c r="K49" s="32"/>
    </row>
    <row r="50" s="6" customFormat="1" ht="21" customHeight="1" outlineLevel="1" spans="1:11">
      <c r="A50" s="17"/>
      <c r="B50" s="33" t="s">
        <v>21</v>
      </c>
      <c r="C50" s="29">
        <f t="shared" ref="C50:C53" si="15">I50*J50/10000</f>
        <v>92.0156</v>
      </c>
      <c r="D50" s="29"/>
      <c r="E50" s="29"/>
      <c r="F50" s="29"/>
      <c r="G50" s="29">
        <f t="shared" si="1"/>
        <v>92.0156</v>
      </c>
      <c r="H50" s="30" t="s">
        <v>17</v>
      </c>
      <c r="I50" s="31">
        <f>5-1</f>
        <v>4</v>
      </c>
      <c r="J50" s="31">
        <f>$J$8</f>
        <v>230039</v>
      </c>
      <c r="K50" s="32"/>
    </row>
    <row r="51" s="6" customFormat="1" ht="21" customHeight="1" outlineLevel="1" spans="1:11">
      <c r="A51" s="17"/>
      <c r="B51" s="33" t="s">
        <v>22</v>
      </c>
      <c r="C51" s="29">
        <f t="shared" si="15"/>
        <v>141.0276</v>
      </c>
      <c r="D51" s="29"/>
      <c r="E51" s="29"/>
      <c r="F51" s="29"/>
      <c r="G51" s="29">
        <f t="shared" si="1"/>
        <v>141.0276</v>
      </c>
      <c r="H51" s="30" t="s">
        <v>17</v>
      </c>
      <c r="I51" s="31">
        <v>6</v>
      </c>
      <c r="J51" s="31">
        <f>$J$9</f>
        <v>235046</v>
      </c>
      <c r="K51" s="32"/>
    </row>
    <row r="52" s="6" customFormat="1" ht="21" customHeight="1" outlineLevel="1" spans="1:11">
      <c r="A52" s="17">
        <v>2</v>
      </c>
      <c r="B52" s="33" t="s">
        <v>23</v>
      </c>
      <c r="C52" s="29"/>
      <c r="D52" s="29">
        <f>I52*J52/10000*0.9</f>
        <v>108</v>
      </c>
      <c r="E52" s="29">
        <f>I52*J52/10000*0.1</f>
        <v>12</v>
      </c>
      <c r="F52" s="29"/>
      <c r="G52" s="29">
        <f t="shared" si="1"/>
        <v>120</v>
      </c>
      <c r="H52" s="30" t="s">
        <v>17</v>
      </c>
      <c r="I52" s="31">
        <f>I49</f>
        <v>10</v>
      </c>
      <c r="J52" s="31">
        <v>120000</v>
      </c>
      <c r="K52" s="32"/>
    </row>
    <row r="53" s="6" customFormat="1" ht="21" customHeight="1" outlineLevel="1" spans="1:11">
      <c r="A53" s="17">
        <v>3</v>
      </c>
      <c r="B53" s="33" t="s">
        <v>24</v>
      </c>
      <c r="C53" s="29">
        <f t="shared" si="15"/>
        <v>1</v>
      </c>
      <c r="D53" s="29"/>
      <c r="E53" s="29"/>
      <c r="F53" s="29"/>
      <c r="G53" s="29">
        <f t="shared" si="1"/>
        <v>1</v>
      </c>
      <c r="H53" s="30" t="s">
        <v>17</v>
      </c>
      <c r="I53" s="31">
        <f>I49</f>
        <v>10</v>
      </c>
      <c r="J53" s="31">
        <f>$J$11</f>
        <v>1000</v>
      </c>
      <c r="K53" s="32"/>
    </row>
    <row r="54" s="6" customFormat="1" ht="21" customHeight="1" outlineLevel="1" spans="1:11">
      <c r="A54" s="17">
        <v>4</v>
      </c>
      <c r="B54" s="33" t="s">
        <v>25</v>
      </c>
      <c r="C54" s="29"/>
      <c r="D54" s="29">
        <v>12</v>
      </c>
      <c r="E54" s="29">
        <f>72.92-D54</f>
        <v>60.92</v>
      </c>
      <c r="F54" s="29"/>
      <c r="G54" s="29">
        <f t="shared" si="1"/>
        <v>72.92</v>
      </c>
      <c r="H54" s="30" t="s">
        <v>17</v>
      </c>
      <c r="I54" s="31">
        <f>I49</f>
        <v>10</v>
      </c>
      <c r="J54" s="31">
        <f t="shared" ref="J54:J56" si="16">G54/I54*10000</f>
        <v>72920</v>
      </c>
      <c r="K54" s="32"/>
    </row>
    <row r="55" s="6" customFormat="1" ht="21" customHeight="1" outlineLevel="1" spans="1:11">
      <c r="A55" s="18" t="s">
        <v>38</v>
      </c>
      <c r="B55" s="23" t="s">
        <v>39</v>
      </c>
      <c r="C55" s="29">
        <f>C56+C59+C60+C61</f>
        <v>233.5425</v>
      </c>
      <c r="D55" s="29">
        <f>D56+D59+D60+D61</f>
        <v>120</v>
      </c>
      <c r="E55" s="29">
        <f>E56+E59+E60+E61</f>
        <v>72.92</v>
      </c>
      <c r="F55" s="29"/>
      <c r="G55" s="29">
        <f t="shared" si="1"/>
        <v>426.4625</v>
      </c>
      <c r="H55" s="30" t="s">
        <v>17</v>
      </c>
      <c r="I55" s="31">
        <f>I56</f>
        <v>10</v>
      </c>
      <c r="J55" s="31">
        <f t="shared" si="16"/>
        <v>426462.5</v>
      </c>
      <c r="K55" s="32"/>
    </row>
    <row r="56" s="6" customFormat="1" ht="21" customHeight="1" outlineLevel="1" spans="1:11">
      <c r="A56" s="17">
        <v>1</v>
      </c>
      <c r="B56" s="33" t="s">
        <v>20</v>
      </c>
      <c r="C56" s="29">
        <f>SUM(C57:C58)</f>
        <v>232.5425</v>
      </c>
      <c r="D56" s="29"/>
      <c r="E56" s="29"/>
      <c r="F56" s="29"/>
      <c r="G56" s="29">
        <f t="shared" si="1"/>
        <v>232.5425</v>
      </c>
      <c r="H56" s="30" t="s">
        <v>17</v>
      </c>
      <c r="I56" s="31">
        <f>SUM(I57:I58)</f>
        <v>10</v>
      </c>
      <c r="J56" s="31">
        <f t="shared" si="16"/>
        <v>232542.5</v>
      </c>
      <c r="K56" s="32"/>
    </row>
    <row r="57" s="6" customFormat="1" ht="21" customHeight="1" outlineLevel="1" spans="1:11">
      <c r="A57" s="17"/>
      <c r="B57" s="33" t="s">
        <v>21</v>
      </c>
      <c r="C57" s="29">
        <f t="shared" ref="C57:C60" si="17">I57*J57/10000</f>
        <v>115.0195</v>
      </c>
      <c r="D57" s="29"/>
      <c r="E57" s="29"/>
      <c r="F57" s="29"/>
      <c r="G57" s="29">
        <f t="shared" si="1"/>
        <v>115.0195</v>
      </c>
      <c r="H57" s="30" t="s">
        <v>17</v>
      </c>
      <c r="I57" s="31">
        <f>6-1</f>
        <v>5</v>
      </c>
      <c r="J57" s="31">
        <f>$J$8</f>
        <v>230039</v>
      </c>
      <c r="K57" s="32"/>
    </row>
    <row r="58" s="6" customFormat="1" ht="21" customHeight="1" outlineLevel="1" spans="1:11">
      <c r="A58" s="17"/>
      <c r="B58" s="33" t="s">
        <v>22</v>
      </c>
      <c r="C58" s="29">
        <f t="shared" si="17"/>
        <v>117.523</v>
      </c>
      <c r="D58" s="29"/>
      <c r="E58" s="29"/>
      <c r="F58" s="29"/>
      <c r="G58" s="29">
        <f t="shared" si="1"/>
        <v>117.523</v>
      </c>
      <c r="H58" s="30" t="s">
        <v>17</v>
      </c>
      <c r="I58" s="31">
        <v>5</v>
      </c>
      <c r="J58" s="31">
        <f>$J$9</f>
        <v>235046</v>
      </c>
      <c r="K58" s="32"/>
    </row>
    <row r="59" s="6" customFormat="1" ht="21" customHeight="1" outlineLevel="1" spans="1:11">
      <c r="A59" s="17">
        <v>2</v>
      </c>
      <c r="B59" s="33" t="s">
        <v>23</v>
      </c>
      <c r="C59" s="29"/>
      <c r="D59" s="29">
        <f>I59*J59/10000*0.9</f>
        <v>108</v>
      </c>
      <c r="E59" s="29">
        <f>I59*J59/10000*0.1</f>
        <v>12</v>
      </c>
      <c r="F59" s="29"/>
      <c r="G59" s="29">
        <f t="shared" si="1"/>
        <v>120</v>
      </c>
      <c r="H59" s="30" t="s">
        <v>17</v>
      </c>
      <c r="I59" s="31">
        <f>I56</f>
        <v>10</v>
      </c>
      <c r="J59" s="31">
        <v>120000</v>
      </c>
      <c r="K59" s="32"/>
    </row>
    <row r="60" s="6" customFormat="1" ht="21" customHeight="1" outlineLevel="1" spans="1:11">
      <c r="A60" s="17">
        <v>3</v>
      </c>
      <c r="B60" s="33" t="s">
        <v>24</v>
      </c>
      <c r="C60" s="29">
        <f t="shared" si="17"/>
        <v>1</v>
      </c>
      <c r="D60" s="29"/>
      <c r="E60" s="29"/>
      <c r="F60" s="29"/>
      <c r="G60" s="29">
        <f t="shared" si="1"/>
        <v>1</v>
      </c>
      <c r="H60" s="30" t="s">
        <v>17</v>
      </c>
      <c r="I60" s="31">
        <f>I56</f>
        <v>10</v>
      </c>
      <c r="J60" s="31">
        <f>$J$11</f>
        <v>1000</v>
      </c>
      <c r="K60" s="32"/>
    </row>
    <row r="61" s="6" customFormat="1" ht="21" customHeight="1" outlineLevel="1" spans="1:11">
      <c r="A61" s="17">
        <v>4</v>
      </c>
      <c r="B61" s="33" t="s">
        <v>25</v>
      </c>
      <c r="C61" s="29"/>
      <c r="D61" s="29">
        <v>12</v>
      </c>
      <c r="E61" s="29">
        <f>72.92-D61</f>
        <v>60.92</v>
      </c>
      <c r="F61" s="29"/>
      <c r="G61" s="29">
        <f t="shared" si="1"/>
        <v>72.92</v>
      </c>
      <c r="H61" s="30" t="s">
        <v>17</v>
      </c>
      <c r="I61" s="31">
        <f>I56</f>
        <v>10</v>
      </c>
      <c r="J61" s="31">
        <f t="shared" ref="J61:J63" si="18">G61/I61*10000</f>
        <v>72920</v>
      </c>
      <c r="K61" s="32"/>
    </row>
    <row r="62" s="6" customFormat="1" ht="21" customHeight="1" outlineLevel="1" spans="1:11">
      <c r="A62" s="18" t="s">
        <v>40</v>
      </c>
      <c r="B62" s="23" t="s">
        <v>41</v>
      </c>
      <c r="C62" s="29">
        <f>C63+C66+C67+C68</f>
        <v>186.834</v>
      </c>
      <c r="D62" s="29">
        <f>D63+D66+D67+D68</f>
        <v>97.4</v>
      </c>
      <c r="E62" s="29">
        <f>E63+E66+E67+E68</f>
        <v>64.2</v>
      </c>
      <c r="F62" s="29"/>
      <c r="G62" s="29">
        <f t="shared" si="1"/>
        <v>348.434</v>
      </c>
      <c r="H62" s="30" t="s">
        <v>17</v>
      </c>
      <c r="I62" s="31">
        <f>I63</f>
        <v>8</v>
      </c>
      <c r="J62" s="31">
        <f t="shared" si="18"/>
        <v>435542.5</v>
      </c>
      <c r="K62" s="32"/>
    </row>
    <row r="63" s="6" customFormat="1" ht="21" customHeight="1" outlineLevel="1" spans="1:11">
      <c r="A63" s="17">
        <v>1</v>
      </c>
      <c r="B63" s="33" t="s">
        <v>20</v>
      </c>
      <c r="C63" s="29">
        <f>SUM(C64:C65)</f>
        <v>186.034</v>
      </c>
      <c r="D63" s="29"/>
      <c r="E63" s="29"/>
      <c r="F63" s="29"/>
      <c r="G63" s="29">
        <f t="shared" si="1"/>
        <v>186.034</v>
      </c>
      <c r="H63" s="30" t="s">
        <v>17</v>
      </c>
      <c r="I63" s="31">
        <f>SUM(I64:I65)</f>
        <v>8</v>
      </c>
      <c r="J63" s="31">
        <f t="shared" si="18"/>
        <v>232542.5</v>
      </c>
      <c r="K63" s="32"/>
    </row>
    <row r="64" s="6" customFormat="1" ht="21" customHeight="1" outlineLevel="1" spans="1:11">
      <c r="A64" s="17"/>
      <c r="B64" s="33" t="s">
        <v>21</v>
      </c>
      <c r="C64" s="29">
        <f t="shared" ref="C64:C67" si="19">I64*J64/10000</f>
        <v>92.0156</v>
      </c>
      <c r="D64" s="29"/>
      <c r="E64" s="29"/>
      <c r="F64" s="29"/>
      <c r="G64" s="29">
        <f t="shared" si="1"/>
        <v>92.0156</v>
      </c>
      <c r="H64" s="30" t="s">
        <v>17</v>
      </c>
      <c r="I64" s="31">
        <v>4</v>
      </c>
      <c r="J64" s="31">
        <f>$J$8</f>
        <v>230039</v>
      </c>
      <c r="K64" s="32"/>
    </row>
    <row r="65" s="6" customFormat="1" ht="21" customHeight="1" outlineLevel="1" spans="1:11">
      <c r="A65" s="17"/>
      <c r="B65" s="33" t="s">
        <v>22</v>
      </c>
      <c r="C65" s="29">
        <f t="shared" si="19"/>
        <v>94.0184</v>
      </c>
      <c r="D65" s="29"/>
      <c r="E65" s="29"/>
      <c r="F65" s="29"/>
      <c r="G65" s="29">
        <f t="shared" si="1"/>
        <v>94.0184</v>
      </c>
      <c r="H65" s="30" t="s">
        <v>17</v>
      </c>
      <c r="I65" s="31">
        <v>4</v>
      </c>
      <c r="J65" s="31">
        <f>$J$9</f>
        <v>235046</v>
      </c>
      <c r="K65" s="32"/>
    </row>
    <row r="66" s="6" customFormat="1" ht="21" customHeight="1" outlineLevel="1" spans="1:11">
      <c r="A66" s="17">
        <v>2</v>
      </c>
      <c r="B66" s="33" t="s">
        <v>23</v>
      </c>
      <c r="C66" s="29"/>
      <c r="D66" s="29">
        <f>I66*J66/10000*0.9</f>
        <v>86.4</v>
      </c>
      <c r="E66" s="29">
        <f>I66*J66/10000*0.1</f>
        <v>9.6</v>
      </c>
      <c r="F66" s="29"/>
      <c r="G66" s="29">
        <f t="shared" si="1"/>
        <v>96</v>
      </c>
      <c r="H66" s="30" t="s">
        <v>17</v>
      </c>
      <c r="I66" s="31">
        <f>I63</f>
        <v>8</v>
      </c>
      <c r="J66" s="31">
        <v>120000</v>
      </c>
      <c r="K66" s="32"/>
    </row>
    <row r="67" s="6" customFormat="1" ht="21" customHeight="1" outlineLevel="1" spans="1:11">
      <c r="A67" s="17">
        <v>3</v>
      </c>
      <c r="B67" s="33" t="s">
        <v>24</v>
      </c>
      <c r="C67" s="29">
        <f t="shared" si="19"/>
        <v>0.8</v>
      </c>
      <c r="D67" s="29"/>
      <c r="E67" s="29"/>
      <c r="F67" s="29"/>
      <c r="G67" s="29">
        <f t="shared" si="1"/>
        <v>0.8</v>
      </c>
      <c r="H67" s="30" t="s">
        <v>17</v>
      </c>
      <c r="I67" s="31">
        <f>I63</f>
        <v>8</v>
      </c>
      <c r="J67" s="31">
        <f>$J$11</f>
        <v>1000</v>
      </c>
      <c r="K67" s="32"/>
    </row>
    <row r="68" s="6" customFormat="1" ht="21" customHeight="1" outlineLevel="1" spans="1:11">
      <c r="A68" s="17">
        <v>4</v>
      </c>
      <c r="B68" s="33" t="s">
        <v>25</v>
      </c>
      <c r="C68" s="29"/>
      <c r="D68" s="29">
        <v>11</v>
      </c>
      <c r="E68" s="29">
        <f>65.6-D68</f>
        <v>54.6</v>
      </c>
      <c r="F68" s="29"/>
      <c r="G68" s="29">
        <f t="shared" si="1"/>
        <v>65.6</v>
      </c>
      <c r="H68" s="30" t="s">
        <v>17</v>
      </c>
      <c r="I68" s="31">
        <f>I63</f>
        <v>8</v>
      </c>
      <c r="J68" s="31">
        <f t="shared" ref="J68:J70" si="20">G68/I68*10000</f>
        <v>82000</v>
      </c>
      <c r="K68" s="32"/>
    </row>
    <row r="69" s="6" customFormat="1" ht="21" customHeight="1" outlineLevel="1" spans="1:11">
      <c r="A69" s="18" t="s">
        <v>42</v>
      </c>
      <c r="B69" s="23" t="s">
        <v>43</v>
      </c>
      <c r="C69" s="29">
        <f>C70+C73+C74+C75</f>
        <v>233.5425</v>
      </c>
      <c r="D69" s="29">
        <f>D70+D73+D74+D75</f>
        <v>120</v>
      </c>
      <c r="E69" s="29">
        <f>E70+E73+E74+E75</f>
        <v>72.92</v>
      </c>
      <c r="F69" s="29"/>
      <c r="G69" s="29">
        <f t="shared" ref="G69:G132" si="21">SUM(C69:F69)</f>
        <v>426.4625</v>
      </c>
      <c r="H69" s="30" t="s">
        <v>17</v>
      </c>
      <c r="I69" s="31">
        <f>I70</f>
        <v>10</v>
      </c>
      <c r="J69" s="31">
        <f t="shared" si="20"/>
        <v>426462.5</v>
      </c>
      <c r="K69" s="32"/>
    </row>
    <row r="70" s="6" customFormat="1" ht="21" customHeight="1" outlineLevel="1" spans="1:11">
      <c r="A70" s="17">
        <v>1</v>
      </c>
      <c r="B70" s="33" t="s">
        <v>20</v>
      </c>
      <c r="C70" s="29">
        <f>SUM(C71:C72)</f>
        <v>232.5425</v>
      </c>
      <c r="D70" s="29"/>
      <c r="E70" s="29"/>
      <c r="F70" s="29"/>
      <c r="G70" s="29">
        <f t="shared" si="21"/>
        <v>232.5425</v>
      </c>
      <c r="H70" s="30" t="s">
        <v>17</v>
      </c>
      <c r="I70" s="31">
        <f>SUM(I71:I72)</f>
        <v>10</v>
      </c>
      <c r="J70" s="31">
        <f t="shared" si="20"/>
        <v>232542.5</v>
      </c>
      <c r="K70" s="32"/>
    </row>
    <row r="71" s="6" customFormat="1" ht="21" customHeight="1" outlineLevel="1" spans="1:11">
      <c r="A71" s="17"/>
      <c r="B71" s="33" t="s">
        <v>21</v>
      </c>
      <c r="C71" s="29">
        <f t="shared" ref="C71:C74" si="22">I71*J71/10000</f>
        <v>115.0195</v>
      </c>
      <c r="D71" s="29"/>
      <c r="E71" s="29"/>
      <c r="F71" s="29"/>
      <c r="G71" s="29">
        <f t="shared" si="21"/>
        <v>115.0195</v>
      </c>
      <c r="H71" s="30" t="s">
        <v>17</v>
      </c>
      <c r="I71" s="31">
        <v>5</v>
      </c>
      <c r="J71" s="31">
        <f>$J$8</f>
        <v>230039</v>
      </c>
      <c r="K71" s="32"/>
    </row>
    <row r="72" s="6" customFormat="1" ht="21" customHeight="1" outlineLevel="1" spans="1:11">
      <c r="A72" s="17"/>
      <c r="B72" s="33" t="s">
        <v>22</v>
      </c>
      <c r="C72" s="29">
        <f t="shared" si="22"/>
        <v>117.523</v>
      </c>
      <c r="D72" s="29"/>
      <c r="E72" s="29"/>
      <c r="F72" s="29"/>
      <c r="G72" s="29">
        <f t="shared" si="21"/>
        <v>117.523</v>
      </c>
      <c r="H72" s="30" t="s">
        <v>17</v>
      </c>
      <c r="I72" s="31">
        <v>5</v>
      </c>
      <c r="J72" s="31">
        <f>$J$9</f>
        <v>235046</v>
      </c>
      <c r="K72" s="32"/>
    </row>
    <row r="73" s="6" customFormat="1" ht="21" customHeight="1" outlineLevel="1" spans="1:11">
      <c r="A73" s="17">
        <v>2</v>
      </c>
      <c r="B73" s="33" t="s">
        <v>23</v>
      </c>
      <c r="C73" s="29"/>
      <c r="D73" s="29">
        <f>I73*J73/10000*0.9</f>
        <v>108</v>
      </c>
      <c r="E73" s="29">
        <f>I73*J73/10000*0.1</f>
        <v>12</v>
      </c>
      <c r="F73" s="29"/>
      <c r="G73" s="29">
        <f t="shared" si="21"/>
        <v>120</v>
      </c>
      <c r="H73" s="30" t="s">
        <v>17</v>
      </c>
      <c r="I73" s="31">
        <f>I70</f>
        <v>10</v>
      </c>
      <c r="J73" s="31">
        <v>120000</v>
      </c>
      <c r="K73" s="32"/>
    </row>
    <row r="74" s="6" customFormat="1" ht="21" customHeight="1" outlineLevel="1" spans="1:11">
      <c r="A74" s="17">
        <v>3</v>
      </c>
      <c r="B74" s="33" t="s">
        <v>24</v>
      </c>
      <c r="C74" s="29">
        <f t="shared" si="22"/>
        <v>1</v>
      </c>
      <c r="D74" s="29"/>
      <c r="E74" s="29"/>
      <c r="F74" s="29"/>
      <c r="G74" s="29">
        <f t="shared" si="21"/>
        <v>1</v>
      </c>
      <c r="H74" s="30" t="s">
        <v>17</v>
      </c>
      <c r="I74" s="31">
        <f>I70</f>
        <v>10</v>
      </c>
      <c r="J74" s="31">
        <f>$J$11</f>
        <v>1000</v>
      </c>
      <c r="K74" s="32"/>
    </row>
    <row r="75" s="6" customFormat="1" ht="21" customHeight="1" outlineLevel="1" spans="1:11">
      <c r="A75" s="17">
        <v>4</v>
      </c>
      <c r="B75" s="33" t="s">
        <v>25</v>
      </c>
      <c r="C75" s="29"/>
      <c r="D75" s="29">
        <v>12</v>
      </c>
      <c r="E75" s="29">
        <f>72.92-D75</f>
        <v>60.92</v>
      </c>
      <c r="F75" s="29"/>
      <c r="G75" s="29">
        <f t="shared" si="21"/>
        <v>72.92</v>
      </c>
      <c r="H75" s="30" t="s">
        <v>17</v>
      </c>
      <c r="I75" s="31">
        <f>I70</f>
        <v>10</v>
      </c>
      <c r="J75" s="31">
        <f t="shared" ref="J75:J77" si="23">G75/I75*10000</f>
        <v>72920</v>
      </c>
      <c r="K75" s="32"/>
    </row>
    <row r="76" s="6" customFormat="1" ht="21" customHeight="1" outlineLevel="1" spans="1:11">
      <c r="A76" s="18" t="s">
        <v>44</v>
      </c>
      <c r="B76" s="23" t="s">
        <v>45</v>
      </c>
      <c r="C76" s="29">
        <f>C77+C80+C81+C82</f>
        <v>233.5425</v>
      </c>
      <c r="D76" s="29">
        <f>D77+D80+D81+D82</f>
        <v>120</v>
      </c>
      <c r="E76" s="29">
        <f>E77+E80+E81+E82</f>
        <v>72.92</v>
      </c>
      <c r="F76" s="29"/>
      <c r="G76" s="29">
        <f t="shared" si="21"/>
        <v>426.4625</v>
      </c>
      <c r="H76" s="30" t="s">
        <v>17</v>
      </c>
      <c r="I76" s="31">
        <f>I77</f>
        <v>10</v>
      </c>
      <c r="J76" s="31">
        <f t="shared" si="23"/>
        <v>426462.5</v>
      </c>
      <c r="K76" s="32"/>
    </row>
    <row r="77" s="6" customFormat="1" ht="21" customHeight="1" outlineLevel="1" spans="1:11">
      <c r="A77" s="17">
        <v>1</v>
      </c>
      <c r="B77" s="33" t="s">
        <v>20</v>
      </c>
      <c r="C77" s="29">
        <f>SUM(C78:C79)</f>
        <v>232.5425</v>
      </c>
      <c r="D77" s="29"/>
      <c r="E77" s="29"/>
      <c r="F77" s="29"/>
      <c r="G77" s="29">
        <f t="shared" si="21"/>
        <v>232.5425</v>
      </c>
      <c r="H77" s="30" t="s">
        <v>17</v>
      </c>
      <c r="I77" s="31">
        <f>SUM(I78:I79)</f>
        <v>10</v>
      </c>
      <c r="J77" s="31">
        <f t="shared" si="23"/>
        <v>232542.5</v>
      </c>
      <c r="K77" s="32"/>
    </row>
    <row r="78" s="6" customFormat="1" ht="21" customHeight="1" outlineLevel="1" spans="1:11">
      <c r="A78" s="17"/>
      <c r="B78" s="33" t="s">
        <v>21</v>
      </c>
      <c r="C78" s="29">
        <f t="shared" ref="C78:C81" si="24">I78*J78/10000</f>
        <v>115.0195</v>
      </c>
      <c r="D78" s="29"/>
      <c r="E78" s="29"/>
      <c r="F78" s="29"/>
      <c r="G78" s="29">
        <f t="shared" si="21"/>
        <v>115.0195</v>
      </c>
      <c r="H78" s="30" t="s">
        <v>17</v>
      </c>
      <c r="I78" s="31">
        <v>5</v>
      </c>
      <c r="J78" s="31">
        <f>$J$8</f>
        <v>230039</v>
      </c>
      <c r="K78" s="32"/>
    </row>
    <row r="79" s="6" customFormat="1" ht="21" customHeight="1" outlineLevel="1" spans="1:11">
      <c r="A79" s="17"/>
      <c r="B79" s="33" t="s">
        <v>22</v>
      </c>
      <c r="C79" s="29">
        <f t="shared" si="24"/>
        <v>117.523</v>
      </c>
      <c r="D79" s="29"/>
      <c r="E79" s="29"/>
      <c r="F79" s="29"/>
      <c r="G79" s="29">
        <f t="shared" si="21"/>
        <v>117.523</v>
      </c>
      <c r="H79" s="30" t="s">
        <v>17</v>
      </c>
      <c r="I79" s="31">
        <v>5</v>
      </c>
      <c r="J79" s="31">
        <f>$J$9</f>
        <v>235046</v>
      </c>
      <c r="K79" s="32"/>
    </row>
    <row r="80" s="6" customFormat="1" ht="21" customHeight="1" outlineLevel="1" spans="1:11">
      <c r="A80" s="17">
        <v>2</v>
      </c>
      <c r="B80" s="33" t="s">
        <v>23</v>
      </c>
      <c r="C80" s="29"/>
      <c r="D80" s="29">
        <f>I80*J80/10000*0.9</f>
        <v>108</v>
      </c>
      <c r="E80" s="29">
        <f>I80*J80/10000*0.1</f>
        <v>12</v>
      </c>
      <c r="F80" s="29"/>
      <c r="G80" s="29">
        <f t="shared" si="21"/>
        <v>120</v>
      </c>
      <c r="H80" s="30" t="s">
        <v>17</v>
      </c>
      <c r="I80" s="31">
        <f>I77</f>
        <v>10</v>
      </c>
      <c r="J80" s="31">
        <v>120000</v>
      </c>
      <c r="K80" s="32"/>
    </row>
    <row r="81" s="6" customFormat="1" ht="21" customHeight="1" outlineLevel="1" spans="1:11">
      <c r="A81" s="17">
        <v>3</v>
      </c>
      <c r="B81" s="33" t="s">
        <v>24</v>
      </c>
      <c r="C81" s="29">
        <f t="shared" si="24"/>
        <v>1</v>
      </c>
      <c r="D81" s="29"/>
      <c r="E81" s="29"/>
      <c r="F81" s="29"/>
      <c r="G81" s="29">
        <f t="shared" si="21"/>
        <v>1</v>
      </c>
      <c r="H81" s="30" t="s">
        <v>17</v>
      </c>
      <c r="I81" s="31">
        <f>I77</f>
        <v>10</v>
      </c>
      <c r="J81" s="31">
        <f>$J$11</f>
        <v>1000</v>
      </c>
      <c r="K81" s="32"/>
    </row>
    <row r="82" s="6" customFormat="1" ht="21" customHeight="1" outlineLevel="1" spans="1:11">
      <c r="A82" s="17">
        <v>4</v>
      </c>
      <c r="B82" s="33" t="s">
        <v>25</v>
      </c>
      <c r="C82" s="29"/>
      <c r="D82" s="29">
        <v>12</v>
      </c>
      <c r="E82" s="29">
        <f>72.92-D82</f>
        <v>60.92</v>
      </c>
      <c r="F82" s="29"/>
      <c r="G82" s="29">
        <f t="shared" si="21"/>
        <v>72.92</v>
      </c>
      <c r="H82" s="30" t="s">
        <v>17</v>
      </c>
      <c r="I82" s="31">
        <f>I77</f>
        <v>10</v>
      </c>
      <c r="J82" s="31">
        <f t="shared" ref="J82:J84" si="25">G82/I82*10000</f>
        <v>72920</v>
      </c>
      <c r="K82" s="32"/>
    </row>
    <row r="83" s="6" customFormat="1" ht="21" customHeight="1" outlineLevel="1" spans="1:11">
      <c r="A83" s="18" t="s">
        <v>46</v>
      </c>
      <c r="B83" s="23" t="s">
        <v>47</v>
      </c>
      <c r="C83" s="29">
        <f>C84+C87+C88+C89</f>
        <v>186.834</v>
      </c>
      <c r="D83" s="29">
        <f>D84+D87+D88+D89</f>
        <v>97.4</v>
      </c>
      <c r="E83" s="29">
        <f>E84+E87+E88+E89</f>
        <v>64.2</v>
      </c>
      <c r="F83" s="29"/>
      <c r="G83" s="29">
        <f t="shared" si="21"/>
        <v>348.434</v>
      </c>
      <c r="H83" s="30" t="s">
        <v>17</v>
      </c>
      <c r="I83" s="31">
        <f>I84</f>
        <v>8</v>
      </c>
      <c r="J83" s="31">
        <f t="shared" si="25"/>
        <v>435542.5</v>
      </c>
      <c r="K83" s="32"/>
    </row>
    <row r="84" s="6" customFormat="1" ht="21" customHeight="1" outlineLevel="1" spans="1:11">
      <c r="A84" s="17">
        <v>1</v>
      </c>
      <c r="B84" s="33" t="s">
        <v>20</v>
      </c>
      <c r="C84" s="29">
        <f>SUM(C85:C86)</f>
        <v>186.034</v>
      </c>
      <c r="D84" s="29"/>
      <c r="E84" s="29"/>
      <c r="F84" s="29"/>
      <c r="G84" s="29">
        <f t="shared" si="21"/>
        <v>186.034</v>
      </c>
      <c r="H84" s="30" t="s">
        <v>17</v>
      </c>
      <c r="I84" s="31">
        <f>SUM(I85:I86)</f>
        <v>8</v>
      </c>
      <c r="J84" s="31">
        <f t="shared" si="25"/>
        <v>232542.5</v>
      </c>
      <c r="K84" s="32"/>
    </row>
    <row r="85" s="6" customFormat="1" ht="21" customHeight="1" outlineLevel="1" spans="1:11">
      <c r="A85" s="17"/>
      <c r="B85" s="33" t="s">
        <v>21</v>
      </c>
      <c r="C85" s="29">
        <f t="shared" ref="C85:C88" si="26">I85*J85/10000</f>
        <v>92.0156</v>
      </c>
      <c r="D85" s="29"/>
      <c r="E85" s="29"/>
      <c r="F85" s="29"/>
      <c r="G85" s="29">
        <f t="shared" si="21"/>
        <v>92.0156</v>
      </c>
      <c r="H85" s="30" t="s">
        <v>17</v>
      </c>
      <c r="I85" s="31">
        <v>4</v>
      </c>
      <c r="J85" s="31">
        <f>$J$8</f>
        <v>230039</v>
      </c>
      <c r="K85" s="32"/>
    </row>
    <row r="86" s="6" customFormat="1" ht="21" customHeight="1" outlineLevel="1" spans="1:11">
      <c r="A86" s="17"/>
      <c r="B86" s="33" t="s">
        <v>22</v>
      </c>
      <c r="C86" s="29">
        <f t="shared" si="26"/>
        <v>94.0184</v>
      </c>
      <c r="D86" s="29"/>
      <c r="E86" s="29"/>
      <c r="F86" s="29"/>
      <c r="G86" s="29">
        <f t="shared" si="21"/>
        <v>94.0184</v>
      </c>
      <c r="H86" s="30" t="s">
        <v>17</v>
      </c>
      <c r="I86" s="31">
        <v>4</v>
      </c>
      <c r="J86" s="31">
        <f>$J$9</f>
        <v>235046</v>
      </c>
      <c r="K86" s="32"/>
    </row>
    <row r="87" s="6" customFormat="1" ht="21" customHeight="1" outlineLevel="1" spans="1:11">
      <c r="A87" s="17">
        <v>2</v>
      </c>
      <c r="B87" s="33" t="s">
        <v>23</v>
      </c>
      <c r="C87" s="29"/>
      <c r="D87" s="29">
        <f>I87*J87/10000*0.9</f>
        <v>86.4</v>
      </c>
      <c r="E87" s="29">
        <f>I87*J87/10000*0.1</f>
        <v>9.6</v>
      </c>
      <c r="F87" s="29"/>
      <c r="G87" s="29">
        <f t="shared" si="21"/>
        <v>96</v>
      </c>
      <c r="H87" s="30" t="s">
        <v>17</v>
      </c>
      <c r="I87" s="31">
        <f>I84</f>
        <v>8</v>
      </c>
      <c r="J87" s="31">
        <v>120000</v>
      </c>
      <c r="K87" s="32"/>
    </row>
    <row r="88" s="6" customFormat="1" ht="21" customHeight="1" outlineLevel="1" spans="1:11">
      <c r="A88" s="17">
        <v>3</v>
      </c>
      <c r="B88" s="33" t="s">
        <v>24</v>
      </c>
      <c r="C88" s="29">
        <f t="shared" si="26"/>
        <v>0.8</v>
      </c>
      <c r="D88" s="29"/>
      <c r="E88" s="29"/>
      <c r="F88" s="29"/>
      <c r="G88" s="29">
        <f t="shared" si="21"/>
        <v>0.8</v>
      </c>
      <c r="H88" s="30" t="s">
        <v>17</v>
      </c>
      <c r="I88" s="31">
        <f>I84</f>
        <v>8</v>
      </c>
      <c r="J88" s="31">
        <f>$J$11</f>
        <v>1000</v>
      </c>
      <c r="K88" s="32"/>
    </row>
    <row r="89" s="6" customFormat="1" ht="21" customHeight="1" outlineLevel="1" spans="1:11">
      <c r="A89" s="17">
        <v>4</v>
      </c>
      <c r="B89" s="33" t="s">
        <v>25</v>
      </c>
      <c r="C89" s="29"/>
      <c r="D89" s="29">
        <v>11</v>
      </c>
      <c r="E89" s="29">
        <f>65.6-D89</f>
        <v>54.6</v>
      </c>
      <c r="F89" s="29"/>
      <c r="G89" s="29">
        <f t="shared" si="21"/>
        <v>65.6</v>
      </c>
      <c r="H89" s="30" t="s">
        <v>17</v>
      </c>
      <c r="I89" s="31">
        <f>I84</f>
        <v>8</v>
      </c>
      <c r="J89" s="31">
        <f t="shared" ref="J89:J91" si="27">G89/I89*10000</f>
        <v>82000</v>
      </c>
      <c r="K89" s="32"/>
    </row>
    <row r="90" s="6" customFormat="1" ht="21" customHeight="1" outlineLevel="1" spans="1:11">
      <c r="A90" s="18" t="s">
        <v>48</v>
      </c>
      <c r="B90" s="23" t="s">
        <v>49</v>
      </c>
      <c r="C90" s="29">
        <f>C91+C94+C95+C96</f>
        <v>117.0216</v>
      </c>
      <c r="D90" s="29">
        <f>D91+D94+D95+D96</f>
        <v>64</v>
      </c>
      <c r="E90" s="29">
        <f>E91+E94+E95+E96</f>
        <v>51.14</v>
      </c>
      <c r="F90" s="29"/>
      <c r="G90" s="29">
        <f t="shared" si="21"/>
        <v>232.1616</v>
      </c>
      <c r="H90" s="30" t="s">
        <v>17</v>
      </c>
      <c r="I90" s="31">
        <f>I91</f>
        <v>5</v>
      </c>
      <c r="J90" s="31">
        <f t="shared" si="27"/>
        <v>464323.2</v>
      </c>
      <c r="K90" s="32"/>
    </row>
    <row r="91" s="6" customFormat="1" ht="21" customHeight="1" outlineLevel="1" spans="1:11">
      <c r="A91" s="17">
        <v>1</v>
      </c>
      <c r="B91" s="33" t="s">
        <v>20</v>
      </c>
      <c r="C91" s="29">
        <f>SUM(C92:C93)</f>
        <v>116.5216</v>
      </c>
      <c r="D91" s="29"/>
      <c r="E91" s="29"/>
      <c r="F91" s="29"/>
      <c r="G91" s="29">
        <f t="shared" si="21"/>
        <v>116.5216</v>
      </c>
      <c r="H91" s="30" t="s">
        <v>17</v>
      </c>
      <c r="I91" s="31">
        <f>SUM(I92:I93)</f>
        <v>5</v>
      </c>
      <c r="J91" s="31">
        <f t="shared" si="27"/>
        <v>233043.2</v>
      </c>
      <c r="K91" s="32"/>
    </row>
    <row r="92" s="6" customFormat="1" ht="21" customHeight="1" outlineLevel="1" spans="1:11">
      <c r="A92" s="17"/>
      <c r="B92" s="33" t="s">
        <v>21</v>
      </c>
      <c r="C92" s="29">
        <f t="shared" ref="C92:C95" si="28">I92*J92/10000</f>
        <v>46.0078</v>
      </c>
      <c r="D92" s="29"/>
      <c r="E92" s="29"/>
      <c r="F92" s="29"/>
      <c r="G92" s="29">
        <f t="shared" si="21"/>
        <v>46.0078</v>
      </c>
      <c r="H92" s="30" t="s">
        <v>17</v>
      </c>
      <c r="I92" s="31">
        <v>2</v>
      </c>
      <c r="J92" s="31">
        <f>$J$8</f>
        <v>230039</v>
      </c>
      <c r="K92" s="32"/>
    </row>
    <row r="93" s="6" customFormat="1" ht="21" customHeight="1" outlineLevel="1" spans="1:11">
      <c r="A93" s="17"/>
      <c r="B93" s="33" t="s">
        <v>22</v>
      </c>
      <c r="C93" s="29">
        <f t="shared" si="28"/>
        <v>70.5138</v>
      </c>
      <c r="D93" s="29"/>
      <c r="E93" s="29"/>
      <c r="F93" s="29"/>
      <c r="G93" s="29">
        <f t="shared" si="21"/>
        <v>70.5138</v>
      </c>
      <c r="H93" s="30" t="s">
        <v>17</v>
      </c>
      <c r="I93" s="31">
        <v>3</v>
      </c>
      <c r="J93" s="31">
        <f>$J$9</f>
        <v>235046</v>
      </c>
      <c r="K93" s="32"/>
    </row>
    <row r="94" s="6" customFormat="1" ht="21" customHeight="1" outlineLevel="1" spans="1:11">
      <c r="A94" s="17">
        <v>2</v>
      </c>
      <c r="B94" s="33" t="s">
        <v>23</v>
      </c>
      <c r="C94" s="29"/>
      <c r="D94" s="29">
        <f>I94*J94/10000*0.9</f>
        <v>54</v>
      </c>
      <c r="E94" s="29">
        <f>I94*J94/10000*0.1</f>
        <v>6</v>
      </c>
      <c r="F94" s="29"/>
      <c r="G94" s="29">
        <f t="shared" si="21"/>
        <v>60</v>
      </c>
      <c r="H94" s="30" t="s">
        <v>17</v>
      </c>
      <c r="I94" s="31">
        <f>I91</f>
        <v>5</v>
      </c>
      <c r="J94" s="31">
        <v>120000</v>
      </c>
      <c r="K94" s="32"/>
    </row>
    <row r="95" s="6" customFormat="1" ht="21" customHeight="1" outlineLevel="1" spans="1:11">
      <c r="A95" s="17">
        <v>3</v>
      </c>
      <c r="B95" s="33" t="s">
        <v>24</v>
      </c>
      <c r="C95" s="29">
        <f t="shared" si="28"/>
        <v>0.5</v>
      </c>
      <c r="D95" s="29"/>
      <c r="E95" s="29"/>
      <c r="F95" s="29"/>
      <c r="G95" s="29">
        <f t="shared" si="21"/>
        <v>0.5</v>
      </c>
      <c r="H95" s="30" t="s">
        <v>17</v>
      </c>
      <c r="I95" s="31">
        <f>I91</f>
        <v>5</v>
      </c>
      <c r="J95" s="31">
        <f>$J$11</f>
        <v>1000</v>
      </c>
      <c r="K95" s="32"/>
    </row>
    <row r="96" s="6" customFormat="1" ht="21" customHeight="1" outlineLevel="1" spans="1:11">
      <c r="A96" s="17">
        <v>4</v>
      </c>
      <c r="B96" s="33" t="s">
        <v>25</v>
      </c>
      <c r="C96" s="29"/>
      <c r="D96" s="29">
        <v>10</v>
      </c>
      <c r="E96" s="29">
        <f>55.14-D96</f>
        <v>45.14</v>
      </c>
      <c r="F96" s="29"/>
      <c r="G96" s="29">
        <f t="shared" si="21"/>
        <v>55.14</v>
      </c>
      <c r="H96" s="30" t="s">
        <v>17</v>
      </c>
      <c r="I96" s="31">
        <f>I91</f>
        <v>5</v>
      </c>
      <c r="J96" s="31">
        <f t="shared" ref="J96:J98" si="29">G96/I96*10000</f>
        <v>110280</v>
      </c>
      <c r="K96" s="32"/>
    </row>
    <row r="97" s="6" customFormat="1" ht="21" customHeight="1" outlineLevel="1" spans="1:11">
      <c r="A97" s="18" t="s">
        <v>50</v>
      </c>
      <c r="B97" s="23" t="s">
        <v>51</v>
      </c>
      <c r="C97" s="29">
        <f>C98+C101+C102+C103</f>
        <v>116.5209</v>
      </c>
      <c r="D97" s="29">
        <f>D98+D101+D102+D103</f>
        <v>64</v>
      </c>
      <c r="E97" s="29">
        <f>E98+E101+E102+E103</f>
        <v>51.14</v>
      </c>
      <c r="F97" s="29"/>
      <c r="G97" s="29">
        <f t="shared" si="21"/>
        <v>231.6609</v>
      </c>
      <c r="H97" s="30" t="s">
        <v>17</v>
      </c>
      <c r="I97" s="31">
        <f>I98</f>
        <v>5</v>
      </c>
      <c r="J97" s="31">
        <f t="shared" si="29"/>
        <v>463321.8</v>
      </c>
      <c r="K97" s="32"/>
    </row>
    <row r="98" s="6" customFormat="1" ht="21" customHeight="1" outlineLevel="1" spans="1:11">
      <c r="A98" s="17">
        <v>1</v>
      </c>
      <c r="B98" s="33" t="s">
        <v>20</v>
      </c>
      <c r="C98" s="29">
        <f>SUM(C99:C100)</f>
        <v>116.0209</v>
      </c>
      <c r="D98" s="29"/>
      <c r="E98" s="29"/>
      <c r="F98" s="29"/>
      <c r="G98" s="29">
        <f t="shared" si="21"/>
        <v>116.0209</v>
      </c>
      <c r="H98" s="30" t="s">
        <v>17</v>
      </c>
      <c r="I98" s="31">
        <f>SUM(I99:I100)</f>
        <v>5</v>
      </c>
      <c r="J98" s="31">
        <f t="shared" si="29"/>
        <v>232041.8</v>
      </c>
      <c r="K98" s="32"/>
    </row>
    <row r="99" s="6" customFormat="1" ht="21" customHeight="1" outlineLevel="1" spans="1:11">
      <c r="A99" s="17"/>
      <c r="B99" s="33" t="s">
        <v>21</v>
      </c>
      <c r="C99" s="29">
        <f t="shared" ref="C99:C102" si="30">I99*J99/10000</f>
        <v>69.0117</v>
      </c>
      <c r="D99" s="29"/>
      <c r="E99" s="29"/>
      <c r="F99" s="29"/>
      <c r="G99" s="29">
        <f t="shared" si="21"/>
        <v>69.0117</v>
      </c>
      <c r="H99" s="30" t="s">
        <v>17</v>
      </c>
      <c r="I99" s="31">
        <v>3</v>
      </c>
      <c r="J99" s="31">
        <f>$J$8</f>
        <v>230039</v>
      </c>
      <c r="K99" s="32"/>
    </row>
    <row r="100" s="6" customFormat="1" ht="21" customHeight="1" outlineLevel="1" spans="1:11">
      <c r="A100" s="17"/>
      <c r="B100" s="33" t="s">
        <v>22</v>
      </c>
      <c r="C100" s="29">
        <f t="shared" si="30"/>
        <v>47.0092</v>
      </c>
      <c r="D100" s="29"/>
      <c r="E100" s="29"/>
      <c r="F100" s="29"/>
      <c r="G100" s="29">
        <f t="shared" si="21"/>
        <v>47.0092</v>
      </c>
      <c r="H100" s="30" t="s">
        <v>17</v>
      </c>
      <c r="I100" s="31">
        <v>2</v>
      </c>
      <c r="J100" s="31">
        <f>$J$9</f>
        <v>235046</v>
      </c>
      <c r="K100" s="32"/>
    </row>
    <row r="101" s="6" customFormat="1" ht="21" customHeight="1" outlineLevel="1" spans="1:11">
      <c r="A101" s="17">
        <v>2</v>
      </c>
      <c r="B101" s="33" t="s">
        <v>23</v>
      </c>
      <c r="C101" s="29"/>
      <c r="D101" s="29">
        <f>I101*J101/10000*0.9</f>
        <v>54</v>
      </c>
      <c r="E101" s="29">
        <f>I101*J101/10000*0.1</f>
        <v>6</v>
      </c>
      <c r="F101" s="29"/>
      <c r="G101" s="29">
        <f t="shared" si="21"/>
        <v>60</v>
      </c>
      <c r="H101" s="30" t="s">
        <v>17</v>
      </c>
      <c r="I101" s="31">
        <f>I98</f>
        <v>5</v>
      </c>
      <c r="J101" s="31">
        <v>120000</v>
      </c>
      <c r="K101" s="32"/>
    </row>
    <row r="102" s="6" customFormat="1" ht="21" customHeight="1" outlineLevel="1" spans="1:11">
      <c r="A102" s="17">
        <v>3</v>
      </c>
      <c r="B102" s="33" t="s">
        <v>24</v>
      </c>
      <c r="C102" s="29">
        <f t="shared" si="30"/>
        <v>0.5</v>
      </c>
      <c r="D102" s="29"/>
      <c r="E102" s="29"/>
      <c r="F102" s="29"/>
      <c r="G102" s="29">
        <f t="shared" si="21"/>
        <v>0.5</v>
      </c>
      <c r="H102" s="30" t="s">
        <v>17</v>
      </c>
      <c r="I102" s="31">
        <f>I98</f>
        <v>5</v>
      </c>
      <c r="J102" s="31">
        <f>$J$11</f>
        <v>1000</v>
      </c>
      <c r="K102" s="32"/>
    </row>
    <row r="103" s="6" customFormat="1" ht="21" customHeight="1" outlineLevel="1" spans="1:11">
      <c r="A103" s="17">
        <v>4</v>
      </c>
      <c r="B103" s="33" t="s">
        <v>25</v>
      </c>
      <c r="C103" s="29"/>
      <c r="D103" s="29">
        <v>10</v>
      </c>
      <c r="E103" s="29">
        <f>55.14-D103</f>
        <v>45.14</v>
      </c>
      <c r="F103" s="29"/>
      <c r="G103" s="29">
        <f t="shared" si="21"/>
        <v>55.14</v>
      </c>
      <c r="H103" s="30" t="s">
        <v>17</v>
      </c>
      <c r="I103" s="31">
        <f>I98</f>
        <v>5</v>
      </c>
      <c r="J103" s="31">
        <f t="shared" ref="J103:J105" si="31">G103/I103*10000</f>
        <v>110280</v>
      </c>
      <c r="K103" s="32"/>
    </row>
    <row r="104" s="6" customFormat="1" ht="21" customHeight="1" outlineLevel="1" spans="1:11">
      <c r="A104" s="18" t="s">
        <v>52</v>
      </c>
      <c r="B104" s="23" t="s">
        <v>53</v>
      </c>
      <c r="C104" s="29">
        <f>C105+C108+C109+C110</f>
        <v>140.1255</v>
      </c>
      <c r="D104" s="29">
        <f>D105+D108+D109+D110</f>
        <v>74.8</v>
      </c>
      <c r="E104" s="29">
        <f>E105+E108+E109+E110</f>
        <v>55.43</v>
      </c>
      <c r="F104" s="29"/>
      <c r="G104" s="29">
        <f t="shared" si="21"/>
        <v>270.3555</v>
      </c>
      <c r="H104" s="30" t="s">
        <v>17</v>
      </c>
      <c r="I104" s="31">
        <f>I105</f>
        <v>6</v>
      </c>
      <c r="J104" s="31">
        <f t="shared" si="31"/>
        <v>450592.5</v>
      </c>
      <c r="K104" s="32"/>
    </row>
    <row r="105" s="6" customFormat="1" ht="21" customHeight="1" outlineLevel="1" spans="1:11">
      <c r="A105" s="17">
        <v>1</v>
      </c>
      <c r="B105" s="33" t="s">
        <v>20</v>
      </c>
      <c r="C105" s="29">
        <f>SUM(C106:C107)</f>
        <v>139.5255</v>
      </c>
      <c r="D105" s="29"/>
      <c r="E105" s="29"/>
      <c r="F105" s="29"/>
      <c r="G105" s="29">
        <f t="shared" si="21"/>
        <v>139.5255</v>
      </c>
      <c r="H105" s="30" t="s">
        <v>17</v>
      </c>
      <c r="I105" s="31">
        <f>SUM(I106:I107)</f>
        <v>6</v>
      </c>
      <c r="J105" s="31">
        <f t="shared" si="31"/>
        <v>232542.5</v>
      </c>
      <c r="K105" s="32"/>
    </row>
    <row r="106" s="6" customFormat="1" ht="21" customHeight="1" outlineLevel="1" spans="1:11">
      <c r="A106" s="17"/>
      <c r="B106" s="33" t="s">
        <v>21</v>
      </c>
      <c r="C106" s="29">
        <f t="shared" ref="C106:C109" si="32">I106*J106/10000</f>
        <v>69.0117</v>
      </c>
      <c r="D106" s="29"/>
      <c r="E106" s="29"/>
      <c r="F106" s="29"/>
      <c r="G106" s="29">
        <f t="shared" si="21"/>
        <v>69.0117</v>
      </c>
      <c r="H106" s="30" t="s">
        <v>17</v>
      </c>
      <c r="I106" s="31">
        <v>3</v>
      </c>
      <c r="J106" s="31">
        <f>$J$8</f>
        <v>230039</v>
      </c>
      <c r="K106" s="32"/>
    </row>
    <row r="107" s="6" customFormat="1" ht="21" customHeight="1" outlineLevel="1" spans="1:11">
      <c r="A107" s="17"/>
      <c r="B107" s="33" t="s">
        <v>22</v>
      </c>
      <c r="C107" s="29">
        <f t="shared" si="32"/>
        <v>70.5138</v>
      </c>
      <c r="D107" s="29"/>
      <c r="E107" s="29"/>
      <c r="F107" s="29"/>
      <c r="G107" s="29">
        <f t="shared" si="21"/>
        <v>70.5138</v>
      </c>
      <c r="H107" s="30" t="s">
        <v>17</v>
      </c>
      <c r="I107" s="31">
        <v>3</v>
      </c>
      <c r="J107" s="31">
        <f>$J$9</f>
        <v>235046</v>
      </c>
      <c r="K107" s="32"/>
    </row>
    <row r="108" s="6" customFormat="1" ht="21" customHeight="1" outlineLevel="1" spans="1:11">
      <c r="A108" s="17">
        <v>2</v>
      </c>
      <c r="B108" s="33" t="s">
        <v>23</v>
      </c>
      <c r="C108" s="29"/>
      <c r="D108" s="29">
        <f>I108*J108/10000*0.9</f>
        <v>64.8</v>
      </c>
      <c r="E108" s="29">
        <f>I108*J108/10000*0.1</f>
        <v>7.2</v>
      </c>
      <c r="F108" s="29"/>
      <c r="G108" s="29">
        <f t="shared" si="21"/>
        <v>72</v>
      </c>
      <c r="H108" s="30" t="s">
        <v>17</v>
      </c>
      <c r="I108" s="31">
        <f>I105</f>
        <v>6</v>
      </c>
      <c r="J108" s="31">
        <v>120000</v>
      </c>
      <c r="K108" s="32"/>
    </row>
    <row r="109" s="6" customFormat="1" ht="21" customHeight="1" outlineLevel="1" spans="1:11">
      <c r="A109" s="17">
        <v>3</v>
      </c>
      <c r="B109" s="33" t="s">
        <v>24</v>
      </c>
      <c r="C109" s="29">
        <f t="shared" si="32"/>
        <v>0.6</v>
      </c>
      <c r="D109" s="29"/>
      <c r="E109" s="29"/>
      <c r="F109" s="29"/>
      <c r="G109" s="29">
        <f t="shared" si="21"/>
        <v>0.6</v>
      </c>
      <c r="H109" s="30" t="s">
        <v>17</v>
      </c>
      <c r="I109" s="31">
        <f>I105</f>
        <v>6</v>
      </c>
      <c r="J109" s="31">
        <f>$J$11</f>
        <v>1000</v>
      </c>
      <c r="K109" s="32"/>
    </row>
    <row r="110" s="6" customFormat="1" ht="21" customHeight="1" outlineLevel="1" spans="1:11">
      <c r="A110" s="17">
        <v>4</v>
      </c>
      <c r="B110" s="33" t="s">
        <v>25</v>
      </c>
      <c r="C110" s="29"/>
      <c r="D110" s="29">
        <v>10</v>
      </c>
      <c r="E110" s="29">
        <f>58.23-D110</f>
        <v>48.23</v>
      </c>
      <c r="F110" s="29"/>
      <c r="G110" s="29">
        <f t="shared" si="21"/>
        <v>58.23</v>
      </c>
      <c r="H110" s="30" t="s">
        <v>17</v>
      </c>
      <c r="I110" s="31">
        <f>I105</f>
        <v>6</v>
      </c>
      <c r="J110" s="31">
        <f t="shared" ref="J110:J112" si="33">G110/I110*10000</f>
        <v>97050</v>
      </c>
      <c r="K110" s="32"/>
    </row>
    <row r="111" s="6" customFormat="1" ht="21" customHeight="1" outlineLevel="1" spans="1:11">
      <c r="A111" s="18" t="s">
        <v>54</v>
      </c>
      <c r="B111" s="23" t="s">
        <v>55</v>
      </c>
      <c r="C111" s="29">
        <f>C112+C115+C116+C117</f>
        <v>234.5439</v>
      </c>
      <c r="D111" s="29">
        <f>D112+D115+D116+D117</f>
        <v>123</v>
      </c>
      <c r="E111" s="29">
        <f>E112+E115+E116+E117</f>
        <v>84.48</v>
      </c>
      <c r="F111" s="29"/>
      <c r="G111" s="29">
        <f t="shared" si="21"/>
        <v>442.0239</v>
      </c>
      <c r="H111" s="30" t="s">
        <v>17</v>
      </c>
      <c r="I111" s="31">
        <f>I112</f>
        <v>10</v>
      </c>
      <c r="J111" s="31">
        <f t="shared" si="33"/>
        <v>442023.9</v>
      </c>
      <c r="K111" s="32"/>
    </row>
    <row r="112" s="6" customFormat="1" ht="21" customHeight="1" outlineLevel="1" spans="1:11">
      <c r="A112" s="17">
        <v>1</v>
      </c>
      <c r="B112" s="33" t="s">
        <v>20</v>
      </c>
      <c r="C112" s="29">
        <f>SUM(C113:C114)</f>
        <v>233.5439</v>
      </c>
      <c r="D112" s="29"/>
      <c r="E112" s="29"/>
      <c r="F112" s="29"/>
      <c r="G112" s="29">
        <f t="shared" si="21"/>
        <v>233.5439</v>
      </c>
      <c r="H112" s="30" t="s">
        <v>17</v>
      </c>
      <c r="I112" s="31">
        <f>SUM(I113:I114)</f>
        <v>10</v>
      </c>
      <c r="J112" s="31">
        <f t="shared" si="33"/>
        <v>233543.9</v>
      </c>
      <c r="K112" s="32"/>
    </row>
    <row r="113" s="6" customFormat="1" ht="21" customHeight="1" outlineLevel="1" spans="1:11">
      <c r="A113" s="17"/>
      <c r="B113" s="33" t="s">
        <v>21</v>
      </c>
      <c r="C113" s="29">
        <f t="shared" ref="C113:C116" si="34">I113*J113/10000</f>
        <v>69.0117</v>
      </c>
      <c r="D113" s="29"/>
      <c r="E113" s="29"/>
      <c r="F113" s="29"/>
      <c r="G113" s="29">
        <f t="shared" si="21"/>
        <v>69.0117</v>
      </c>
      <c r="H113" s="30" t="s">
        <v>17</v>
      </c>
      <c r="I113" s="31">
        <f>7-4</f>
        <v>3</v>
      </c>
      <c r="J113" s="31">
        <f>$J$8</f>
        <v>230039</v>
      </c>
      <c r="K113" s="32"/>
    </row>
    <row r="114" s="6" customFormat="1" ht="21" customHeight="1" outlineLevel="1" spans="1:11">
      <c r="A114" s="17"/>
      <c r="B114" s="33" t="s">
        <v>22</v>
      </c>
      <c r="C114" s="29">
        <f t="shared" si="34"/>
        <v>164.5322</v>
      </c>
      <c r="D114" s="29"/>
      <c r="E114" s="29"/>
      <c r="F114" s="29"/>
      <c r="G114" s="29">
        <f t="shared" si="21"/>
        <v>164.5322</v>
      </c>
      <c r="H114" s="30" t="s">
        <v>17</v>
      </c>
      <c r="I114" s="31">
        <v>7</v>
      </c>
      <c r="J114" s="31">
        <f>$J$9</f>
        <v>235046</v>
      </c>
      <c r="K114" s="32"/>
    </row>
    <row r="115" s="6" customFormat="1" ht="21" customHeight="1" outlineLevel="1" spans="1:11">
      <c r="A115" s="17">
        <v>2</v>
      </c>
      <c r="B115" s="33" t="s">
        <v>23</v>
      </c>
      <c r="C115" s="29"/>
      <c r="D115" s="29">
        <f>I115*J115/10000*0.9</f>
        <v>108</v>
      </c>
      <c r="E115" s="29">
        <f>I115*J115/10000*0.1</f>
        <v>12</v>
      </c>
      <c r="F115" s="29"/>
      <c r="G115" s="29">
        <f t="shared" si="21"/>
        <v>120</v>
      </c>
      <c r="H115" s="30" t="s">
        <v>17</v>
      </c>
      <c r="I115" s="31">
        <f>I112</f>
        <v>10</v>
      </c>
      <c r="J115" s="31">
        <v>120000</v>
      </c>
      <c r="K115" s="32"/>
    </row>
    <row r="116" s="6" customFormat="1" ht="21" customHeight="1" outlineLevel="1" spans="1:11">
      <c r="A116" s="17">
        <v>3</v>
      </c>
      <c r="B116" s="33" t="s">
        <v>24</v>
      </c>
      <c r="C116" s="29">
        <f t="shared" si="34"/>
        <v>1</v>
      </c>
      <c r="D116" s="29"/>
      <c r="E116" s="29"/>
      <c r="F116" s="29"/>
      <c r="G116" s="29">
        <f t="shared" si="21"/>
        <v>1</v>
      </c>
      <c r="H116" s="30" t="s">
        <v>17</v>
      </c>
      <c r="I116" s="31">
        <f>I112</f>
        <v>10</v>
      </c>
      <c r="J116" s="31">
        <f>$J$11</f>
        <v>1000</v>
      </c>
      <c r="K116" s="32"/>
    </row>
    <row r="117" s="6" customFormat="1" ht="21" customHeight="1" outlineLevel="1" spans="1:11">
      <c r="A117" s="17">
        <v>4</v>
      </c>
      <c r="B117" s="33" t="s">
        <v>25</v>
      </c>
      <c r="C117" s="29"/>
      <c r="D117" s="29">
        <v>15</v>
      </c>
      <c r="E117" s="29">
        <f>87.48-D117</f>
        <v>72.48</v>
      </c>
      <c r="F117" s="29"/>
      <c r="G117" s="29">
        <f t="shared" si="21"/>
        <v>87.48</v>
      </c>
      <c r="H117" s="30" t="s">
        <v>17</v>
      </c>
      <c r="I117" s="31">
        <f>I112</f>
        <v>10</v>
      </c>
      <c r="J117" s="31">
        <f t="shared" ref="J117:J119" si="35">G117/I117*10000</f>
        <v>87480</v>
      </c>
      <c r="K117" s="32"/>
    </row>
    <row r="118" s="6" customFormat="1" ht="21" customHeight="1" outlineLevel="1" spans="1:11">
      <c r="A118" s="18" t="s">
        <v>56</v>
      </c>
      <c r="B118" s="23" t="s">
        <v>57</v>
      </c>
      <c r="C118" s="29">
        <f>C119+C122+C123+C124</f>
        <v>352.5669</v>
      </c>
      <c r="D118" s="29">
        <f>D119+D122+D123+D124</f>
        <v>177</v>
      </c>
      <c r="E118" s="29">
        <f>E119+E122+E123+E124</f>
        <v>94.76</v>
      </c>
      <c r="F118" s="29"/>
      <c r="G118" s="29">
        <f t="shared" si="21"/>
        <v>624.3269</v>
      </c>
      <c r="H118" s="30" t="s">
        <v>17</v>
      </c>
      <c r="I118" s="31">
        <f>I119</f>
        <v>15</v>
      </c>
      <c r="J118" s="31">
        <f t="shared" si="35"/>
        <v>416217.933333333</v>
      </c>
      <c r="K118" s="32"/>
    </row>
    <row r="119" s="6" customFormat="1" ht="21" customHeight="1" outlineLevel="1" spans="1:11">
      <c r="A119" s="17">
        <v>1</v>
      </c>
      <c r="B119" s="33" t="s">
        <v>20</v>
      </c>
      <c r="C119" s="29">
        <f>SUM(C120:C121)</f>
        <v>351.0669</v>
      </c>
      <c r="D119" s="29"/>
      <c r="E119" s="29"/>
      <c r="F119" s="29"/>
      <c r="G119" s="29">
        <f t="shared" si="21"/>
        <v>351.0669</v>
      </c>
      <c r="H119" s="30" t="s">
        <v>17</v>
      </c>
      <c r="I119" s="31">
        <f>SUM(I120:I121)</f>
        <v>15</v>
      </c>
      <c r="J119" s="31">
        <f t="shared" si="35"/>
        <v>234044.6</v>
      </c>
      <c r="K119" s="32"/>
    </row>
    <row r="120" s="6" customFormat="1" ht="21" customHeight="1" outlineLevel="1" spans="1:11">
      <c r="A120" s="17"/>
      <c r="B120" s="33" t="s">
        <v>21</v>
      </c>
      <c r="C120" s="29">
        <f t="shared" ref="C120:C123" si="36">I120*J120/10000</f>
        <v>69.0117</v>
      </c>
      <c r="D120" s="29"/>
      <c r="E120" s="29"/>
      <c r="F120" s="29"/>
      <c r="G120" s="29">
        <f t="shared" si="21"/>
        <v>69.0117</v>
      </c>
      <c r="H120" s="30" t="s">
        <v>17</v>
      </c>
      <c r="I120" s="31">
        <f>11-8</f>
        <v>3</v>
      </c>
      <c r="J120" s="31">
        <f>$J$8</f>
        <v>230039</v>
      </c>
      <c r="K120" s="32"/>
    </row>
    <row r="121" s="6" customFormat="1" ht="21" customHeight="1" outlineLevel="1" spans="1:11">
      <c r="A121" s="17"/>
      <c r="B121" s="33" t="s">
        <v>22</v>
      </c>
      <c r="C121" s="29">
        <f t="shared" si="36"/>
        <v>282.0552</v>
      </c>
      <c r="D121" s="29"/>
      <c r="E121" s="29"/>
      <c r="F121" s="29"/>
      <c r="G121" s="29">
        <f t="shared" si="21"/>
        <v>282.0552</v>
      </c>
      <c r="H121" s="30" t="s">
        <v>17</v>
      </c>
      <c r="I121" s="31">
        <v>12</v>
      </c>
      <c r="J121" s="31">
        <f>$J$9</f>
        <v>235046</v>
      </c>
      <c r="K121" s="32"/>
    </row>
    <row r="122" s="6" customFormat="1" ht="21" customHeight="1" outlineLevel="1" spans="1:11">
      <c r="A122" s="17">
        <v>2</v>
      </c>
      <c r="B122" s="33" t="s">
        <v>23</v>
      </c>
      <c r="C122" s="29"/>
      <c r="D122" s="29">
        <f>I122*J122/10000*0.9</f>
        <v>162</v>
      </c>
      <c r="E122" s="29">
        <f>I122*J122/10000*0.1</f>
        <v>18</v>
      </c>
      <c r="F122" s="29"/>
      <c r="G122" s="29">
        <f t="shared" si="21"/>
        <v>180</v>
      </c>
      <c r="H122" s="30" t="s">
        <v>17</v>
      </c>
      <c r="I122" s="31">
        <f>I119</f>
        <v>15</v>
      </c>
      <c r="J122" s="31">
        <v>120000</v>
      </c>
      <c r="K122" s="32"/>
    </row>
    <row r="123" s="6" customFormat="1" ht="21" customHeight="1" outlineLevel="1" spans="1:11">
      <c r="A123" s="17">
        <v>3</v>
      </c>
      <c r="B123" s="33" t="s">
        <v>24</v>
      </c>
      <c r="C123" s="29">
        <f t="shared" si="36"/>
        <v>1.5</v>
      </c>
      <c r="D123" s="29"/>
      <c r="E123" s="29"/>
      <c r="F123" s="29"/>
      <c r="G123" s="29">
        <f t="shared" si="21"/>
        <v>1.5</v>
      </c>
      <c r="H123" s="30" t="s">
        <v>17</v>
      </c>
      <c r="I123" s="31">
        <f>I119</f>
        <v>15</v>
      </c>
      <c r="J123" s="31">
        <f>$J$11</f>
        <v>1000</v>
      </c>
      <c r="K123" s="32"/>
    </row>
    <row r="124" s="6" customFormat="1" ht="21" customHeight="1" outlineLevel="1" spans="1:11">
      <c r="A124" s="17">
        <v>4</v>
      </c>
      <c r="B124" s="33" t="s">
        <v>25</v>
      </c>
      <c r="C124" s="29"/>
      <c r="D124" s="29">
        <v>15</v>
      </c>
      <c r="E124" s="29">
        <f>91.76-D124</f>
        <v>76.76</v>
      </c>
      <c r="F124" s="29"/>
      <c r="G124" s="29">
        <f t="shared" si="21"/>
        <v>91.76</v>
      </c>
      <c r="H124" s="30" t="s">
        <v>17</v>
      </c>
      <c r="I124" s="31">
        <f>I119</f>
        <v>15</v>
      </c>
      <c r="J124" s="31">
        <f t="shared" ref="J124:J126" si="37">G124/I124*10000</f>
        <v>61173.3333333333</v>
      </c>
      <c r="K124" s="32"/>
    </row>
    <row r="125" s="6" customFormat="1" ht="21" customHeight="1" outlineLevel="1" spans="1:11">
      <c r="A125" s="18" t="s">
        <v>58</v>
      </c>
      <c r="B125" s="23" t="s">
        <v>59</v>
      </c>
      <c r="C125" s="29">
        <f>C126+C129+C130+C131</f>
        <v>116.5209</v>
      </c>
      <c r="D125" s="29">
        <f>D126+D129+D130+D131</f>
        <v>64</v>
      </c>
      <c r="E125" s="29">
        <f>E126+E129+E130+E131</f>
        <v>51.14</v>
      </c>
      <c r="F125" s="29"/>
      <c r="G125" s="29">
        <f t="shared" si="21"/>
        <v>231.6609</v>
      </c>
      <c r="H125" s="30" t="s">
        <v>17</v>
      </c>
      <c r="I125" s="31">
        <f>I126</f>
        <v>5</v>
      </c>
      <c r="J125" s="31">
        <f t="shared" si="37"/>
        <v>463321.8</v>
      </c>
      <c r="K125" s="32"/>
    </row>
    <row r="126" s="6" customFormat="1" ht="21" customHeight="1" outlineLevel="1" spans="1:11">
      <c r="A126" s="17">
        <v>1</v>
      </c>
      <c r="B126" s="33" t="s">
        <v>20</v>
      </c>
      <c r="C126" s="29">
        <f>SUM(C127:C128)</f>
        <v>116.0209</v>
      </c>
      <c r="D126" s="29"/>
      <c r="E126" s="29"/>
      <c r="F126" s="29"/>
      <c r="G126" s="29">
        <f t="shared" si="21"/>
        <v>116.0209</v>
      </c>
      <c r="H126" s="30" t="s">
        <v>17</v>
      </c>
      <c r="I126" s="31">
        <f>SUM(I127:I128)</f>
        <v>5</v>
      </c>
      <c r="J126" s="31">
        <f t="shared" si="37"/>
        <v>232041.8</v>
      </c>
      <c r="K126" s="32"/>
    </row>
    <row r="127" s="6" customFormat="1" ht="21" customHeight="1" outlineLevel="1" spans="1:11">
      <c r="A127" s="17"/>
      <c r="B127" s="33" t="s">
        <v>21</v>
      </c>
      <c r="C127" s="29">
        <f t="shared" ref="C127:C130" si="38">I127*J127/10000</f>
        <v>69.0117</v>
      </c>
      <c r="D127" s="29"/>
      <c r="E127" s="29"/>
      <c r="F127" s="29"/>
      <c r="G127" s="29">
        <f t="shared" si="21"/>
        <v>69.0117</v>
      </c>
      <c r="H127" s="30" t="s">
        <v>17</v>
      </c>
      <c r="I127" s="31">
        <v>3</v>
      </c>
      <c r="J127" s="31">
        <f>$J$8</f>
        <v>230039</v>
      </c>
      <c r="K127" s="32"/>
    </row>
    <row r="128" s="6" customFormat="1" ht="21" customHeight="1" outlineLevel="1" spans="1:11">
      <c r="A128" s="17"/>
      <c r="B128" s="33" t="s">
        <v>22</v>
      </c>
      <c r="C128" s="29">
        <f t="shared" si="38"/>
        <v>47.0092</v>
      </c>
      <c r="D128" s="29"/>
      <c r="E128" s="29"/>
      <c r="F128" s="29"/>
      <c r="G128" s="29">
        <f t="shared" si="21"/>
        <v>47.0092</v>
      </c>
      <c r="H128" s="30" t="s">
        <v>17</v>
      </c>
      <c r="I128" s="31">
        <v>2</v>
      </c>
      <c r="J128" s="31">
        <f>$J$9</f>
        <v>235046</v>
      </c>
      <c r="K128" s="32"/>
    </row>
    <row r="129" s="6" customFormat="1" ht="21" customHeight="1" outlineLevel="1" spans="1:11">
      <c r="A129" s="17">
        <v>2</v>
      </c>
      <c r="B129" s="33" t="s">
        <v>23</v>
      </c>
      <c r="C129" s="29"/>
      <c r="D129" s="29">
        <f>I129*J129/10000*0.9</f>
        <v>54</v>
      </c>
      <c r="E129" s="29">
        <f>I129*J129/10000*0.1</f>
        <v>6</v>
      </c>
      <c r="F129" s="29"/>
      <c r="G129" s="29">
        <f t="shared" si="21"/>
        <v>60</v>
      </c>
      <c r="H129" s="30" t="s">
        <v>17</v>
      </c>
      <c r="I129" s="31">
        <f>I126</f>
        <v>5</v>
      </c>
      <c r="J129" s="31">
        <v>120000</v>
      </c>
      <c r="K129" s="32"/>
    </row>
    <row r="130" s="6" customFormat="1" ht="21" customHeight="1" outlineLevel="1" spans="1:11">
      <c r="A130" s="17">
        <v>3</v>
      </c>
      <c r="B130" s="33" t="s">
        <v>24</v>
      </c>
      <c r="C130" s="29">
        <f t="shared" si="38"/>
        <v>0.5</v>
      </c>
      <c r="D130" s="29"/>
      <c r="E130" s="29"/>
      <c r="F130" s="29"/>
      <c r="G130" s="29">
        <f t="shared" si="21"/>
        <v>0.5</v>
      </c>
      <c r="H130" s="30" t="s">
        <v>17</v>
      </c>
      <c r="I130" s="31">
        <f>I126</f>
        <v>5</v>
      </c>
      <c r="J130" s="31">
        <f>$J$11</f>
        <v>1000</v>
      </c>
      <c r="K130" s="32"/>
    </row>
    <row r="131" s="6" customFormat="1" ht="21" customHeight="1" outlineLevel="1" spans="1:11">
      <c r="A131" s="17">
        <v>4</v>
      </c>
      <c r="B131" s="33" t="s">
        <v>25</v>
      </c>
      <c r="C131" s="29"/>
      <c r="D131" s="29">
        <v>10</v>
      </c>
      <c r="E131" s="29">
        <f>55.14-D131</f>
        <v>45.14</v>
      </c>
      <c r="F131" s="29"/>
      <c r="G131" s="29">
        <f t="shared" si="21"/>
        <v>55.14</v>
      </c>
      <c r="H131" s="30" t="s">
        <v>17</v>
      </c>
      <c r="I131" s="31">
        <f>I126</f>
        <v>5</v>
      </c>
      <c r="J131" s="31">
        <f t="shared" ref="J131:J133" si="39">G131/I131*10000</f>
        <v>110280</v>
      </c>
      <c r="K131" s="32"/>
    </row>
    <row r="132" s="6" customFormat="1" ht="21" customHeight="1" outlineLevel="1" spans="1:11">
      <c r="A132" s="18" t="s">
        <v>60</v>
      </c>
      <c r="B132" s="23" t="s">
        <v>61</v>
      </c>
      <c r="C132" s="29">
        <f>C133+C136+C137+C138</f>
        <v>70.3131</v>
      </c>
      <c r="D132" s="29">
        <f>D133+D136+D137+D138</f>
        <v>32.4</v>
      </c>
      <c r="E132" s="29">
        <f>E133+E136+E137+E138</f>
        <v>31</v>
      </c>
      <c r="F132" s="29"/>
      <c r="G132" s="29">
        <f t="shared" si="21"/>
        <v>133.7131</v>
      </c>
      <c r="H132" s="30" t="s">
        <v>17</v>
      </c>
      <c r="I132" s="31">
        <f>I133</f>
        <v>3</v>
      </c>
      <c r="J132" s="31">
        <f t="shared" si="39"/>
        <v>445710.333333333</v>
      </c>
      <c r="K132" s="32"/>
    </row>
    <row r="133" s="6" customFormat="1" ht="21" customHeight="1" outlineLevel="1" spans="1:11">
      <c r="A133" s="17">
        <v>1</v>
      </c>
      <c r="B133" s="33" t="s">
        <v>20</v>
      </c>
      <c r="C133" s="29">
        <f>SUM(C134:C135)</f>
        <v>70.0131</v>
      </c>
      <c r="D133" s="29"/>
      <c r="E133" s="29"/>
      <c r="F133" s="29"/>
      <c r="G133" s="29">
        <f t="shared" ref="G133:G167" si="40">SUM(C133:F133)</f>
        <v>70.0131</v>
      </c>
      <c r="H133" s="30" t="s">
        <v>17</v>
      </c>
      <c r="I133" s="31">
        <f>SUM(I134:I135)</f>
        <v>3</v>
      </c>
      <c r="J133" s="31">
        <f t="shared" si="39"/>
        <v>233377</v>
      </c>
      <c r="K133" s="32"/>
    </row>
    <row r="134" s="6" customFormat="1" ht="21" customHeight="1" outlineLevel="1" spans="1:11">
      <c r="A134" s="17"/>
      <c r="B134" s="33" t="s">
        <v>21</v>
      </c>
      <c r="C134" s="29">
        <f t="shared" ref="C134:C137" si="41">I134*J134/10000</f>
        <v>23.0039</v>
      </c>
      <c r="D134" s="29"/>
      <c r="E134" s="29"/>
      <c r="F134" s="29"/>
      <c r="G134" s="29">
        <f t="shared" si="40"/>
        <v>23.0039</v>
      </c>
      <c r="H134" s="30" t="s">
        <v>17</v>
      </c>
      <c r="I134" s="31">
        <v>1</v>
      </c>
      <c r="J134" s="31">
        <f>$J$8</f>
        <v>230039</v>
      </c>
      <c r="K134" s="32"/>
    </row>
    <row r="135" s="6" customFormat="1" ht="21" customHeight="1" outlineLevel="1" spans="1:11">
      <c r="A135" s="17"/>
      <c r="B135" s="33" t="s">
        <v>22</v>
      </c>
      <c r="C135" s="29">
        <f t="shared" si="41"/>
        <v>47.0092</v>
      </c>
      <c r="D135" s="29"/>
      <c r="E135" s="29"/>
      <c r="F135" s="29"/>
      <c r="G135" s="29">
        <f t="shared" si="40"/>
        <v>47.0092</v>
      </c>
      <c r="H135" s="30" t="s">
        <v>17</v>
      </c>
      <c r="I135" s="31">
        <v>2</v>
      </c>
      <c r="J135" s="31">
        <f>$J$9</f>
        <v>235046</v>
      </c>
      <c r="K135" s="32"/>
    </row>
    <row r="136" s="6" customFormat="1" ht="21" customHeight="1" outlineLevel="1" spans="1:11">
      <c r="A136" s="17">
        <v>2</v>
      </c>
      <c r="B136" s="33" t="s">
        <v>23</v>
      </c>
      <c r="C136" s="29"/>
      <c r="D136" s="29">
        <f>I136*J136/10000*0.9</f>
        <v>32.4</v>
      </c>
      <c r="E136" s="29">
        <f>I136*J136/10000*0.1</f>
        <v>3.6</v>
      </c>
      <c r="F136" s="29"/>
      <c r="G136" s="29">
        <f t="shared" si="40"/>
        <v>36</v>
      </c>
      <c r="H136" s="30" t="s">
        <v>17</v>
      </c>
      <c r="I136" s="31">
        <f>I133</f>
        <v>3</v>
      </c>
      <c r="J136" s="31">
        <v>120000</v>
      </c>
      <c r="K136" s="32"/>
    </row>
    <row r="137" s="6" customFormat="1" ht="21" customHeight="1" outlineLevel="1" spans="1:11">
      <c r="A137" s="17">
        <v>3</v>
      </c>
      <c r="B137" s="33" t="s">
        <v>24</v>
      </c>
      <c r="C137" s="29">
        <f t="shared" si="41"/>
        <v>0.3</v>
      </c>
      <c r="D137" s="29"/>
      <c r="E137" s="29"/>
      <c r="F137" s="29"/>
      <c r="G137" s="29">
        <f t="shared" si="40"/>
        <v>0.3</v>
      </c>
      <c r="H137" s="30" t="s">
        <v>17</v>
      </c>
      <c r="I137" s="31">
        <f>I133</f>
        <v>3</v>
      </c>
      <c r="J137" s="31">
        <f>$J$11</f>
        <v>1000</v>
      </c>
      <c r="K137" s="32"/>
    </row>
    <row r="138" s="6" customFormat="1" ht="21" customHeight="1" outlineLevel="1" spans="1:11">
      <c r="A138" s="17">
        <v>4</v>
      </c>
      <c r="B138" s="33" t="s">
        <v>25</v>
      </c>
      <c r="C138" s="29"/>
      <c r="D138" s="29"/>
      <c r="E138" s="29">
        <v>27.4</v>
      </c>
      <c r="F138" s="29"/>
      <c r="G138" s="29">
        <f t="shared" si="40"/>
        <v>27.4</v>
      </c>
      <c r="H138" s="30" t="s">
        <v>17</v>
      </c>
      <c r="I138" s="31">
        <f>I133</f>
        <v>3</v>
      </c>
      <c r="J138" s="31">
        <f t="shared" ref="J138:J140" si="42">G138/I138*10000</f>
        <v>91333.3333333333</v>
      </c>
      <c r="K138" s="32"/>
    </row>
    <row r="139" s="6" customFormat="1" ht="21" customHeight="1" outlineLevel="1" spans="1:11">
      <c r="A139" s="18" t="s">
        <v>62</v>
      </c>
      <c r="B139" s="23" t="s">
        <v>63</v>
      </c>
      <c r="C139" s="29">
        <f>C140+C143+C144+C145</f>
        <v>69.8124</v>
      </c>
      <c r="D139" s="29">
        <f>D140+D143+D144+D145</f>
        <v>32.4</v>
      </c>
      <c r="E139" s="29">
        <f>E140+E143+E144+E145</f>
        <v>31</v>
      </c>
      <c r="F139" s="29"/>
      <c r="G139" s="29">
        <f t="shared" si="40"/>
        <v>133.2124</v>
      </c>
      <c r="H139" s="30" t="s">
        <v>17</v>
      </c>
      <c r="I139" s="31">
        <f>I140</f>
        <v>3</v>
      </c>
      <c r="J139" s="31">
        <f t="shared" si="42"/>
        <v>444041.333333333</v>
      </c>
      <c r="K139" s="32"/>
    </row>
    <row r="140" s="6" customFormat="1" ht="21" customHeight="1" outlineLevel="1" spans="1:11">
      <c r="A140" s="17">
        <v>1</v>
      </c>
      <c r="B140" s="33" t="s">
        <v>20</v>
      </c>
      <c r="C140" s="29">
        <f>SUM(C141:C142)</f>
        <v>69.5124</v>
      </c>
      <c r="D140" s="29"/>
      <c r="E140" s="29"/>
      <c r="F140" s="29"/>
      <c r="G140" s="29">
        <f t="shared" si="40"/>
        <v>69.5124</v>
      </c>
      <c r="H140" s="30" t="s">
        <v>17</v>
      </c>
      <c r="I140" s="31">
        <f>SUM(I141:I142)</f>
        <v>3</v>
      </c>
      <c r="J140" s="31">
        <f t="shared" si="42"/>
        <v>231708</v>
      </c>
      <c r="K140" s="32"/>
    </row>
    <row r="141" s="6" customFormat="1" ht="21" customHeight="1" outlineLevel="1" spans="1:11">
      <c r="A141" s="17"/>
      <c r="B141" s="33" t="s">
        <v>21</v>
      </c>
      <c r="C141" s="29">
        <f t="shared" ref="C141:C144" si="43">I141*J141/10000</f>
        <v>46.0078</v>
      </c>
      <c r="D141" s="29"/>
      <c r="E141" s="29"/>
      <c r="F141" s="29"/>
      <c r="G141" s="29">
        <f t="shared" si="40"/>
        <v>46.0078</v>
      </c>
      <c r="H141" s="30" t="s">
        <v>17</v>
      </c>
      <c r="I141" s="31">
        <v>2</v>
      </c>
      <c r="J141" s="31">
        <f>$J$8</f>
        <v>230039</v>
      </c>
      <c r="K141" s="32"/>
    </row>
    <row r="142" s="6" customFormat="1" ht="21" customHeight="1" outlineLevel="1" spans="1:11">
      <c r="A142" s="17"/>
      <c r="B142" s="33" t="s">
        <v>22</v>
      </c>
      <c r="C142" s="29">
        <f t="shared" si="43"/>
        <v>23.5046</v>
      </c>
      <c r="D142" s="29"/>
      <c r="E142" s="29"/>
      <c r="F142" s="29"/>
      <c r="G142" s="29">
        <f t="shared" si="40"/>
        <v>23.5046</v>
      </c>
      <c r="H142" s="30" t="s">
        <v>17</v>
      </c>
      <c r="I142" s="31">
        <v>1</v>
      </c>
      <c r="J142" s="31">
        <f>$J$9</f>
        <v>235046</v>
      </c>
      <c r="K142" s="32"/>
    </row>
    <row r="143" s="6" customFormat="1" ht="21" customHeight="1" outlineLevel="1" spans="1:11">
      <c r="A143" s="17">
        <v>2</v>
      </c>
      <c r="B143" s="33" t="s">
        <v>23</v>
      </c>
      <c r="C143" s="29"/>
      <c r="D143" s="29">
        <f>I143*J143/10000*0.9</f>
        <v>32.4</v>
      </c>
      <c r="E143" s="29">
        <f>I143*J143/10000*0.1</f>
        <v>3.6</v>
      </c>
      <c r="F143" s="29"/>
      <c r="G143" s="29">
        <f t="shared" si="40"/>
        <v>36</v>
      </c>
      <c r="H143" s="30" t="s">
        <v>17</v>
      </c>
      <c r="I143" s="31">
        <f>I140</f>
        <v>3</v>
      </c>
      <c r="J143" s="31">
        <v>120000</v>
      </c>
      <c r="K143" s="32"/>
    </row>
    <row r="144" s="6" customFormat="1" ht="21" customHeight="1" outlineLevel="1" spans="1:11">
      <c r="A144" s="17">
        <v>3</v>
      </c>
      <c r="B144" s="33" t="s">
        <v>24</v>
      </c>
      <c r="C144" s="29">
        <f t="shared" si="43"/>
        <v>0.3</v>
      </c>
      <c r="D144" s="29"/>
      <c r="E144" s="29"/>
      <c r="F144" s="29"/>
      <c r="G144" s="29">
        <f t="shared" si="40"/>
        <v>0.3</v>
      </c>
      <c r="H144" s="30" t="s">
        <v>17</v>
      </c>
      <c r="I144" s="31">
        <f>I140</f>
        <v>3</v>
      </c>
      <c r="J144" s="31">
        <f>$J$11</f>
        <v>1000</v>
      </c>
      <c r="K144" s="32"/>
    </row>
    <row r="145" s="6" customFormat="1" ht="21" customHeight="1" outlineLevel="1" spans="1:11">
      <c r="A145" s="17">
        <v>4</v>
      </c>
      <c r="B145" s="33" t="s">
        <v>25</v>
      </c>
      <c r="C145" s="29"/>
      <c r="D145" s="29"/>
      <c r="E145" s="29">
        <v>27.4</v>
      </c>
      <c r="F145" s="29"/>
      <c r="G145" s="29">
        <f t="shared" si="40"/>
        <v>27.4</v>
      </c>
      <c r="H145" s="30" t="s">
        <v>17</v>
      </c>
      <c r="I145" s="31">
        <f>I140</f>
        <v>3</v>
      </c>
      <c r="J145" s="31">
        <f t="shared" ref="J145:J147" si="44">G145/I145*10000</f>
        <v>91333.3333333333</v>
      </c>
      <c r="K145" s="32"/>
    </row>
    <row r="146" s="6" customFormat="1" ht="21" customHeight="1" outlineLevel="1" spans="1:11">
      <c r="A146" s="18" t="s">
        <v>64</v>
      </c>
      <c r="B146" s="23" t="s">
        <v>65</v>
      </c>
      <c r="C146" s="29">
        <f>C147+C150+C151+C152</f>
        <v>163.7301</v>
      </c>
      <c r="D146" s="29">
        <f>D147+D150+D151+D152</f>
        <v>86.6</v>
      </c>
      <c r="E146" s="29">
        <f>E147+E150+E151+E152</f>
        <v>59.91</v>
      </c>
      <c r="F146" s="29"/>
      <c r="G146" s="29">
        <f t="shared" si="40"/>
        <v>310.2401</v>
      </c>
      <c r="H146" s="30" t="s">
        <v>17</v>
      </c>
      <c r="I146" s="31">
        <f>I147</f>
        <v>7</v>
      </c>
      <c r="J146" s="31">
        <f t="shared" si="44"/>
        <v>443200.142857143</v>
      </c>
      <c r="K146" s="32"/>
    </row>
    <row r="147" s="6" customFormat="1" ht="21" customHeight="1" outlineLevel="1" spans="1:11">
      <c r="A147" s="17">
        <v>1</v>
      </c>
      <c r="B147" s="33" t="s">
        <v>20</v>
      </c>
      <c r="C147" s="29">
        <f>SUM(C148:C149)</f>
        <v>163.0301</v>
      </c>
      <c r="D147" s="29"/>
      <c r="E147" s="29"/>
      <c r="F147" s="29"/>
      <c r="G147" s="29">
        <f t="shared" si="40"/>
        <v>163.0301</v>
      </c>
      <c r="H147" s="30" t="s">
        <v>17</v>
      </c>
      <c r="I147" s="31">
        <f>SUM(I148:I149)</f>
        <v>7</v>
      </c>
      <c r="J147" s="31">
        <f t="shared" si="44"/>
        <v>232900.142857143</v>
      </c>
      <c r="K147" s="32"/>
    </row>
    <row r="148" s="6" customFormat="1" ht="21" customHeight="1" outlineLevel="1" spans="1:11">
      <c r="A148" s="17"/>
      <c r="B148" s="33" t="s">
        <v>21</v>
      </c>
      <c r="C148" s="29">
        <f t="shared" ref="C148:C151" si="45">I148*J148/10000</f>
        <v>69.0117</v>
      </c>
      <c r="D148" s="29"/>
      <c r="E148" s="29"/>
      <c r="F148" s="29"/>
      <c r="G148" s="29">
        <f t="shared" si="40"/>
        <v>69.0117</v>
      </c>
      <c r="H148" s="30" t="s">
        <v>17</v>
      </c>
      <c r="I148" s="31">
        <v>3</v>
      </c>
      <c r="J148" s="31">
        <f>$J$8</f>
        <v>230039</v>
      </c>
      <c r="K148" s="32"/>
    </row>
    <row r="149" s="6" customFormat="1" ht="21" customHeight="1" outlineLevel="1" spans="1:11">
      <c r="A149" s="17"/>
      <c r="B149" s="33" t="s">
        <v>22</v>
      </c>
      <c r="C149" s="29">
        <f t="shared" si="45"/>
        <v>94.0184</v>
      </c>
      <c r="D149" s="29"/>
      <c r="E149" s="29"/>
      <c r="F149" s="29"/>
      <c r="G149" s="29">
        <f t="shared" si="40"/>
        <v>94.0184</v>
      </c>
      <c r="H149" s="30" t="s">
        <v>17</v>
      </c>
      <c r="I149" s="31">
        <v>4</v>
      </c>
      <c r="J149" s="31">
        <f>$J$9</f>
        <v>235046</v>
      </c>
      <c r="K149" s="32"/>
    </row>
    <row r="150" s="6" customFormat="1" ht="21" customHeight="1" outlineLevel="1" spans="1:11">
      <c r="A150" s="17">
        <v>2</v>
      </c>
      <c r="B150" s="33" t="s">
        <v>23</v>
      </c>
      <c r="C150" s="29"/>
      <c r="D150" s="29">
        <f>I150*J150/10000*0.9</f>
        <v>75.6</v>
      </c>
      <c r="E150" s="29">
        <f>I150*J150/10000*0.1</f>
        <v>8.4</v>
      </c>
      <c r="F150" s="29"/>
      <c r="G150" s="29">
        <f t="shared" si="40"/>
        <v>84</v>
      </c>
      <c r="H150" s="30" t="s">
        <v>17</v>
      </c>
      <c r="I150" s="31">
        <f>I147</f>
        <v>7</v>
      </c>
      <c r="J150" s="31">
        <v>120000</v>
      </c>
      <c r="K150" s="32"/>
    </row>
    <row r="151" s="6" customFormat="1" ht="21" customHeight="1" outlineLevel="1" spans="1:11">
      <c r="A151" s="17">
        <v>3</v>
      </c>
      <c r="B151" s="33" t="s">
        <v>24</v>
      </c>
      <c r="C151" s="29">
        <f t="shared" si="45"/>
        <v>0.7</v>
      </c>
      <c r="D151" s="29"/>
      <c r="E151" s="29"/>
      <c r="F151" s="29"/>
      <c r="G151" s="29">
        <f t="shared" si="40"/>
        <v>0.7</v>
      </c>
      <c r="H151" s="30" t="s">
        <v>17</v>
      </c>
      <c r="I151" s="31">
        <f>I147</f>
        <v>7</v>
      </c>
      <c r="J151" s="31">
        <f>$J$11</f>
        <v>1000</v>
      </c>
      <c r="K151" s="32"/>
    </row>
    <row r="152" s="6" customFormat="1" ht="21" customHeight="1" outlineLevel="1" spans="1:11">
      <c r="A152" s="17">
        <v>4</v>
      </c>
      <c r="B152" s="33" t="s">
        <v>25</v>
      </c>
      <c r="C152" s="29"/>
      <c r="D152" s="29">
        <v>11</v>
      </c>
      <c r="E152" s="29">
        <f>62.51-D152</f>
        <v>51.51</v>
      </c>
      <c r="F152" s="29"/>
      <c r="G152" s="29">
        <f t="shared" si="40"/>
        <v>62.51</v>
      </c>
      <c r="H152" s="30" t="s">
        <v>17</v>
      </c>
      <c r="I152" s="31">
        <f>I147</f>
        <v>7</v>
      </c>
      <c r="J152" s="31">
        <f t="shared" ref="J152:J154" si="46">G152/I152*10000</f>
        <v>89300</v>
      </c>
      <c r="K152" s="32"/>
    </row>
    <row r="153" s="6" customFormat="1" ht="21" customHeight="1" outlineLevel="1" spans="1:11">
      <c r="A153" s="18" t="s">
        <v>66</v>
      </c>
      <c r="B153" s="23" t="s">
        <v>67</v>
      </c>
      <c r="C153" s="29">
        <f>C154+C157+C158+C159</f>
        <v>234.0432</v>
      </c>
      <c r="D153" s="29">
        <f>D154+D157+D158+D159</f>
        <v>120</v>
      </c>
      <c r="E153" s="29">
        <f>E154+E157+E158+E159</f>
        <v>72.92</v>
      </c>
      <c r="F153" s="29"/>
      <c r="G153" s="29">
        <f t="shared" si="40"/>
        <v>426.9632</v>
      </c>
      <c r="H153" s="30" t="s">
        <v>17</v>
      </c>
      <c r="I153" s="31">
        <f>I154</f>
        <v>10</v>
      </c>
      <c r="J153" s="31">
        <f t="shared" si="46"/>
        <v>426963.2</v>
      </c>
      <c r="K153" s="32"/>
    </row>
    <row r="154" s="6" customFormat="1" ht="21" customHeight="1" outlineLevel="1" spans="1:11">
      <c r="A154" s="17">
        <v>1</v>
      </c>
      <c r="B154" s="33" t="s">
        <v>20</v>
      </c>
      <c r="C154" s="29">
        <f>SUM(C155:C156)</f>
        <v>233.0432</v>
      </c>
      <c r="D154" s="29"/>
      <c r="E154" s="29"/>
      <c r="F154" s="29"/>
      <c r="G154" s="29">
        <f t="shared" si="40"/>
        <v>233.0432</v>
      </c>
      <c r="H154" s="30" t="s">
        <v>17</v>
      </c>
      <c r="I154" s="31">
        <f>SUM(I155:I156)</f>
        <v>10</v>
      </c>
      <c r="J154" s="31">
        <f t="shared" si="46"/>
        <v>233043.2</v>
      </c>
      <c r="K154" s="32"/>
    </row>
    <row r="155" s="6" customFormat="1" ht="21" customHeight="1" outlineLevel="1" spans="1:11">
      <c r="A155" s="17"/>
      <c r="B155" s="33" t="s">
        <v>21</v>
      </c>
      <c r="C155" s="29">
        <f t="shared" ref="C155:C158" si="47">I155*J155/10000</f>
        <v>92.0156</v>
      </c>
      <c r="D155" s="29"/>
      <c r="E155" s="29"/>
      <c r="F155" s="29"/>
      <c r="G155" s="29">
        <f t="shared" si="40"/>
        <v>92.0156</v>
      </c>
      <c r="H155" s="30" t="s">
        <v>17</v>
      </c>
      <c r="I155" s="31">
        <f>6-2</f>
        <v>4</v>
      </c>
      <c r="J155" s="31">
        <f>$J$8</f>
        <v>230039</v>
      </c>
      <c r="K155" s="32"/>
    </row>
    <row r="156" s="6" customFormat="1" ht="21" customHeight="1" outlineLevel="1" spans="1:11">
      <c r="A156" s="17"/>
      <c r="B156" s="33" t="s">
        <v>22</v>
      </c>
      <c r="C156" s="29">
        <f t="shared" si="47"/>
        <v>141.0276</v>
      </c>
      <c r="D156" s="29"/>
      <c r="E156" s="29"/>
      <c r="F156" s="29"/>
      <c r="G156" s="29">
        <f t="shared" si="40"/>
        <v>141.0276</v>
      </c>
      <c r="H156" s="30" t="s">
        <v>17</v>
      </c>
      <c r="I156" s="31">
        <v>6</v>
      </c>
      <c r="J156" s="31">
        <f>$J$9</f>
        <v>235046</v>
      </c>
      <c r="K156" s="32"/>
    </row>
    <row r="157" s="6" customFormat="1" ht="21" customHeight="1" outlineLevel="1" spans="1:11">
      <c r="A157" s="17">
        <v>2</v>
      </c>
      <c r="B157" s="33" t="s">
        <v>23</v>
      </c>
      <c r="C157" s="29"/>
      <c r="D157" s="29">
        <f>I157*J157/10000*0.9</f>
        <v>108</v>
      </c>
      <c r="E157" s="29">
        <f>I157*J157/10000*0.1</f>
        <v>12</v>
      </c>
      <c r="F157" s="29"/>
      <c r="G157" s="29">
        <f t="shared" si="40"/>
        <v>120</v>
      </c>
      <c r="H157" s="30" t="s">
        <v>17</v>
      </c>
      <c r="I157" s="31">
        <f>I154</f>
        <v>10</v>
      </c>
      <c r="J157" s="31">
        <v>120000</v>
      </c>
      <c r="K157" s="32"/>
    </row>
    <row r="158" s="6" customFormat="1" ht="21" customHeight="1" outlineLevel="1" spans="1:11">
      <c r="A158" s="17">
        <v>3</v>
      </c>
      <c r="B158" s="33" t="s">
        <v>24</v>
      </c>
      <c r="C158" s="29">
        <f t="shared" si="47"/>
        <v>1</v>
      </c>
      <c r="D158" s="29"/>
      <c r="E158" s="29"/>
      <c r="F158" s="29"/>
      <c r="G158" s="29">
        <f t="shared" si="40"/>
        <v>1</v>
      </c>
      <c r="H158" s="30" t="s">
        <v>17</v>
      </c>
      <c r="I158" s="31">
        <f>I154</f>
        <v>10</v>
      </c>
      <c r="J158" s="31">
        <f>$J$11</f>
        <v>1000</v>
      </c>
      <c r="K158" s="32"/>
    </row>
    <row r="159" s="6" customFormat="1" ht="21" customHeight="1" outlineLevel="1" spans="1:11">
      <c r="A159" s="17">
        <v>4</v>
      </c>
      <c r="B159" s="33" t="s">
        <v>25</v>
      </c>
      <c r="C159" s="29"/>
      <c r="D159" s="29">
        <v>12</v>
      </c>
      <c r="E159" s="29">
        <f>72.92-D159</f>
        <v>60.92</v>
      </c>
      <c r="F159" s="29"/>
      <c r="G159" s="29">
        <f t="shared" si="40"/>
        <v>72.92</v>
      </c>
      <c r="H159" s="30" t="s">
        <v>17</v>
      </c>
      <c r="I159" s="31">
        <f>I154</f>
        <v>10</v>
      </c>
      <c r="J159" s="31">
        <f t="shared" ref="J159:J161" si="48">G159/I159*10000</f>
        <v>72920</v>
      </c>
      <c r="K159" s="32"/>
    </row>
    <row r="160" s="6" customFormat="1" ht="21" customHeight="1" outlineLevel="1" spans="1:11">
      <c r="A160" s="18" t="s">
        <v>68</v>
      </c>
      <c r="B160" s="23" t="s">
        <v>69</v>
      </c>
      <c r="C160" s="29">
        <f>C161+C164+C165+C166</f>
        <v>210.4386</v>
      </c>
      <c r="D160" s="29">
        <f>D161+D164+D165+D166</f>
        <v>109.2</v>
      </c>
      <c r="E160" s="29">
        <f>E161+E164+E165+E166</f>
        <v>68.62</v>
      </c>
      <c r="F160" s="29"/>
      <c r="G160" s="29">
        <f t="shared" si="40"/>
        <v>388.2586</v>
      </c>
      <c r="H160" s="30" t="s">
        <v>17</v>
      </c>
      <c r="I160" s="31">
        <f>I161</f>
        <v>9</v>
      </c>
      <c r="J160" s="31">
        <f t="shared" si="48"/>
        <v>431398.444444444</v>
      </c>
      <c r="K160" s="32"/>
    </row>
    <row r="161" s="6" customFormat="1" ht="21" customHeight="1" outlineLevel="1" spans="1:11">
      <c r="A161" s="17">
        <v>1</v>
      </c>
      <c r="B161" s="33" t="s">
        <v>20</v>
      </c>
      <c r="C161" s="29">
        <f>SUM(C162:C163)</f>
        <v>209.5386</v>
      </c>
      <c r="D161" s="29"/>
      <c r="E161" s="29"/>
      <c r="F161" s="29"/>
      <c r="G161" s="29">
        <f t="shared" si="40"/>
        <v>209.5386</v>
      </c>
      <c r="H161" s="30" t="s">
        <v>17</v>
      </c>
      <c r="I161" s="31">
        <f>SUM(I162:I163)</f>
        <v>9</v>
      </c>
      <c r="J161" s="31">
        <f t="shared" si="48"/>
        <v>232820.666666667</v>
      </c>
      <c r="K161" s="32"/>
    </row>
    <row r="162" s="6" customFormat="1" ht="21" customHeight="1" outlineLevel="1" spans="1:11">
      <c r="A162" s="17"/>
      <c r="B162" s="33" t="s">
        <v>21</v>
      </c>
      <c r="C162" s="29">
        <f t="shared" ref="C162:C165" si="49">I162*J162/10000</f>
        <v>92.0156</v>
      </c>
      <c r="D162" s="29"/>
      <c r="E162" s="29"/>
      <c r="F162" s="29"/>
      <c r="G162" s="29">
        <f t="shared" si="40"/>
        <v>92.0156</v>
      </c>
      <c r="H162" s="30" t="s">
        <v>17</v>
      </c>
      <c r="I162" s="31">
        <f>6-2</f>
        <v>4</v>
      </c>
      <c r="J162" s="31">
        <f>$J$8</f>
        <v>230039</v>
      </c>
      <c r="K162" s="32"/>
    </row>
    <row r="163" s="6" customFormat="1" ht="21" customHeight="1" outlineLevel="1" spans="1:11">
      <c r="A163" s="17"/>
      <c r="B163" s="33" t="s">
        <v>22</v>
      </c>
      <c r="C163" s="29">
        <f t="shared" si="49"/>
        <v>117.523</v>
      </c>
      <c r="D163" s="29"/>
      <c r="E163" s="29"/>
      <c r="F163" s="29"/>
      <c r="G163" s="29">
        <f t="shared" si="40"/>
        <v>117.523</v>
      </c>
      <c r="H163" s="30" t="s">
        <v>17</v>
      </c>
      <c r="I163" s="31">
        <v>5</v>
      </c>
      <c r="J163" s="31">
        <f>$J$9</f>
        <v>235046</v>
      </c>
      <c r="K163" s="32"/>
    </row>
    <row r="164" s="6" customFormat="1" ht="21" customHeight="1" outlineLevel="1" spans="1:11">
      <c r="A164" s="17">
        <v>2</v>
      </c>
      <c r="B164" s="33" t="s">
        <v>23</v>
      </c>
      <c r="C164" s="29"/>
      <c r="D164" s="29">
        <f>I164*J164/10000*0.9</f>
        <v>97.2</v>
      </c>
      <c r="E164" s="29">
        <f>I164*J164/10000*0.1</f>
        <v>10.8</v>
      </c>
      <c r="F164" s="29"/>
      <c r="G164" s="29">
        <f t="shared" si="40"/>
        <v>108</v>
      </c>
      <c r="H164" s="30" t="s">
        <v>17</v>
      </c>
      <c r="I164" s="31">
        <f>I161</f>
        <v>9</v>
      </c>
      <c r="J164" s="31">
        <v>120000</v>
      </c>
      <c r="K164" s="32"/>
    </row>
    <row r="165" s="6" customFormat="1" ht="21" customHeight="1" outlineLevel="1" spans="1:11">
      <c r="A165" s="17">
        <v>3</v>
      </c>
      <c r="B165" s="33" t="s">
        <v>24</v>
      </c>
      <c r="C165" s="29">
        <f t="shared" si="49"/>
        <v>0.9</v>
      </c>
      <c r="D165" s="29"/>
      <c r="E165" s="29"/>
      <c r="F165" s="29"/>
      <c r="G165" s="29">
        <f t="shared" si="40"/>
        <v>0.9</v>
      </c>
      <c r="H165" s="30" t="s">
        <v>17</v>
      </c>
      <c r="I165" s="31">
        <f>I161</f>
        <v>9</v>
      </c>
      <c r="J165" s="31">
        <f>$J$11</f>
        <v>1000</v>
      </c>
      <c r="K165" s="32"/>
    </row>
    <row r="166" s="6" customFormat="1" ht="21" customHeight="1" outlineLevel="1" spans="1:11">
      <c r="A166" s="17">
        <v>4</v>
      </c>
      <c r="B166" s="33" t="s">
        <v>25</v>
      </c>
      <c r="C166" s="29"/>
      <c r="D166" s="29">
        <v>12</v>
      </c>
      <c r="E166" s="29">
        <f>69.82-D166</f>
        <v>57.82</v>
      </c>
      <c r="F166" s="29"/>
      <c r="G166" s="29">
        <f t="shared" si="40"/>
        <v>69.82</v>
      </c>
      <c r="H166" s="30" t="s">
        <v>17</v>
      </c>
      <c r="I166" s="31">
        <f>I161</f>
        <v>9</v>
      </c>
      <c r="J166" s="31">
        <f>G166/I166*10000</f>
        <v>77577.7777777778</v>
      </c>
      <c r="K166" s="32"/>
    </row>
    <row r="167" s="6" customFormat="1" ht="21" customHeight="1" outlineLevel="1" spans="1:11">
      <c r="A167" s="18" t="s">
        <v>70</v>
      </c>
      <c r="B167" s="23" t="s">
        <v>71</v>
      </c>
      <c r="C167" s="29">
        <f>I167*J167/10000</f>
        <v>2.57868</v>
      </c>
      <c r="D167" s="29"/>
      <c r="E167" s="29"/>
      <c r="F167" s="29"/>
      <c r="G167" s="29">
        <f t="shared" si="40"/>
        <v>2.57868</v>
      </c>
      <c r="H167" s="34" t="s">
        <v>72</v>
      </c>
      <c r="I167" s="31">
        <f>100*0.41*23+8.16*180+200*0.41*23</f>
        <v>4297.8</v>
      </c>
      <c r="J167" s="31">
        <v>6</v>
      </c>
      <c r="K167" s="32"/>
    </row>
    <row r="168" s="4" customFormat="1" ht="21" customHeight="1" spans="1:11">
      <c r="A168" s="22" t="s">
        <v>73</v>
      </c>
      <c r="B168" s="35" t="s">
        <v>74</v>
      </c>
      <c r="C168" s="24"/>
      <c r="D168" s="24"/>
      <c r="E168" s="24"/>
      <c r="F168" s="24">
        <f>F169+F170+F172+F173+F174+F175+F176+F177+F178+F179+F180+F181+F182+F183+F184+F185+F171</f>
        <v>674.161641174117</v>
      </c>
      <c r="G168" s="24">
        <f t="shared" ref="G168:G187" si="50">F168</f>
        <v>674.161641174117</v>
      </c>
      <c r="H168" s="34"/>
      <c r="I168" s="36"/>
      <c r="J168" s="37"/>
      <c r="K168" s="28">
        <f>G168/G188*100</f>
        <v>7.67508179295268</v>
      </c>
    </row>
    <row r="169" s="4" customFormat="1" ht="30" customHeight="1" spans="1:11">
      <c r="A169" s="17">
        <v>1</v>
      </c>
      <c r="B169" s="33" t="s">
        <v>75</v>
      </c>
      <c r="C169" s="29"/>
      <c r="D169" s="29"/>
      <c r="E169" s="29"/>
      <c r="F169" s="29">
        <f t="shared" ref="F169:F172" si="51">I169*J169</f>
        <v>15.80393696</v>
      </c>
      <c r="G169" s="29">
        <f t="shared" si="50"/>
        <v>15.80393696</v>
      </c>
      <c r="H169" s="30" t="s">
        <v>76</v>
      </c>
      <c r="I169" s="37">
        <f>G5</f>
        <v>7901.96848</v>
      </c>
      <c r="J169" s="38">
        <v>0.002</v>
      </c>
      <c r="K169" s="39"/>
    </row>
    <row r="170" s="4" customFormat="1" ht="22" customHeight="1" spans="1:11">
      <c r="A170" s="17">
        <v>2</v>
      </c>
      <c r="B170" s="33" t="s">
        <v>77</v>
      </c>
      <c r="C170" s="29"/>
      <c r="D170" s="29"/>
      <c r="E170" s="29"/>
      <c r="F170" s="29">
        <f t="shared" si="51"/>
        <v>79.0196848</v>
      </c>
      <c r="G170" s="29">
        <f t="shared" si="50"/>
        <v>79.0196848</v>
      </c>
      <c r="H170" s="30" t="s">
        <v>76</v>
      </c>
      <c r="I170" s="37">
        <f t="shared" ref="I170:I173" si="52">I169</f>
        <v>7901.96848</v>
      </c>
      <c r="J170" s="38">
        <v>0.01</v>
      </c>
      <c r="K170" s="40"/>
    </row>
    <row r="171" s="4" customFormat="1" ht="22" customHeight="1" spans="1:11">
      <c r="A171" s="17">
        <v>3</v>
      </c>
      <c r="B171" s="33" t="s">
        <v>78</v>
      </c>
      <c r="C171" s="29"/>
      <c r="D171" s="29"/>
      <c r="E171" s="29"/>
      <c r="F171" s="29">
        <f t="shared" si="51"/>
        <v>11.85295272</v>
      </c>
      <c r="G171" s="29">
        <f t="shared" si="50"/>
        <v>11.85295272</v>
      </c>
      <c r="H171" s="30" t="s">
        <v>76</v>
      </c>
      <c r="I171" s="37">
        <f t="shared" si="52"/>
        <v>7901.96848</v>
      </c>
      <c r="J171" s="38">
        <v>0.0015</v>
      </c>
      <c r="K171" s="40"/>
    </row>
    <row r="172" s="4" customFormat="1" ht="22" customHeight="1" spans="1:11">
      <c r="A172" s="17">
        <v>4</v>
      </c>
      <c r="B172" s="33" t="s">
        <v>79</v>
      </c>
      <c r="C172" s="29"/>
      <c r="D172" s="29"/>
      <c r="E172" s="29"/>
      <c r="F172" s="29">
        <f t="shared" si="51"/>
        <v>158.0393696</v>
      </c>
      <c r="G172" s="29">
        <f t="shared" si="50"/>
        <v>158.0393696</v>
      </c>
      <c r="H172" s="30" t="s">
        <v>76</v>
      </c>
      <c r="I172" s="37">
        <f>I170</f>
        <v>7901.96848</v>
      </c>
      <c r="J172" s="38">
        <v>0.02</v>
      </c>
      <c r="K172" s="40"/>
    </row>
    <row r="173" s="6" customFormat="1" ht="30" customHeight="1" spans="1:11">
      <c r="A173" s="17">
        <v>5</v>
      </c>
      <c r="B173" s="33" t="s">
        <v>80</v>
      </c>
      <c r="C173" s="29"/>
      <c r="D173" s="29"/>
      <c r="E173" s="29"/>
      <c r="F173" s="29">
        <f>1+2.8+2.75+14+10+(I173-10000)*0.05%</f>
        <v>29.50098424</v>
      </c>
      <c r="G173" s="29">
        <f t="shared" si="50"/>
        <v>29.50098424</v>
      </c>
      <c r="H173" s="30" t="s">
        <v>76</v>
      </c>
      <c r="I173" s="37">
        <f t="shared" si="52"/>
        <v>7901.96848</v>
      </c>
      <c r="J173" s="38">
        <f>G173/I173</f>
        <v>0.0037333715408594</v>
      </c>
      <c r="K173" s="41"/>
    </row>
    <row r="174" s="4" customFormat="1" ht="31" customHeight="1" spans="1:11">
      <c r="A174" s="17">
        <v>6</v>
      </c>
      <c r="B174" s="42" t="s">
        <v>81</v>
      </c>
      <c r="C174" s="29"/>
      <c r="D174" s="29"/>
      <c r="E174" s="29"/>
      <c r="F174" s="29">
        <f t="shared" ref="F174:F177" si="53">I174*J174</f>
        <v>23.70590544</v>
      </c>
      <c r="G174" s="29">
        <f t="shared" si="50"/>
        <v>23.70590544</v>
      </c>
      <c r="H174" s="30" t="s">
        <v>76</v>
      </c>
      <c r="I174" s="37">
        <f>I170</f>
        <v>7901.96848</v>
      </c>
      <c r="J174" s="38">
        <v>0.003</v>
      </c>
      <c r="K174" s="40"/>
    </row>
    <row r="175" s="6" customFormat="1" ht="31" customHeight="1" spans="1:11">
      <c r="A175" s="17">
        <v>7</v>
      </c>
      <c r="B175" s="42" t="s">
        <v>82</v>
      </c>
      <c r="C175" s="29"/>
      <c r="D175" s="29"/>
      <c r="E175" s="29"/>
      <c r="F175" s="29">
        <f t="shared" si="53"/>
        <v>23.70590544</v>
      </c>
      <c r="G175" s="29">
        <f t="shared" si="50"/>
        <v>23.70590544</v>
      </c>
      <c r="H175" s="30" t="s">
        <v>76</v>
      </c>
      <c r="I175" s="37">
        <f>I174</f>
        <v>7901.96848</v>
      </c>
      <c r="J175" s="38">
        <v>0.003</v>
      </c>
      <c r="K175" s="40"/>
    </row>
    <row r="176" s="6" customFormat="1" ht="27" customHeight="1" spans="1:11">
      <c r="A176" s="17">
        <v>8</v>
      </c>
      <c r="B176" s="33" t="s">
        <v>83</v>
      </c>
      <c r="C176" s="29"/>
      <c r="D176" s="29"/>
      <c r="E176" s="29"/>
      <c r="F176" s="29">
        <f t="shared" si="53"/>
        <v>20.545118048</v>
      </c>
      <c r="G176" s="29">
        <f t="shared" si="50"/>
        <v>20.545118048</v>
      </c>
      <c r="H176" s="30" t="s">
        <v>76</v>
      </c>
      <c r="I176" s="37">
        <f>I175</f>
        <v>7901.96848</v>
      </c>
      <c r="J176" s="38">
        <v>0.0026</v>
      </c>
      <c r="K176" s="40"/>
    </row>
    <row r="177" s="6" customFormat="1" ht="27" customHeight="1" spans="1:11">
      <c r="A177" s="17">
        <v>9</v>
      </c>
      <c r="B177" s="33" t="s">
        <v>84</v>
      </c>
      <c r="C177" s="29"/>
      <c r="D177" s="29"/>
      <c r="E177" s="29"/>
      <c r="F177" s="29">
        <f t="shared" si="53"/>
        <v>110.62755872</v>
      </c>
      <c r="G177" s="29">
        <f t="shared" si="50"/>
        <v>110.62755872</v>
      </c>
      <c r="H177" s="30" t="s">
        <v>76</v>
      </c>
      <c r="I177" s="37">
        <f>I175</f>
        <v>7901.96848</v>
      </c>
      <c r="J177" s="38">
        <v>0.014</v>
      </c>
      <c r="K177" s="40"/>
    </row>
    <row r="178" s="6" customFormat="1" ht="31" customHeight="1" spans="1:11">
      <c r="A178" s="17">
        <v>10</v>
      </c>
      <c r="B178" s="33" t="s">
        <v>85</v>
      </c>
      <c r="C178" s="29"/>
      <c r="D178" s="29"/>
      <c r="E178" s="29"/>
      <c r="F178" s="29">
        <f>(I177-3000)*(18-7.5)/17000+7.5</f>
        <v>10.5276864141176</v>
      </c>
      <c r="G178" s="29">
        <f t="shared" si="50"/>
        <v>10.5276864141176</v>
      </c>
      <c r="H178" s="30" t="s">
        <v>76</v>
      </c>
      <c r="I178" s="37">
        <f>I175</f>
        <v>7901.96848</v>
      </c>
      <c r="J178" s="38">
        <f>G178/I178</f>
        <v>0.0013322865613503</v>
      </c>
      <c r="K178" s="40"/>
    </row>
    <row r="179" s="6" customFormat="1" ht="22" customHeight="1" spans="1:11">
      <c r="A179" s="17">
        <v>11</v>
      </c>
      <c r="B179" s="33" t="s">
        <v>86</v>
      </c>
      <c r="C179" s="29"/>
      <c r="D179" s="29"/>
      <c r="E179" s="29"/>
      <c r="F179" s="29">
        <f>F170*6.5%</f>
        <v>5.136279512</v>
      </c>
      <c r="G179" s="29">
        <f t="shared" si="50"/>
        <v>5.136279512</v>
      </c>
      <c r="H179" s="30" t="s">
        <v>76</v>
      </c>
      <c r="I179" s="37">
        <f>G170</f>
        <v>79.0196848</v>
      </c>
      <c r="J179" s="43">
        <f>G179/I179</f>
        <v>0.065</v>
      </c>
      <c r="K179" s="39"/>
    </row>
    <row r="180" s="6" customFormat="1" ht="31" customHeight="1" spans="1:11">
      <c r="A180" s="17">
        <v>12</v>
      </c>
      <c r="B180" s="33" t="s">
        <v>87</v>
      </c>
      <c r="C180" s="37"/>
      <c r="D180" s="44"/>
      <c r="E180" s="44"/>
      <c r="F180" s="37">
        <f>J180*I180</f>
        <v>39.5098424</v>
      </c>
      <c r="G180" s="37">
        <f t="shared" si="50"/>
        <v>39.5098424</v>
      </c>
      <c r="H180" s="45" t="s">
        <v>76</v>
      </c>
      <c r="I180" s="37">
        <f>I170</f>
        <v>7901.96848</v>
      </c>
      <c r="J180" s="38">
        <v>0.005</v>
      </c>
      <c r="K180" s="39"/>
    </row>
    <row r="181" s="4" customFormat="1" ht="29.25" customHeight="1" spans="1:11">
      <c r="A181" s="17">
        <v>13</v>
      </c>
      <c r="B181" s="33" t="s">
        <v>88</v>
      </c>
      <c r="C181" s="29"/>
      <c r="D181" s="29"/>
      <c r="E181" s="29"/>
      <c r="F181" s="29">
        <f t="shared" ref="F181:F183" si="54">I181*J181</f>
        <v>35.55885816</v>
      </c>
      <c r="G181" s="29">
        <f t="shared" si="50"/>
        <v>35.55885816</v>
      </c>
      <c r="H181" s="30" t="s">
        <v>76</v>
      </c>
      <c r="I181" s="37">
        <f t="shared" ref="I181:I185" si="55">I180</f>
        <v>7901.96848</v>
      </c>
      <c r="J181" s="38">
        <v>0.0045</v>
      </c>
      <c r="K181" s="40"/>
    </row>
    <row r="182" s="4" customFormat="1" ht="21" customHeight="1" spans="1:11">
      <c r="A182" s="17">
        <v>14</v>
      </c>
      <c r="B182" s="33" t="s">
        <v>89</v>
      </c>
      <c r="C182" s="29"/>
      <c r="D182" s="29"/>
      <c r="E182" s="29"/>
      <c r="F182" s="29">
        <f t="shared" si="54"/>
        <v>35.55885816</v>
      </c>
      <c r="G182" s="29">
        <f t="shared" si="50"/>
        <v>35.55885816</v>
      </c>
      <c r="H182" s="30" t="s">
        <v>76</v>
      </c>
      <c r="I182" s="37">
        <f>I180</f>
        <v>7901.96848</v>
      </c>
      <c r="J182" s="38">
        <v>0.0045</v>
      </c>
      <c r="K182" s="40"/>
    </row>
    <row r="183" s="4" customFormat="1" ht="21" customHeight="1" spans="1:11">
      <c r="A183" s="17">
        <v>15</v>
      </c>
      <c r="B183" s="33" t="s">
        <v>90</v>
      </c>
      <c r="C183" s="29"/>
      <c r="D183" s="29"/>
      <c r="E183" s="29"/>
      <c r="F183" s="29">
        <f t="shared" si="54"/>
        <v>15.80393696</v>
      </c>
      <c r="G183" s="29">
        <f t="shared" si="50"/>
        <v>15.80393696</v>
      </c>
      <c r="H183" s="30" t="s">
        <v>76</v>
      </c>
      <c r="I183" s="37">
        <f>I180</f>
        <v>7901.96848</v>
      </c>
      <c r="J183" s="38">
        <v>0.002</v>
      </c>
      <c r="K183" s="40"/>
    </row>
    <row r="184" s="4" customFormat="1" ht="21" customHeight="1" spans="1:11">
      <c r="A184" s="17">
        <v>16</v>
      </c>
      <c r="B184" s="46" t="s">
        <v>91</v>
      </c>
      <c r="C184" s="29"/>
      <c r="D184" s="29"/>
      <c r="E184" s="29"/>
      <c r="F184" s="29">
        <f>I184*0.3%</f>
        <v>23.70590544</v>
      </c>
      <c r="G184" s="29">
        <f t="shared" si="50"/>
        <v>23.70590544</v>
      </c>
      <c r="H184" s="30" t="s">
        <v>76</v>
      </c>
      <c r="I184" s="37">
        <f t="shared" si="55"/>
        <v>7901.96848</v>
      </c>
      <c r="J184" s="38">
        <v>0.0015</v>
      </c>
      <c r="K184" s="39"/>
    </row>
    <row r="185" s="4" customFormat="1" ht="27" customHeight="1" spans="1:11">
      <c r="A185" s="17">
        <v>17</v>
      </c>
      <c r="B185" s="33" t="s">
        <v>92</v>
      </c>
      <c r="C185" s="29"/>
      <c r="D185" s="29"/>
      <c r="E185" s="29"/>
      <c r="F185" s="29">
        <f>I185*J185</f>
        <v>35.55885816</v>
      </c>
      <c r="G185" s="29">
        <f t="shared" si="50"/>
        <v>35.55885816</v>
      </c>
      <c r="H185" s="30" t="s">
        <v>76</v>
      </c>
      <c r="I185" s="37">
        <f t="shared" si="55"/>
        <v>7901.96848</v>
      </c>
      <c r="J185" s="38">
        <v>0.0045</v>
      </c>
      <c r="K185" s="39"/>
    </row>
    <row r="186" s="4" customFormat="1" ht="21" customHeight="1" spans="1:11">
      <c r="A186" s="22" t="s">
        <v>93</v>
      </c>
      <c r="B186" s="35" t="s">
        <v>94</v>
      </c>
      <c r="C186" s="29"/>
      <c r="D186" s="29"/>
      <c r="E186" s="29"/>
      <c r="F186" s="24">
        <f>(F168+G5)*1%</f>
        <v>85.7613012117412</v>
      </c>
      <c r="G186" s="24">
        <f t="shared" si="50"/>
        <v>85.7613012117412</v>
      </c>
      <c r="H186" s="31"/>
      <c r="I186" s="47"/>
      <c r="J186" s="34"/>
      <c r="K186" s="28">
        <f>G186/G188*100</f>
        <v>0.976360803210047</v>
      </c>
    </row>
    <row r="187" s="4" customFormat="1" ht="21" customHeight="1" spans="1:11">
      <c r="A187" s="22" t="str">
        <f>ROMAN(4)</f>
        <v>IV</v>
      </c>
      <c r="B187" s="35" t="s">
        <v>95</v>
      </c>
      <c r="C187" s="29"/>
      <c r="D187" s="29"/>
      <c r="E187" s="29"/>
      <c r="F187" s="24">
        <v>121.88</v>
      </c>
      <c r="G187" s="24">
        <f t="shared" si="50"/>
        <v>121.88</v>
      </c>
      <c r="H187" s="31"/>
      <c r="I187" s="47"/>
      <c r="J187" s="34"/>
      <c r="K187" s="28">
        <f>G187/G188*100</f>
        <v>1.38755887578521</v>
      </c>
    </row>
    <row r="188" s="4" customFormat="1" ht="34" customHeight="1" spans="1:11">
      <c r="A188" s="48"/>
      <c r="B188" s="49" t="s">
        <v>96</v>
      </c>
      <c r="C188" s="50">
        <f>C5</f>
        <v>4257.35848</v>
      </c>
      <c r="D188" s="50">
        <f>D5</f>
        <v>2183</v>
      </c>
      <c r="E188" s="50">
        <f>E5</f>
        <v>1461.61</v>
      </c>
      <c r="F188" s="50">
        <f>F168+F186+F187</f>
        <v>881.802942385859</v>
      </c>
      <c r="G188" s="50">
        <f>G5+G168+G186+G187</f>
        <v>8783.77142238586</v>
      </c>
      <c r="H188" s="51"/>
      <c r="I188" s="52"/>
      <c r="J188" s="53"/>
      <c r="K188" s="54">
        <f>K5+K168+K186+K187</f>
        <v>100</v>
      </c>
    </row>
    <row r="189" s="1" customFormat="1" ht="18" customHeight="1" spans="1:11">
      <c r="B189" s="7"/>
      <c r="C189" s="8"/>
      <c r="D189" s="8"/>
      <c r="E189" s="3"/>
      <c r="F189" s="3"/>
      <c r="G189" s="8"/>
      <c r="H189" s="8"/>
      <c r="I189" s="8"/>
      <c r="J189" s="55"/>
      <c r="K189" s="8"/>
    </row>
    <row r="190" s="1" customFormat="1" ht="18" customHeight="1" spans="1:11">
      <c r="B190" s="7"/>
      <c r="C190" s="8"/>
      <c r="D190" s="8"/>
      <c r="E190" s="3"/>
      <c r="F190" s="8"/>
      <c r="G190" s="8"/>
      <c r="H190" s="8"/>
      <c r="I190" s="8"/>
      <c r="J190" s="55"/>
      <c r="K190" s="8"/>
    </row>
    <row r="191" s="1" customFormat="1" ht="18" customHeight="1" spans="1:11">
      <c r="B191" s="7"/>
      <c r="C191" s="8"/>
      <c r="D191" s="8"/>
      <c r="E191" s="3"/>
      <c r="F191" s="8"/>
      <c r="G191" s="8"/>
      <c r="H191" s="8"/>
      <c r="I191" s="8"/>
      <c r="J191" s="55"/>
      <c r="K191" s="8"/>
    </row>
    <row r="192" s="1" customFormat="1" ht="18" customHeight="1" spans="1:11">
      <c r="B192" s="7"/>
      <c r="C192" s="8"/>
      <c r="D192" s="8"/>
      <c r="E192" s="3"/>
      <c r="F192" s="8"/>
      <c r="G192" s="56"/>
      <c r="H192" s="8"/>
      <c r="I192" s="8"/>
      <c r="J192" s="55"/>
      <c r="K192" s="8"/>
    </row>
    <row r="193" ht="18" customHeight="1"/>
  </sheetData>
  <mergeCells count="7">
    <mergeCell ref="A1:K1"/>
    <mergeCell ref="A2:K2"/>
    <mergeCell ref="C3:G3"/>
    <mergeCell ref="H3:J3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2026-05-07T00:54:01Z</dcterms:created>
  <dcterms:modified xsi:type="dcterms:W3CDTF">2026-05-07T00:58:13Z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9488EBF7CC8A467AAD6AB832BB7DDC45_11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