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definedNames>
    <definedName name="_xlnm._FilterDatabase" localSheetId="0" hidden="1">概算表!$A$1:$J$45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<sst xmlns="http://schemas.openxmlformats.org/spreadsheetml/2006/main" count="93" uniqueCount="70">
  <si>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t>工程概算审定表</t>
  </si>
  <si>
    <t>项目名称：平罗县第二中学分校区（职教中心）实验楼改造项目</t>
  </si>
  <si>
    <t>序号</t>
  </si>
  <si>
    <t>工程及费用名称</t>
  </si>
  <si>
    <t>概算价值（万元）</t>
  </si>
  <si>
    <t>技术经济指标</t>
  </si>
  <si>
    <t>土建及装修</t>
  </si>
  <si>
    <t>安装</t>
  </si>
  <si>
    <t>设备</t>
  </si>
  <si>
    <t>其它费用</t>
  </si>
  <si>
    <t>合计</t>
  </si>
  <si>
    <t>单位</t>
  </si>
  <si>
    <t>数量</t>
  </si>
  <si>
    <t>单位/㎡造价（元）</t>
  </si>
  <si>
    <t>一</t>
  </si>
  <si>
    <t>建筑工程费</t>
  </si>
  <si>
    <t>万元</t>
  </si>
  <si>
    <t>2#宿舍楼改造</t>
  </si>
  <si>
    <t>（一）</t>
  </si>
  <si>
    <t>建筑及装饰改造</t>
  </si>
  <si>
    <t>墙体拆除</t>
  </si>
  <si>
    <t>㎡</t>
  </si>
  <si>
    <t>门拆除</t>
  </si>
  <si>
    <t>樘</t>
  </si>
  <si>
    <t>新建门</t>
  </si>
  <si>
    <t>增设墙体</t>
  </si>
  <si>
    <t>地面更换防滑地砖地面</t>
  </si>
  <si>
    <t>地面更换防滑地砖地面（有防水）</t>
  </si>
  <si>
    <t>增设吊顶（矿棉板吊顶）</t>
  </si>
  <si>
    <t>增设吊顶（铝方板吊顶）</t>
  </si>
  <si>
    <t>顶棚粉刷</t>
  </si>
  <si>
    <t>墙面面砖（有防水）</t>
  </si>
  <si>
    <t>墙面粉刷</t>
  </si>
  <si>
    <t>更换踢脚线</t>
  </si>
  <si>
    <t>m</t>
  </si>
  <si>
    <t>卫生间改造</t>
  </si>
  <si>
    <t>外墙保温及真石漆（水包砂）</t>
  </si>
  <si>
    <t>垂直运输</t>
  </si>
  <si>
    <t>项</t>
  </si>
  <si>
    <t>（二）</t>
  </si>
  <si>
    <t>安装改造</t>
  </si>
  <si>
    <t>给排水、消防工程</t>
  </si>
  <si>
    <t>暖通工程</t>
  </si>
  <si>
    <t>电气工程</t>
  </si>
  <si>
    <t>原给排水、采暖、电气管道及附件拆除</t>
  </si>
  <si>
    <t>室外-电缆安装</t>
  </si>
  <si>
    <t>室外-电缆土建</t>
  </si>
  <si>
    <t>（三）</t>
  </si>
  <si>
    <t>结构加固</t>
  </si>
  <si>
    <t>（四）</t>
  </si>
  <si>
    <t>实验室设备采购</t>
  </si>
  <si>
    <t>二</t>
  </si>
  <si>
    <t>建设单位管理费</t>
  </si>
  <si>
    <t>财建[2016]504号</t>
  </si>
  <si>
    <t>工程监理费</t>
  </si>
  <si>
    <t>发改价[2015]299号</t>
  </si>
  <si>
    <t>工程设计费</t>
  </si>
  <si>
    <t>施工图审查费</t>
  </si>
  <si>
    <t>工程费*0.36%</t>
  </si>
  <si>
    <t>预（结）算编审费</t>
  </si>
  <si>
    <t>宁价费发[2010]87号《建设工程造价咨询服务收费标准 》</t>
  </si>
  <si>
    <t>招投标代理服务费</t>
  </si>
  <si>
    <t>检验试验费</t>
  </si>
  <si>
    <t>市场价</t>
  </si>
  <si>
    <t>加固检测费</t>
  </si>
  <si>
    <t>三</t>
  </si>
  <si>
    <t>预备费</t>
  </si>
  <si>
    <t>（建筑工程费+其他费用）*3%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</si>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</sst>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zoomScale="85" zoomScaleNormal="85" workbookViewId="0">
      <selection activeCell="C5" sqref="C$1:C$1048576"/>
    </sheetView>
  </sheetViews>
  <sheetFormatPr defaultColWidth="9" defaultRowHeight="14.4"/>
  <cols>
    <col min="1" max="1" width="7.7037037037037" style="4" customWidth="1"/>
    <col min="2" max="2" width="17.5185185185185" style="5" customWidth="1"/>
    <col min="3" max="3" width="12.537037037037" style="6" customWidth="1"/>
    <col min="4" max="4" width="8.36111111111111" style="7" customWidth="1"/>
    <col min="5" max="5" width="9.41666666666667" style="7" customWidth="1"/>
    <col min="6" max="6" width="10.3148148148148" style="6" customWidth="1"/>
    <col min="7" max="7" width="9.38888888888889" style="7" customWidth="1"/>
    <col min="8" max="8" width="6.13888888888889" style="1" customWidth="1"/>
    <col min="9" max="9" width="10.0648148148148" style="1" customWidth="1"/>
    <col min="10" max="10" width="12.5462962962963" style="6" customWidth="1"/>
    <col min="11" max="11" width="9.37962962962963" style="1"/>
    <col min="12" max="12" width="9" style="1"/>
    <col min="13" max="13" width="12.8888888888889" style="1"/>
    <col min="14" max="14" width="9" style="1"/>
    <col min="15" max="16" width="12.8888888888889" style="1"/>
    <col min="17" max="16384" width="9" style="1"/>
  </cols>
  <sheetData>
    <row r="1" s="1" customFormat="1" spans="1:10">
      <c r="A1" s="8" t="s">
        <v>0</v>
      </c>
      <c r="B1" s="9"/>
      <c r="C1" s="10"/>
      <c r="D1" s="10"/>
      <c r="E1" s="10"/>
      <c r="F1" s="10"/>
      <c r="G1" s="10"/>
      <c r="H1" s="9"/>
      <c r="I1" s="9"/>
      <c r="J1" s="10"/>
    </row>
    <row r="2" s="1" customFormat="1" ht="24" customHeight="1" spans="1:10">
      <c r="A2" s="9"/>
      <c r="B2" s="9"/>
      <c r="C2" s="10"/>
      <c r="D2" s="10"/>
      <c r="E2" s="10"/>
      <c r="F2" s="10"/>
      <c r="G2" s="10"/>
      <c r="H2" s="9"/>
      <c r="I2" s="9"/>
      <c r="J2" s="10"/>
    </row>
    <row r="3" s="1" customFormat="1" ht="30" customHeight="1" spans="1:10">
      <c r="A3" s="11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0" customHeight="1" spans="1:10">
      <c r="A4" s="12" t="s">
        <v>2</v>
      </c>
      <c r="B4" s="13" t="s">
        <v>3</v>
      </c>
      <c r="C4" s="14" t="s">
        <v>4</v>
      </c>
      <c r="D4" s="14"/>
      <c r="E4" s="14"/>
      <c r="F4" s="14"/>
      <c r="G4" s="14"/>
      <c r="H4" s="12" t="s">
        <v>5</v>
      </c>
      <c r="I4" s="12"/>
      <c r="J4" s="14"/>
    </row>
    <row r="5" s="2" customFormat="1" ht="30" customHeight="1" spans="1:10">
      <c r="A5" s="12"/>
      <c r="B5" s="13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2" t="s">
        <v>12</v>
      </c>
      <c r="J5" s="14" t="s">
        <v>13</v>
      </c>
    </row>
    <row r="6" s="2" customFormat="1" ht="30" customHeight="1" spans="1:10">
      <c r="A6" s="15" t="s">
        <v>14</v>
      </c>
      <c r="B6" s="16" t="s">
        <v>15</v>
      </c>
      <c r="C6" s="17">
        <f>C7</f>
        <v>341.769289238</v>
      </c>
      <c r="D6" s="17">
        <f>D7</f>
        <v>131.0657</v>
      </c>
      <c r="E6" s="17">
        <f>E7</f>
        <v>249</v>
      </c>
      <c r="F6" s="17">
        <f>F7</f>
        <v>0</v>
      </c>
      <c r="G6" s="17">
        <f>SUM(C6:F6)</f>
        <v>721.834989238</v>
      </c>
      <c r="H6" s="15" t="s">
        <v>16</v>
      </c>
      <c r="I6" s="18"/>
      <c r="J6" s="19">
        <f>G6/G45</f>
        <v>0.894039881328916</v>
      </c>
    </row>
    <row r="7" s="2" customFormat="1" ht="30" customHeight="1" spans="1:10">
      <c r="A7" s="15"/>
      <c r="B7" s="16" t="s">
        <v>17</v>
      </c>
      <c r="C7" s="17">
        <f>C8+C24+C31+C33</f>
        <v>341.769289238</v>
      </c>
      <c r="D7" s="17">
        <f>D8+D24+D31+D33</f>
        <v>131.0657</v>
      </c>
      <c r="E7" s="17">
        <f>E8+E24+E31+E33</f>
        <v>249</v>
      </c>
      <c r="F7" s="17">
        <f>F8+F24+F31+F33</f>
        <v>0</v>
      </c>
      <c r="G7" s="17">
        <f>SUM(C7:F7)</f>
        <v>721.834989238</v>
      </c>
      <c r="H7" s="15"/>
      <c r="I7" s="18"/>
      <c r="J7" s="17"/>
    </row>
    <row r="8" s="2" customFormat="1" ht="30" customHeight="1" spans="1:10">
      <c r="A8" s="15" t="s">
        <v>18</v>
      </c>
      <c r="B8" s="16" t="s">
        <v>19</v>
      </c>
      <c r="C8" s="17">
        <f>SUM(C9:C23)</f>
        <v>220.184689238</v>
      </c>
      <c r="D8" s="17"/>
      <c r="E8" s="17"/>
      <c r="F8" s="17"/>
      <c r="G8" s="17">
        <f>SUM(C8:F8)</f>
        <v>220.184689238</v>
      </c>
      <c r="H8" s="15"/>
      <c r="I8" s="18"/>
      <c r="J8" s="17"/>
    </row>
    <row r="9" s="2" customFormat="1" ht="30" customHeight="1" spans="1:10">
      <c r="A9" s="12">
        <v>1</v>
      </c>
      <c r="B9" s="20" t="s">
        <v>20</v>
      </c>
      <c r="C9" s="21">
        <f>I9*J9/10000</f>
        <v>13.82695272</v>
      </c>
      <c r="D9" s="21"/>
      <c r="E9" s="21"/>
      <c r="F9" s="21"/>
      <c r="G9" s="14">
        <f t="shared" ref="G9:G23" si="0">SUM(C9:F9)</f>
        <v>13.82695272</v>
      </c>
      <c r="H9" s="12" t="s">
        <v>21</v>
      </c>
      <c r="I9" s="22">
        <f>(10.1*7+3.2*16)*3.6+(10.1*10+3.2*18)*3.6*3</f>
        <v>2151.72</v>
      </c>
      <c r="J9" s="14">
        <v>64.26</v>
      </c>
    </row>
    <row r="10" s="2" customFormat="1" ht="30" customHeight="1" spans="1:10">
      <c r="A10" s="12">
        <v>2</v>
      </c>
      <c r="B10" s="23" t="s">
        <v>22</v>
      </c>
      <c r="C10" s="21">
        <f t="shared" ref="C9:C15" si="1">I10*J10/10000</f>
        <v>0.772608</v>
      </c>
      <c r="D10" s="21"/>
      <c r="E10" s="21"/>
      <c r="F10" s="21"/>
      <c r="G10" s="14">
        <f t="shared" si="0"/>
        <v>0.772608</v>
      </c>
      <c r="H10" s="12" t="s">
        <v>23</v>
      </c>
      <c r="I10" s="22">
        <f>16+16*3</f>
        <v>64</v>
      </c>
      <c r="J10" s="14">
        <v>120.72</v>
      </c>
    </row>
    <row r="11" s="2" customFormat="1" ht="30" customHeight="1" spans="1:10">
      <c r="A11" s="12">
        <v>3</v>
      </c>
      <c r="B11" s="23" t="s">
        <v>24</v>
      </c>
      <c r="C11" s="21">
        <f t="shared" si="1"/>
        <v>11.92416</v>
      </c>
      <c r="D11" s="21"/>
      <c r="E11" s="21"/>
      <c r="F11" s="21"/>
      <c r="G11" s="14">
        <f t="shared" si="0"/>
        <v>11.92416</v>
      </c>
      <c r="H11" s="12" t="s">
        <v>23</v>
      </c>
      <c r="I11" s="22">
        <f>10*4</f>
        <v>40</v>
      </c>
      <c r="J11" s="14">
        <v>2981.04</v>
      </c>
    </row>
    <row r="12" s="2" customFormat="1" ht="30" customHeight="1" spans="1:10">
      <c r="A12" s="12">
        <v>4</v>
      </c>
      <c r="B12" s="23" t="s">
        <v>25</v>
      </c>
      <c r="C12" s="21">
        <f t="shared" si="1"/>
        <v>3.44451744</v>
      </c>
      <c r="D12" s="21"/>
      <c r="E12" s="21"/>
      <c r="F12" s="21"/>
      <c r="G12" s="14">
        <f t="shared" si="0"/>
        <v>3.44451744</v>
      </c>
      <c r="H12" s="12" t="s">
        <v>21</v>
      </c>
      <c r="I12" s="22">
        <f>(3*8+3.6*2)*3.6</f>
        <v>112.32</v>
      </c>
      <c r="J12" s="14">
        <v>306.67</v>
      </c>
    </row>
    <row r="13" s="2" customFormat="1" ht="33" customHeight="1" spans="1:10">
      <c r="A13" s="12">
        <v>5</v>
      </c>
      <c r="B13" s="23" t="s">
        <v>26</v>
      </c>
      <c r="C13" s="21">
        <f t="shared" si="1"/>
        <v>53.5793868</v>
      </c>
      <c r="D13" s="21"/>
      <c r="E13" s="21"/>
      <c r="F13" s="21"/>
      <c r="G13" s="14">
        <f t="shared" si="0"/>
        <v>53.5793868</v>
      </c>
      <c r="H13" s="12" t="s">
        <v>21</v>
      </c>
      <c r="I13" s="22">
        <f>863.91*4-72.72*4</f>
        <v>3164.76</v>
      </c>
      <c r="J13" s="14">
        <v>169.3</v>
      </c>
    </row>
    <row r="14" s="2" customFormat="1" ht="47" customHeight="1" spans="1:10">
      <c r="A14" s="12">
        <v>6</v>
      </c>
      <c r="B14" s="23" t="s">
        <v>27</v>
      </c>
      <c r="C14" s="21">
        <f t="shared" si="1"/>
        <v>8.60364864</v>
      </c>
      <c r="D14" s="21"/>
      <c r="E14" s="21"/>
      <c r="F14" s="21"/>
      <c r="G14" s="14">
        <f t="shared" si="0"/>
        <v>8.60364864</v>
      </c>
      <c r="H14" s="12" t="s">
        <v>21</v>
      </c>
      <c r="I14" s="22">
        <f>72.72*4</f>
        <v>290.88</v>
      </c>
      <c r="J14" s="14">
        <v>295.78</v>
      </c>
    </row>
    <row r="15" s="2" customFormat="1" ht="36" customHeight="1" spans="1:10">
      <c r="A15" s="12">
        <v>7</v>
      </c>
      <c r="B15" s="23" t="s">
        <v>28</v>
      </c>
      <c r="C15" s="21">
        <f t="shared" ref="C15:C27" si="2">I15*J15/10000</f>
        <v>6.71530464</v>
      </c>
      <c r="D15" s="21"/>
      <c r="E15" s="21"/>
      <c r="F15" s="21"/>
      <c r="G15" s="14">
        <f t="shared" si="0"/>
        <v>6.71530464</v>
      </c>
      <c r="H15" s="12" t="s">
        <v>21</v>
      </c>
      <c r="I15" s="22">
        <f>113.22*4</f>
        <v>452.88</v>
      </c>
      <c r="J15" s="14">
        <v>148.28</v>
      </c>
    </row>
    <row r="16" s="2" customFormat="1" ht="36" customHeight="1" spans="1:10">
      <c r="A16" s="12">
        <v>8</v>
      </c>
      <c r="B16" s="23" t="s">
        <v>29</v>
      </c>
      <c r="C16" s="21">
        <f t="shared" si="2"/>
        <v>6.32722176</v>
      </c>
      <c r="D16" s="21"/>
      <c r="E16" s="21"/>
      <c r="F16" s="21"/>
      <c r="G16" s="14">
        <f t="shared" si="0"/>
        <v>6.32722176</v>
      </c>
      <c r="H16" s="12" t="s">
        <v>21</v>
      </c>
      <c r="I16" s="22">
        <f>I14</f>
        <v>290.88</v>
      </c>
      <c r="J16" s="14">
        <v>217.52</v>
      </c>
    </row>
    <row r="17" s="2" customFormat="1" ht="30" customHeight="1" spans="1:10">
      <c r="A17" s="12">
        <v>9</v>
      </c>
      <c r="B17" s="23" t="s">
        <v>30</v>
      </c>
      <c r="C17" s="21">
        <f t="shared" si="2"/>
        <v>13.42651788</v>
      </c>
      <c r="D17" s="21"/>
      <c r="E17" s="21"/>
      <c r="F17" s="21"/>
      <c r="G17" s="14">
        <f t="shared" si="0"/>
        <v>13.42651788</v>
      </c>
      <c r="H17" s="12" t="s">
        <v>21</v>
      </c>
      <c r="I17" s="22">
        <f>I13-I15</f>
        <v>2711.88</v>
      </c>
      <c r="J17" s="14">
        <v>49.51</v>
      </c>
    </row>
    <row r="18" s="3" customFormat="1" ht="39" customHeight="1" spans="1:10">
      <c r="A18" s="12">
        <v>10</v>
      </c>
      <c r="B18" s="23" t="s">
        <v>31</v>
      </c>
      <c r="C18" s="21">
        <f t="shared" si="2"/>
        <v>20.530685952</v>
      </c>
      <c r="D18" s="21"/>
      <c r="E18" s="21"/>
      <c r="F18" s="21"/>
      <c r="G18" s="14">
        <f t="shared" si="0"/>
        <v>20.530685952</v>
      </c>
      <c r="H18" s="12" t="s">
        <v>21</v>
      </c>
      <c r="I18" s="22">
        <f>66.08*3.6*4</f>
        <v>951.552</v>
      </c>
      <c r="J18" s="14">
        <v>215.76</v>
      </c>
    </row>
    <row r="19" s="3" customFormat="1" ht="30" customHeight="1" spans="1:10">
      <c r="A19" s="12">
        <v>11</v>
      </c>
      <c r="B19" s="23" t="s">
        <v>32</v>
      </c>
      <c r="C19" s="21">
        <f t="shared" si="2"/>
        <v>24.898605696</v>
      </c>
      <c r="D19" s="24"/>
      <c r="E19" s="14"/>
      <c r="F19" s="14"/>
      <c r="G19" s="14">
        <f t="shared" si="0"/>
        <v>24.898605696</v>
      </c>
      <c r="H19" s="12" t="s">
        <v>21</v>
      </c>
      <c r="I19" s="22">
        <f>371.3*3.6*4*0.8</f>
        <v>4277.376</v>
      </c>
      <c r="J19" s="14">
        <v>58.21</v>
      </c>
    </row>
    <row r="20" s="3" customFormat="1" ht="30" customHeight="1" spans="1:10">
      <c r="A20" s="12">
        <v>12</v>
      </c>
      <c r="B20" s="23" t="s">
        <v>33</v>
      </c>
      <c r="C20" s="21">
        <f t="shared" si="2"/>
        <v>4.5268896</v>
      </c>
      <c r="D20" s="24"/>
      <c r="E20" s="14"/>
      <c r="F20" s="14"/>
      <c r="G20" s="14">
        <f t="shared" si="0"/>
        <v>4.5268896</v>
      </c>
      <c r="H20" s="12" t="s">
        <v>34</v>
      </c>
      <c r="I20" s="22">
        <f>371.3*4</f>
        <v>1485.2</v>
      </c>
      <c r="J20" s="14">
        <v>30.48</v>
      </c>
    </row>
    <row r="21" s="2" customFormat="1" ht="30" customHeight="1" spans="1:10">
      <c r="A21" s="12">
        <v>13</v>
      </c>
      <c r="B21" s="23" t="s">
        <v>35</v>
      </c>
      <c r="C21" s="21">
        <f t="shared" si="2"/>
        <v>6.50087712</v>
      </c>
      <c r="D21" s="24"/>
      <c r="E21" s="14"/>
      <c r="F21" s="14"/>
      <c r="G21" s="14">
        <f t="shared" si="0"/>
        <v>6.50087712</v>
      </c>
      <c r="H21" s="12" t="s">
        <v>21</v>
      </c>
      <c r="I21" s="22">
        <f>72.72*4</f>
        <v>290.88</v>
      </c>
      <c r="J21" s="14">
        <v>223.49</v>
      </c>
    </row>
    <row r="22" s="2" customFormat="1" ht="30" customHeight="1" spans="1:10">
      <c r="A22" s="12">
        <v>14</v>
      </c>
      <c r="B22" s="25" t="s">
        <v>36</v>
      </c>
      <c r="C22" s="21">
        <f t="shared" si="2"/>
        <v>43.22981299</v>
      </c>
      <c r="D22" s="25"/>
      <c r="E22" s="25"/>
      <c r="F22" s="25"/>
      <c r="G22" s="14">
        <f t="shared" si="0"/>
        <v>43.22981299</v>
      </c>
      <c r="H22" s="12" t="str">
        <f>H21</f>
        <v>㎡</v>
      </c>
      <c r="I22" s="12">
        <v>1367.21</v>
      </c>
      <c r="J22" s="14">
        <v>316.19</v>
      </c>
    </row>
    <row r="23" s="2" customFormat="1" ht="30" customHeight="1" spans="1:10">
      <c r="A23" s="12">
        <v>15</v>
      </c>
      <c r="B23" s="23" t="s">
        <v>37</v>
      </c>
      <c r="C23" s="21">
        <f t="shared" si="2"/>
        <v>1.8775</v>
      </c>
      <c r="D23" s="24"/>
      <c r="E23" s="14"/>
      <c r="F23" s="14"/>
      <c r="G23" s="14">
        <f t="shared" si="0"/>
        <v>1.8775</v>
      </c>
      <c r="H23" s="12" t="s">
        <v>38</v>
      </c>
      <c r="I23" s="22">
        <v>1</v>
      </c>
      <c r="J23" s="14">
        <v>18775</v>
      </c>
    </row>
    <row r="24" s="2" customFormat="1" ht="30" customHeight="1" spans="1:10">
      <c r="A24" s="15" t="s">
        <v>39</v>
      </c>
      <c r="B24" s="26" t="s">
        <v>40</v>
      </c>
      <c r="C24" s="27">
        <f>SUM(C25:C30)</f>
        <v>9.0821</v>
      </c>
      <c r="D24" s="27">
        <f>SUM(D25:D30)</f>
        <v>131.0657</v>
      </c>
      <c r="E24" s="17"/>
      <c r="F24" s="17"/>
      <c r="G24" s="17">
        <f t="shared" ref="G24:G34" si="3">SUM(C24:F24)</f>
        <v>140.1478</v>
      </c>
      <c r="H24" s="12"/>
      <c r="I24" s="22"/>
      <c r="J24" s="14"/>
    </row>
    <row r="25" s="2" customFormat="1" ht="30" customHeight="1" spans="1:10">
      <c r="A25" s="12">
        <v>1</v>
      </c>
      <c r="B25" s="23" t="s">
        <v>41</v>
      </c>
      <c r="C25" s="25"/>
      <c r="D25" s="21">
        <f>I25*J25/10000</f>
        <v>24.146005</v>
      </c>
      <c r="E25" s="14"/>
      <c r="F25" s="14"/>
      <c r="G25" s="14">
        <f t="shared" si="3"/>
        <v>24.146005</v>
      </c>
      <c r="H25" s="12" t="s">
        <v>21</v>
      </c>
      <c r="I25" s="22">
        <v>3445</v>
      </c>
      <c r="J25" s="14">
        <v>70.09</v>
      </c>
    </row>
    <row r="26" s="2" customFormat="1" ht="30" customHeight="1" spans="1:10">
      <c r="A26" s="12">
        <v>2</v>
      </c>
      <c r="B26" s="23" t="s">
        <v>42</v>
      </c>
      <c r="C26" s="25"/>
      <c r="D26" s="21">
        <f>I26*J26/10000</f>
        <v>23.243415</v>
      </c>
      <c r="E26" s="14"/>
      <c r="F26" s="14"/>
      <c r="G26" s="14">
        <f t="shared" si="3"/>
        <v>23.243415</v>
      </c>
      <c r="H26" s="12" t="s">
        <v>21</v>
      </c>
      <c r="I26" s="22">
        <v>3445</v>
      </c>
      <c r="J26" s="14">
        <v>67.47</v>
      </c>
    </row>
    <row r="27" s="2" customFormat="1" ht="30" customHeight="1" spans="1:10">
      <c r="A27" s="12">
        <v>3</v>
      </c>
      <c r="B27" s="23" t="s">
        <v>43</v>
      </c>
      <c r="C27" s="25"/>
      <c r="D27" s="21">
        <f>I27*J27/10000</f>
        <v>59.263615</v>
      </c>
      <c r="E27" s="14"/>
      <c r="F27" s="14"/>
      <c r="G27" s="14">
        <f t="shared" si="3"/>
        <v>59.263615</v>
      </c>
      <c r="H27" s="12" t="s">
        <v>21</v>
      </c>
      <c r="I27" s="22">
        <v>3455</v>
      </c>
      <c r="J27" s="14">
        <v>171.53</v>
      </c>
    </row>
    <row r="28" s="2" customFormat="1" ht="30" customHeight="1" spans="1:10">
      <c r="A28" s="12">
        <v>4</v>
      </c>
      <c r="B28" s="23" t="s">
        <v>44</v>
      </c>
      <c r="C28" s="21"/>
      <c r="D28" s="21">
        <f>I28*J28/10000</f>
        <v>10.513565</v>
      </c>
      <c r="E28" s="14"/>
      <c r="F28" s="14"/>
      <c r="G28" s="14">
        <f t="shared" si="3"/>
        <v>10.513565</v>
      </c>
      <c r="H28" s="12" t="str">
        <f>H27</f>
        <v>㎡</v>
      </c>
      <c r="I28" s="22">
        <f>I27</f>
        <v>3455</v>
      </c>
      <c r="J28" s="14">
        <v>30.43</v>
      </c>
    </row>
    <row r="29" s="2" customFormat="1" ht="30" customHeight="1" spans="1:10">
      <c r="A29" s="12">
        <v>5</v>
      </c>
      <c r="B29" s="23" t="s">
        <v>45</v>
      </c>
      <c r="C29" s="21"/>
      <c r="D29" s="21">
        <f>J29/10000</f>
        <v>13.8991</v>
      </c>
      <c r="E29" s="14"/>
      <c r="F29" s="14"/>
      <c r="G29" s="14">
        <f t="shared" si="3"/>
        <v>13.8991</v>
      </c>
      <c r="H29" s="12" t="s">
        <v>38</v>
      </c>
      <c r="I29" s="22">
        <v>1</v>
      </c>
      <c r="J29" s="14">
        <v>138991</v>
      </c>
    </row>
    <row r="30" s="2" customFormat="1" ht="30" customHeight="1" spans="1:10">
      <c r="A30" s="12">
        <v>6</v>
      </c>
      <c r="B30" s="23" t="s">
        <v>46</v>
      </c>
      <c r="C30" s="21">
        <f>J30/10000</f>
        <v>9.0821</v>
      </c>
      <c r="D30" s="24"/>
      <c r="E30" s="14"/>
      <c r="F30" s="14"/>
      <c r="G30" s="14">
        <f t="shared" si="3"/>
        <v>9.0821</v>
      </c>
      <c r="H30" s="12" t="s">
        <v>38</v>
      </c>
      <c r="I30" s="22">
        <v>1</v>
      </c>
      <c r="J30" s="14">
        <v>90821</v>
      </c>
    </row>
    <row r="31" s="2" customFormat="1" ht="30" customHeight="1" spans="1:10">
      <c r="A31" s="15" t="s">
        <v>47</v>
      </c>
      <c r="B31" s="26" t="s">
        <v>48</v>
      </c>
      <c r="C31" s="27">
        <f>C32</f>
        <v>112.5025</v>
      </c>
      <c r="D31" s="28"/>
      <c r="E31" s="17"/>
      <c r="F31" s="17"/>
      <c r="G31" s="17">
        <f t="shared" si="3"/>
        <v>112.5025</v>
      </c>
      <c r="H31" s="12"/>
      <c r="I31" s="22"/>
      <c r="J31" s="14"/>
    </row>
    <row r="32" s="2" customFormat="1" ht="30" customHeight="1" spans="1:10">
      <c r="A32" s="12">
        <v>1</v>
      </c>
      <c r="B32" s="23" t="s">
        <v>48</v>
      </c>
      <c r="C32" s="21">
        <f>I32*J32/10000</f>
        <v>112.5025</v>
      </c>
      <c r="D32" s="24"/>
      <c r="E32" s="14"/>
      <c r="F32" s="14"/>
      <c r="G32" s="14">
        <f t="shared" si="3"/>
        <v>112.5025</v>
      </c>
      <c r="H32" s="12" t="s">
        <v>38</v>
      </c>
      <c r="I32" s="22">
        <v>1</v>
      </c>
      <c r="J32" s="14">
        <v>1125025</v>
      </c>
    </row>
    <row r="33" s="2" customFormat="1" ht="30" customHeight="1" spans="1:10">
      <c r="A33" s="15" t="s">
        <v>49</v>
      </c>
      <c r="B33" s="26" t="s">
        <v>50</v>
      </c>
      <c r="C33" s="27"/>
      <c r="D33" s="28"/>
      <c r="E33" s="17">
        <f>E34</f>
        <v>249</v>
      </c>
      <c r="F33" s="17"/>
      <c r="G33" s="17">
        <f t="shared" si="3"/>
        <v>249</v>
      </c>
      <c r="H33" s="12"/>
      <c r="I33" s="22"/>
      <c r="J33" s="14"/>
    </row>
    <row r="34" s="2" customFormat="1" ht="30" customHeight="1" spans="1:10">
      <c r="A34" s="12">
        <v>1</v>
      </c>
      <c r="B34" s="23" t="s">
        <v>50</v>
      </c>
      <c r="C34" s="25"/>
      <c r="D34" s="24"/>
      <c r="E34" s="21">
        <f>I34*J34/10000</f>
        <v>249</v>
      </c>
      <c r="F34" s="14"/>
      <c r="G34" s="14">
        <f>SUM(D34:F34)</f>
        <v>249</v>
      </c>
      <c r="H34" s="12" t="s">
        <v>38</v>
      </c>
      <c r="I34" s="22">
        <v>1</v>
      </c>
      <c r="J34" s="14">
        <v>2490000</v>
      </c>
    </row>
    <row r="35" s="2" customFormat="1" ht="30" customHeight="1" spans="1:10">
      <c r="A35" s="15" t="s">
        <v>51</v>
      </c>
      <c r="B35" s="16" t="s">
        <v>9</v>
      </c>
      <c r="C35" s="17"/>
      <c r="D35" s="17"/>
      <c r="E35" s="17"/>
      <c r="F35" s="17">
        <f>SUM(F36:F43)</f>
        <v>62.0443027240598</v>
      </c>
      <c r="G35" s="17">
        <f>F35</f>
        <v>62.0443027240598</v>
      </c>
      <c r="H35" s="15"/>
      <c r="I35" s="15"/>
      <c r="J35" s="19">
        <f>G35/G45</f>
        <v>0.0768459299861737</v>
      </c>
    </row>
    <row r="36" s="2" customFormat="1" ht="30" customHeight="1" spans="1:10">
      <c r="A36" s="12">
        <v>1</v>
      </c>
      <c r="B36" s="13" t="s">
        <v>52</v>
      </c>
      <c r="C36" s="29" t="s">
        <v>53</v>
      </c>
      <c r="D36" s="29"/>
      <c r="E36" s="29"/>
      <c r="F36" s="14">
        <f>G6*1%</f>
        <v>7.21834989238</v>
      </c>
      <c r="G36" s="14">
        <f t="shared" ref="G35:G43" si="4">F36</f>
        <v>7.21834989238</v>
      </c>
      <c r="H36" s="12" t="s">
        <v>16</v>
      </c>
      <c r="I36" s="22">
        <f>G6</f>
        <v>721.834989238</v>
      </c>
      <c r="J36" s="30">
        <f>G36/I36</f>
        <v>0.01</v>
      </c>
    </row>
    <row r="37" s="2" customFormat="1" ht="30" customHeight="1" spans="1:10">
      <c r="A37" s="12">
        <v>2</v>
      </c>
      <c r="B37" s="13" t="s">
        <v>54</v>
      </c>
      <c r="C37" s="29" t="s">
        <v>55</v>
      </c>
      <c r="D37" s="29"/>
      <c r="E37" s="29"/>
      <c r="F37" s="14">
        <f>G6*1.8%</f>
        <v>12.993029806284</v>
      </c>
      <c r="G37" s="14">
        <f t="shared" si="4"/>
        <v>12.993029806284</v>
      </c>
      <c r="H37" s="12" t="str">
        <f t="shared" ref="H37:H45" si="5">H36</f>
        <v>万元</v>
      </c>
      <c r="I37" s="22">
        <f>I36</f>
        <v>721.834989238</v>
      </c>
      <c r="J37" s="30">
        <f t="shared" ref="J37:J43" si="6">G37/I37</f>
        <v>0.018</v>
      </c>
    </row>
    <row r="38" s="2" customFormat="1" ht="30" customHeight="1" spans="1:10">
      <c r="A38" s="12">
        <v>3</v>
      </c>
      <c r="B38" s="13" t="s">
        <v>56</v>
      </c>
      <c r="C38" s="29" t="s">
        <v>55</v>
      </c>
      <c r="D38" s="29"/>
      <c r="E38" s="29"/>
      <c r="F38" s="14">
        <f>G6*2.5%</f>
        <v>18.04587473095</v>
      </c>
      <c r="G38" s="14">
        <f t="shared" si="4"/>
        <v>18.04587473095</v>
      </c>
      <c r="H38" s="12" t="str">
        <f t="shared" si="5"/>
        <v>万元</v>
      </c>
      <c r="I38" s="22">
        <f>I36</f>
        <v>721.834989238</v>
      </c>
      <c r="J38" s="30">
        <f t="shared" si="6"/>
        <v>0.025</v>
      </c>
    </row>
    <row r="39" s="2" customFormat="1" ht="30" customHeight="1" spans="1:10">
      <c r="A39" s="12">
        <v>4</v>
      </c>
      <c r="B39" s="13" t="s">
        <v>57</v>
      </c>
      <c r="C39" s="29" t="s">
        <v>58</v>
      </c>
      <c r="D39" s="29"/>
      <c r="E39" s="29"/>
      <c r="F39" s="14">
        <f>G6*0.36%</f>
        <v>2.5986059612568</v>
      </c>
      <c r="G39" s="14">
        <f t="shared" si="4"/>
        <v>2.5986059612568</v>
      </c>
      <c r="H39" s="12" t="str">
        <f t="shared" si="5"/>
        <v>万元</v>
      </c>
      <c r="I39" s="22">
        <f>I36</f>
        <v>721.834989238</v>
      </c>
      <c r="J39" s="30">
        <f t="shared" si="6"/>
        <v>0.0036</v>
      </c>
    </row>
    <row r="40" s="2" customFormat="1" ht="49" customHeight="1" spans="1:10">
      <c r="A40" s="12">
        <v>6</v>
      </c>
      <c r="B40" s="13" t="s">
        <v>59</v>
      </c>
      <c r="C40" s="29" t="s">
        <v>60</v>
      </c>
      <c r="D40" s="29"/>
      <c r="E40" s="29"/>
      <c r="F40" s="14">
        <f>G6*0.8%</f>
        <v>5.774679913904</v>
      </c>
      <c r="G40" s="14">
        <f t="shared" si="4"/>
        <v>5.774679913904</v>
      </c>
      <c r="H40" s="12" t="str">
        <f t="shared" si="5"/>
        <v>万元</v>
      </c>
      <c r="I40" s="22">
        <f>I36</f>
        <v>721.834989238</v>
      </c>
      <c r="J40" s="30">
        <f t="shared" si="6"/>
        <v>0.008</v>
      </c>
    </row>
    <row r="41" s="2" customFormat="1" ht="30" customHeight="1" spans="1:10">
      <c r="A41" s="12">
        <v>7</v>
      </c>
      <c r="B41" s="13" t="s">
        <v>61</v>
      </c>
      <c r="C41" s="29" t="s">
        <v>55</v>
      </c>
      <c r="D41" s="29"/>
      <c r="E41" s="29"/>
      <c r="F41" s="14">
        <f>G6*0.45%</f>
        <v>3.248257451571</v>
      </c>
      <c r="G41" s="14">
        <f t="shared" si="4"/>
        <v>3.248257451571</v>
      </c>
      <c r="H41" s="12" t="str">
        <f t="shared" si="5"/>
        <v>万元</v>
      </c>
      <c r="I41" s="22">
        <f>I36</f>
        <v>721.834989238</v>
      </c>
      <c r="J41" s="30">
        <f t="shared" si="6"/>
        <v>0.0045</v>
      </c>
    </row>
    <row r="42" s="2" customFormat="1" ht="30" customHeight="1" spans="1:10">
      <c r="A42" s="12">
        <v>9</v>
      </c>
      <c r="B42" s="13" t="s">
        <v>62</v>
      </c>
      <c r="C42" s="29" t="s">
        <v>63</v>
      </c>
      <c r="D42" s="29"/>
      <c r="E42" s="29"/>
      <c r="F42" s="14">
        <f>G6*0.003</f>
        <v>2.165504967714</v>
      </c>
      <c r="G42" s="14">
        <f t="shared" si="4"/>
        <v>2.165504967714</v>
      </c>
      <c r="H42" s="12" t="str">
        <f t="shared" si="5"/>
        <v>万元</v>
      </c>
      <c r="I42" s="22">
        <f>I36</f>
        <v>721.834989238</v>
      </c>
      <c r="J42" s="30">
        <f t="shared" si="6"/>
        <v>0.003</v>
      </c>
    </row>
    <row r="43" s="2" customFormat="1" ht="30" customHeight="1" spans="1:10">
      <c r="A43" s="12">
        <v>10</v>
      </c>
      <c r="B43" s="13" t="s">
        <v>64</v>
      </c>
      <c r="C43" s="29"/>
      <c r="D43" s="29"/>
      <c r="E43" s="29"/>
      <c r="F43" s="14">
        <v>10</v>
      </c>
      <c r="G43" s="14">
        <f t="shared" si="4"/>
        <v>10</v>
      </c>
      <c r="H43" s="12" t="str">
        <f t="shared" si="5"/>
        <v>万元</v>
      </c>
      <c r="I43" s="12"/>
      <c r="J43" s="30"/>
    </row>
    <row r="44" s="2" customFormat="1" ht="30" customHeight="1" spans="1:10">
      <c r="A44" s="15" t="s">
        <v>65</v>
      </c>
      <c r="B44" s="16" t="s">
        <v>66</v>
      </c>
      <c r="C44" s="17" t="s">
        <v>67</v>
      </c>
      <c r="D44" s="17"/>
      <c r="E44" s="17"/>
      <c r="F44" s="17">
        <f>G44</f>
        <v>23.5163787588618</v>
      </c>
      <c r="G44" s="17">
        <f>(G6+G35)*3%</f>
        <v>23.5163787588618</v>
      </c>
      <c r="H44" s="15" t="str">
        <f t="shared" si="5"/>
        <v>万元</v>
      </c>
      <c r="I44" s="15"/>
      <c r="J44" s="19">
        <f>G44/G45</f>
        <v>0.0291265743394527</v>
      </c>
    </row>
    <row r="45" s="2" customFormat="1" ht="30" customHeight="1" spans="1:10">
      <c r="A45" s="15" t="s">
        <v>68</v>
      </c>
      <c r="B45" s="16" t="s">
        <v>69</v>
      </c>
      <c r="C45" s="17">
        <f>C6+C35</f>
        <v>341.769289238</v>
      </c>
      <c r="D45" s="17">
        <f>D6+D35</f>
        <v>131.0657</v>
      </c>
      <c r="E45" s="17">
        <f>E6+E35</f>
        <v>249</v>
      </c>
      <c r="F45" s="17">
        <f>F35+F44</f>
        <v>85.5606814829216</v>
      </c>
      <c r="G45" s="17">
        <f>G6+G35+G44-0.01</f>
        <v>807.385670720922</v>
      </c>
      <c r="H45" s="15" t="str">
        <f t="shared" si="5"/>
        <v>万元</v>
      </c>
      <c r="I45" s="31"/>
      <c r="J45" s="19">
        <f>G45/G45</f>
        <v>1</v>
      </c>
    </row>
  </sheetData>
  <mergeCells count="15">
    <mergeCell ref="A3:J3"/>
    <mergeCell ref="C4:G4"/>
    <mergeCell ref="H4:J4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A4:A5"/>
    <mergeCell ref="B4:B5"/>
    <mergeCell ref="A1:J2"/>
  </mergeCells>
  <pageMargins left="0.314583333333333" right="0.275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2024-10-15T09:46:00Z</dcterms:created>
  <dcterms:modified xsi:type="dcterms:W3CDTF">2026-05-06T09:18:00Z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DE85ED5CA31445A18B0BFCB3A146F851_13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