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36" windowHeight="13500"/>
  </bookViews>
  <sheets>
    <sheet name="第七中学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<sst xmlns="http://schemas.openxmlformats.org/spreadsheetml/2006/main" count="297" uniqueCount="144">
  <si>
    <t>工 程 概 算 审 定 表</t>
  </si>
  <si>
    <t>工程名称：平罗县2026年第七中学运动场地、餐厅、宿舍楼改造提升项目</t>
  </si>
  <si>
    <t>序号</t>
  </si>
  <si>
    <t>工程及费用名称</t>
  </si>
  <si>
    <t>概算价值（万元）</t>
  </si>
  <si>
    <t>技术经济指标</t>
  </si>
  <si>
    <t>备注</t>
  </si>
  <si>
    <t>土建及装修</t>
  </si>
  <si>
    <t>设备及安装工程费</t>
  </si>
  <si>
    <t>其它费用</t>
  </si>
  <si>
    <t>合计</t>
  </si>
  <si>
    <t>单位</t>
  </si>
  <si>
    <t>面积</t>
  </si>
  <si>
    <t>单位造价（元）</t>
  </si>
  <si>
    <t>一</t>
  </si>
  <si>
    <t>建筑工程费</t>
  </si>
  <si>
    <t>（一）</t>
  </si>
  <si>
    <t>改造提升运动场地</t>
  </si>
  <si>
    <t>操场改造提升</t>
  </si>
  <si>
    <t xml:space="preserve"> </t>
  </si>
  <si>
    <t>拆除塑胶跑道面层</t>
  </si>
  <si>
    <t>㎡</t>
  </si>
  <si>
    <t>跑道破损沥青基层修复</t>
  </si>
  <si>
    <t>包含拆除，30%的量</t>
  </si>
  <si>
    <t>新建半预制型塑胶跑道</t>
  </si>
  <si>
    <t>跑道标线</t>
  </si>
  <si>
    <t>起跳板</t>
  </si>
  <si>
    <t>组</t>
  </si>
  <si>
    <t>拆除人造草坪面层</t>
  </si>
  <si>
    <t>足球场混凝土破损基层修复</t>
  </si>
  <si>
    <t>铺设人造草坪</t>
  </si>
  <si>
    <t>新建铅球场地</t>
  </si>
  <si>
    <t>含拆除硬化</t>
  </si>
  <si>
    <t>足球架</t>
  </si>
  <si>
    <t>副</t>
  </si>
  <si>
    <t>排水边沟</t>
  </si>
  <si>
    <t>m</t>
  </si>
  <si>
    <t>含拆除原有排水边沟</t>
  </si>
  <si>
    <t>看台翻新改造</t>
  </si>
  <si>
    <t>铲除面层刷自流平</t>
  </si>
  <si>
    <t>护栏除锈刷银色漆</t>
  </si>
  <si>
    <t>原有铁艺围网除锈粉刷</t>
  </si>
  <si>
    <t>3m高，148m长</t>
  </si>
  <si>
    <t>排水工程</t>
  </si>
  <si>
    <t>1）</t>
  </si>
  <si>
    <t>De400管</t>
  </si>
  <si>
    <t>2）</t>
  </si>
  <si>
    <t>预制钢筋混凝土市政雨水井</t>
  </si>
  <si>
    <t>座</t>
  </si>
  <si>
    <t>3）</t>
  </si>
  <si>
    <t>拆除恢复路面</t>
  </si>
  <si>
    <t>面包砖硬化</t>
  </si>
  <si>
    <t>球场改造提升</t>
  </si>
  <si>
    <t>铺设硅PU</t>
  </si>
  <si>
    <t>清理场地打磨铺设3cm沥青</t>
  </si>
  <si>
    <t>标线</t>
  </si>
  <si>
    <t>篮球架</t>
  </si>
  <si>
    <t>12个</t>
  </si>
  <si>
    <t>排球架</t>
  </si>
  <si>
    <t>羽毛球架</t>
  </si>
  <si>
    <t>智慧设施</t>
  </si>
  <si>
    <t>套</t>
  </si>
  <si>
    <t>（二）</t>
  </si>
  <si>
    <t>改造提升餐厅、宿舍</t>
  </si>
  <si>
    <t>餐厅</t>
  </si>
  <si>
    <t>装饰装修改造</t>
  </si>
  <si>
    <t>墙体拆除</t>
  </si>
  <si>
    <t>新建墙体</t>
  </si>
  <si>
    <t>拆除地面</t>
  </si>
  <si>
    <t>新建地砖地面（有防水）</t>
  </si>
  <si>
    <t>拆除墙面砖</t>
  </si>
  <si>
    <t>新做墙面面砖（有防水）</t>
  </si>
  <si>
    <t>新做墙面面砖（无防水）</t>
  </si>
  <si>
    <t>墙面涂料拆除</t>
  </si>
  <si>
    <t>墙面涂料恢复</t>
  </si>
  <si>
    <t>天棚涂料拆除</t>
  </si>
  <si>
    <t>天棚涂料恢复</t>
  </si>
  <si>
    <t>天棚吊顶拆除及恢复</t>
  </si>
  <si>
    <t>室外台阶拆除并恢复</t>
  </si>
  <si>
    <t>项</t>
  </si>
  <si>
    <t>雨棚拆除并恢复</t>
  </si>
  <si>
    <t>门窗工程</t>
  </si>
  <si>
    <t>排水沟</t>
  </si>
  <si>
    <t>排烟道</t>
  </si>
  <si>
    <t>现状拆除恢复</t>
  </si>
  <si>
    <t>安装工程改造</t>
  </si>
  <si>
    <t>安装管道及配件拆除</t>
  </si>
  <si>
    <t>给排水工程</t>
  </si>
  <si>
    <t>暖通工程</t>
  </si>
  <si>
    <t>电气工程</t>
  </si>
  <si>
    <t>电缆安装</t>
  </si>
  <si>
    <t>电缆土建</t>
  </si>
  <si>
    <t>男生宿舍楼</t>
  </si>
  <si>
    <t>土建及装饰工程改造</t>
  </si>
  <si>
    <t>墙面开洞</t>
  </si>
  <si>
    <t>个</t>
  </si>
  <si>
    <t>门拆除</t>
  </si>
  <si>
    <t>樘</t>
  </si>
  <si>
    <t>墙体封堵</t>
  </si>
  <si>
    <t>增设门洞</t>
  </si>
  <si>
    <t>增设墙体</t>
  </si>
  <si>
    <t>增设洗漱台及镜子</t>
  </si>
  <si>
    <t>新建地砖地面</t>
  </si>
  <si>
    <t>墙面铲除</t>
  </si>
  <si>
    <t>墙面粉刷</t>
  </si>
  <si>
    <t>墙面增设护墙板</t>
  </si>
  <si>
    <t>墙面面砖（有防水）</t>
  </si>
  <si>
    <t>室内顶棚粉刷拆除</t>
  </si>
  <si>
    <t>室内顶棚粉刷恢复</t>
  </si>
  <si>
    <t>室内增设吊顶</t>
  </si>
  <si>
    <t>室内增设踢脚线</t>
  </si>
  <si>
    <t>安装工程</t>
  </si>
  <si>
    <t>水、暖、电管线及配件拆除</t>
  </si>
  <si>
    <t>女生宿舍楼</t>
  </si>
  <si>
    <t>垂直运输</t>
  </si>
  <si>
    <t>二</t>
  </si>
  <si>
    <t>万元</t>
  </si>
  <si>
    <t>工程监理费</t>
  </si>
  <si>
    <t>工程费*1.5%</t>
  </si>
  <si>
    <t>发改价[2015]299号</t>
  </si>
  <si>
    <t>勘察测量费</t>
  </si>
  <si>
    <t>工程费*0.3%</t>
  </si>
  <si>
    <t>工程设计费</t>
  </si>
  <si>
    <t>工程费*2.2%</t>
  </si>
  <si>
    <t>BIM设计费</t>
  </si>
  <si>
    <t>工程费*1%</t>
  </si>
  <si>
    <t>不含智慧设施</t>
  </si>
  <si>
    <t>施工图审查费（包含BIM审图）</t>
  </si>
  <si>
    <t>工程费*0.5%</t>
  </si>
  <si>
    <t>控制价清单编审费</t>
  </si>
  <si>
    <t>工程费*0.8%</t>
  </si>
  <si>
    <t>[2010]87号文件规定</t>
  </si>
  <si>
    <t>招标代理服务费</t>
  </si>
  <si>
    <t>运动场面层检测费</t>
  </si>
  <si>
    <t>市场价</t>
  </si>
  <si>
    <t>财务决算费</t>
  </si>
  <si>
    <t>工程费*0.2%</t>
  </si>
  <si>
    <t>竣工结算审核费</t>
  </si>
  <si>
    <t>工程检验检测试验费</t>
  </si>
  <si>
    <t>三</t>
  </si>
  <si>
    <t>预备费</t>
  </si>
  <si>
    <t>（建筑工程费+其他费）*3.0%</t>
  </si>
  <si>
    <t>四</t>
  </si>
  <si>
    <t>总投资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</si>
</sst>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  <numFmt numFmtId="177" formatCode="0.00_);[Red]\(0.00\)"/>
    <numFmt numFmtId="178" formatCode="0.00_ "/>
    <numFmt numFmtId="179" formatCode="0.00_);\(0.00\)"/>
  </numFmts>
  <fonts count="32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color indexed="8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7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76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left" vertical="center" wrapText="1"/>
    </xf>
    <xf numFmtId="176" fontId="5" fillId="0" borderId="3" xfId="0" applyNumberFormat="1" applyFont="1" applyFill="1" applyBorder="1" applyAlignment="1">
      <alignment horizontal="left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177" fontId="2" fillId="0" borderId="5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7" fontId="2" fillId="0" borderId="5" xfId="0" applyNumberFormat="1" applyFont="1" applyFill="1" applyBorder="1" applyAlignment="1" applyProtection="1">
      <alignment horizontal="right" vertical="center" wrapText="1"/>
    </xf>
    <xf numFmtId="177" fontId="2" fillId="0" borderId="5" xfId="0" applyNumberFormat="1" applyFont="1" applyFill="1" applyBorder="1" applyAlignment="1">
      <alignment horizontal="center" vertical="center"/>
    </xf>
    <xf numFmtId="178" fontId="2" fillId="0" borderId="5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178" fontId="3" fillId="0" borderId="5" xfId="0" applyNumberFormat="1" applyFont="1" applyFill="1" applyBorder="1" applyAlignment="1">
      <alignment horizontal="center" vertical="center"/>
    </xf>
    <xf numFmtId="10" fontId="3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justify" vertical="center"/>
    </xf>
    <xf numFmtId="0" fontId="8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 applyProtection="1">
      <alignment horizontal="center" vertical="center" wrapText="1"/>
    </xf>
    <xf numFmtId="178" fontId="0" fillId="0" borderId="2" xfId="0" applyNumberFormat="1" applyFont="1" applyFill="1" applyBorder="1" applyAlignment="1" applyProtection="1">
      <alignment horizontal="center" vertical="center" wrapText="1"/>
    </xf>
    <xf numFmtId="178" fontId="0" fillId="0" borderId="4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1"/>
  <sheetViews>
    <sheetView tabSelected="1" workbookViewId="0">
      <selection activeCell="B58" sqref="B58"/>
    </sheetView>
  </sheetViews>
  <sheetFormatPr defaultColWidth="8.87962962962963" defaultRowHeight="14.4"/>
  <cols>
    <col min="1" max="1" width="8.37962962962963" style="7" customWidth="1"/>
    <col min="2" max="2" width="22.9351851851852" style="8" customWidth="1"/>
    <col min="3" max="3" width="9.22222222222222" style="8" customWidth="1"/>
    <col min="4" max="4" width="8.25" style="8" customWidth="1"/>
    <col min="5" max="5" width="9.07407407407407" style="8" customWidth="1"/>
    <col min="6" max="6" width="9.44444444444444" style="8" customWidth="1"/>
    <col min="7" max="7" width="5.12962962962963" style="8" customWidth="1"/>
    <col min="8" max="8" width="9.11111111111111" style="8" customWidth="1"/>
    <col min="9" max="9" width="11" style="8" customWidth="1"/>
    <col min="10" max="10" width="11.8148148148148" style="9" customWidth="1"/>
    <col min="11" max="16384" width="8.87962962962963" style="8"/>
  </cols>
  <sheetData>
    <row r="1" s="1" customFormat="1" ht="35" customHeight="1" spans="1:10">
      <c r="A1" s="10" t="s">
        <v>0</v>
      </c>
      <c r="B1" s="11"/>
      <c r="C1" s="12"/>
      <c r="D1" s="12"/>
      <c r="E1" s="11"/>
      <c r="F1" s="12"/>
      <c r="G1" s="11"/>
      <c r="H1" s="11"/>
      <c r="I1" s="12"/>
      <c r="J1" s="11"/>
    </row>
    <row r="2" s="1" customFormat="1" ht="35" customHeight="1" spans="1:10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5"/>
    </row>
    <row r="3" s="1" customFormat="1" ht="21" customHeight="1" spans="1:10">
      <c r="A3" s="16" t="s">
        <v>2</v>
      </c>
      <c r="B3" s="17" t="s">
        <v>3</v>
      </c>
      <c r="C3" s="18" t="s">
        <v>4</v>
      </c>
      <c r="D3" s="18"/>
      <c r="E3" s="19"/>
      <c r="F3" s="18"/>
      <c r="G3" s="19" t="s">
        <v>5</v>
      </c>
      <c r="H3" s="19"/>
      <c r="I3" s="18"/>
      <c r="J3" s="18" t="s">
        <v>6</v>
      </c>
    </row>
    <row r="4" s="1" customFormat="1" ht="43.2" spans="1:10">
      <c r="A4" s="16"/>
      <c r="B4" s="17"/>
      <c r="C4" s="18" t="s">
        <v>7</v>
      </c>
      <c r="D4" s="18" t="s">
        <v>8</v>
      </c>
      <c r="E4" s="19" t="s">
        <v>9</v>
      </c>
      <c r="F4" s="18" t="s">
        <v>10</v>
      </c>
      <c r="G4" s="19" t="s">
        <v>11</v>
      </c>
      <c r="H4" s="18" t="s">
        <v>12</v>
      </c>
      <c r="I4" s="18" t="s">
        <v>13</v>
      </c>
      <c r="J4" s="18"/>
    </row>
    <row r="5" s="1" customFormat="1" ht="17" customHeight="1" spans="1:10">
      <c r="A5" s="16" t="s">
        <v>14</v>
      </c>
      <c r="B5" s="17" t="s">
        <v>15</v>
      </c>
      <c r="C5" s="18">
        <f>C6+C33</f>
        <v>712.9624</v>
      </c>
      <c r="D5" s="18">
        <f>D6+D33</f>
        <v>195.77</v>
      </c>
      <c r="E5" s="19"/>
      <c r="F5" s="18">
        <f>C5+D5</f>
        <v>908.7324</v>
      </c>
      <c r="G5" s="19"/>
      <c r="H5" s="18"/>
      <c r="I5" s="18"/>
      <c r="J5" s="20">
        <f>F5/F131</f>
        <v>0.899805234069993</v>
      </c>
    </row>
    <row r="6" s="1" customFormat="1" spans="1:10">
      <c r="A6" s="16" t="s">
        <v>16</v>
      </c>
      <c r="B6" s="17" t="s">
        <v>17</v>
      </c>
      <c r="C6" s="18">
        <f>C7+C26+C32</f>
        <v>503.4496</v>
      </c>
      <c r="D6" s="18"/>
      <c r="E6" s="19"/>
      <c r="F6" s="18">
        <f>C6</f>
        <v>503.4496</v>
      </c>
      <c r="G6" s="19"/>
      <c r="H6" s="18"/>
      <c r="I6" s="21"/>
      <c r="J6" s="18"/>
    </row>
    <row r="7" spans="1:10">
      <c r="A7" s="22">
        <v>-1</v>
      </c>
      <c r="B7" s="23" t="s">
        <v>18</v>
      </c>
      <c r="C7" s="18">
        <f>SUM(C8:C22)</f>
        <v>292.0896</v>
      </c>
      <c r="D7" s="18">
        <v>0</v>
      </c>
      <c r="E7" s="19"/>
      <c r="F7" s="18">
        <f t="shared" ref="F7:F15" si="0">C7</f>
        <v>292.0896</v>
      </c>
      <c r="G7" s="19" t="s">
        <v>19</v>
      </c>
      <c r="H7" s="18"/>
      <c r="I7" s="21"/>
      <c r="J7" s="18" t="s">
        <v>19</v>
      </c>
    </row>
    <row r="8" spans="1:10">
      <c r="A8" s="24">
        <v>1</v>
      </c>
      <c r="B8" s="25" t="s">
        <v>20</v>
      </c>
      <c r="C8" s="21">
        <v>4.09</v>
      </c>
      <c r="D8" s="21" t="s">
        <v>19</v>
      </c>
      <c r="E8" s="26"/>
      <c r="F8" s="21">
        <f t="shared" si="0"/>
        <v>4.09</v>
      </c>
      <c r="G8" s="27" t="s">
        <v>21</v>
      </c>
      <c r="H8" s="28">
        <f>2892*1.1</f>
        <v>3181.2</v>
      </c>
      <c r="I8" s="21">
        <f t="shared" ref="I6:I27" si="1">F8/H8*10000</f>
        <v>12.8567836036716</v>
      </c>
      <c r="J8" s="28"/>
    </row>
    <row r="9" ht="28.8" spans="1:10">
      <c r="A9" s="24">
        <v>2</v>
      </c>
      <c r="B9" s="25" t="s">
        <v>22</v>
      </c>
      <c r="C9" s="21">
        <v>18.55</v>
      </c>
      <c r="D9" s="18"/>
      <c r="E9" s="26"/>
      <c r="F9" s="21">
        <f t="shared" si="0"/>
        <v>18.55</v>
      </c>
      <c r="G9" s="27" t="s">
        <v>21</v>
      </c>
      <c r="H9" s="28">
        <f>H8*0.3</f>
        <v>954.36</v>
      </c>
      <c r="I9" s="21">
        <f t="shared" si="1"/>
        <v>194.371096860723</v>
      </c>
      <c r="J9" s="28" t="s">
        <v>23</v>
      </c>
    </row>
    <row r="10" spans="1:10">
      <c r="A10" s="24">
        <v>3</v>
      </c>
      <c r="B10" s="25" t="s">
        <v>24</v>
      </c>
      <c r="C10" s="21">
        <v>83.78</v>
      </c>
      <c r="D10" s="18"/>
      <c r="E10" s="26"/>
      <c r="F10" s="21">
        <f t="shared" si="0"/>
        <v>83.78</v>
      </c>
      <c r="G10" s="27" t="s">
        <v>21</v>
      </c>
      <c r="H10" s="28">
        <f>H8</f>
        <v>3181.2</v>
      </c>
      <c r="I10" s="21">
        <f t="shared" si="1"/>
        <v>263.359738463473</v>
      </c>
      <c r="J10" s="28"/>
    </row>
    <row r="11" spans="1:10">
      <c r="A11" s="24">
        <v>4</v>
      </c>
      <c r="B11" s="25" t="s">
        <v>25</v>
      </c>
      <c r="C11" s="21">
        <v>1.44</v>
      </c>
      <c r="D11" s="21" t="s">
        <v>19</v>
      </c>
      <c r="E11" s="26"/>
      <c r="F11" s="21">
        <f t="shared" si="0"/>
        <v>1.44</v>
      </c>
      <c r="G11" s="27" t="s">
        <v>21</v>
      </c>
      <c r="H11" s="28">
        <v>300</v>
      </c>
      <c r="I11" s="21">
        <f t="shared" si="1"/>
        <v>48</v>
      </c>
      <c r="J11" s="28"/>
    </row>
    <row r="12" spans="1:10">
      <c r="A12" s="24">
        <v>5</v>
      </c>
      <c r="B12" s="25" t="s">
        <v>26</v>
      </c>
      <c r="C12" s="21">
        <v>0.11</v>
      </c>
      <c r="D12" s="21" t="s">
        <v>19</v>
      </c>
      <c r="E12" s="26"/>
      <c r="F12" s="21">
        <f t="shared" si="0"/>
        <v>0.11</v>
      </c>
      <c r="G12" s="27" t="s">
        <v>27</v>
      </c>
      <c r="H12" s="28">
        <v>2</v>
      </c>
      <c r="I12" s="21">
        <f t="shared" si="1"/>
        <v>550</v>
      </c>
      <c r="J12" s="28"/>
    </row>
    <row r="13" spans="1:10">
      <c r="A13" s="24">
        <v>6</v>
      </c>
      <c r="B13" s="25" t="s">
        <v>28</v>
      </c>
      <c r="C13" s="21">
        <v>6.93</v>
      </c>
      <c r="D13" s="21" t="s">
        <v>19</v>
      </c>
      <c r="E13" s="26"/>
      <c r="F13" s="21">
        <f t="shared" si="0"/>
        <v>6.93</v>
      </c>
      <c r="G13" s="27" t="s">
        <v>21</v>
      </c>
      <c r="H13" s="28">
        <f>5545*1.1</f>
        <v>6099.5</v>
      </c>
      <c r="I13" s="21">
        <f t="shared" si="1"/>
        <v>11.3615870153291</v>
      </c>
      <c r="J13" s="28"/>
    </row>
    <row r="14" s="2" customFormat="1" ht="28.8" spans="1:10">
      <c r="A14" s="24">
        <v>7</v>
      </c>
      <c r="B14" s="25" t="s">
        <v>29</v>
      </c>
      <c r="C14" s="28">
        <v>23.41</v>
      </c>
      <c r="D14" s="28"/>
      <c r="E14" s="27"/>
      <c r="F14" s="28">
        <f t="shared" si="0"/>
        <v>23.41</v>
      </c>
      <c r="G14" s="27" t="s">
        <v>21</v>
      </c>
      <c r="H14" s="28">
        <f>H15*0.3</f>
        <v>1765.3491</v>
      </c>
      <c r="I14" s="21">
        <f t="shared" si="1"/>
        <v>132.608332255643</v>
      </c>
      <c r="J14" s="28" t="s">
        <v>23</v>
      </c>
    </row>
    <row r="15" spans="1:10">
      <c r="A15" s="24">
        <v>8</v>
      </c>
      <c r="B15" s="25" t="s">
        <v>30</v>
      </c>
      <c r="C15" s="21">
        <v>105.83</v>
      </c>
      <c r="D15" s="21" t="s">
        <v>19</v>
      </c>
      <c r="E15" s="26"/>
      <c r="F15" s="21">
        <f t="shared" si="0"/>
        <v>105.83</v>
      </c>
      <c r="G15" s="27" t="s">
        <v>21</v>
      </c>
      <c r="H15" s="28">
        <f>5349.27*1.1+0.3</f>
        <v>5884.497</v>
      </c>
      <c r="I15" s="21">
        <f t="shared" si="1"/>
        <v>179.84544813261</v>
      </c>
      <c r="J15" s="28"/>
    </row>
    <row r="16" spans="1:10">
      <c r="A16" s="24">
        <v>9</v>
      </c>
      <c r="B16" s="25" t="s">
        <v>31</v>
      </c>
      <c r="C16" s="21">
        <v>5.3</v>
      </c>
      <c r="D16" s="21"/>
      <c r="E16" s="26"/>
      <c r="F16" s="21">
        <f t="shared" ref="F16:F33" si="2">C16</f>
        <v>5.3</v>
      </c>
      <c r="G16" s="27" t="s">
        <v>21</v>
      </c>
      <c r="H16" s="28">
        <v>215</v>
      </c>
      <c r="I16" s="21">
        <f t="shared" si="1"/>
        <v>246.511627906977</v>
      </c>
      <c r="J16" s="28" t="s">
        <v>32</v>
      </c>
    </row>
    <row r="17" spans="1:10">
      <c r="A17" s="24">
        <v>10</v>
      </c>
      <c r="B17" s="25" t="s">
        <v>33</v>
      </c>
      <c r="C17" s="21">
        <v>0.25</v>
      </c>
      <c r="D17" s="21"/>
      <c r="E17" s="26"/>
      <c r="F17" s="21">
        <f t="shared" si="2"/>
        <v>0.25</v>
      </c>
      <c r="G17" s="27" t="s">
        <v>34</v>
      </c>
      <c r="H17" s="28">
        <v>1</v>
      </c>
      <c r="I17" s="21">
        <f t="shared" si="1"/>
        <v>2500</v>
      </c>
      <c r="J17" s="28"/>
    </row>
    <row r="18" ht="28.8" spans="1:10">
      <c r="A18" s="24">
        <v>11</v>
      </c>
      <c r="B18" s="25" t="s">
        <v>35</v>
      </c>
      <c r="C18" s="21">
        <v>20.92</v>
      </c>
      <c r="D18" s="21" t="s">
        <v>19</v>
      </c>
      <c r="E18" s="26"/>
      <c r="F18" s="21">
        <f t="shared" si="2"/>
        <v>20.92</v>
      </c>
      <c r="G18" s="27" t="s">
        <v>36</v>
      </c>
      <c r="H18" s="28">
        <v>310</v>
      </c>
      <c r="I18" s="21">
        <f t="shared" si="1"/>
        <v>674.838709677419</v>
      </c>
      <c r="J18" s="28" t="s">
        <v>37</v>
      </c>
    </row>
    <row r="19" ht="28.8" spans="1:10">
      <c r="A19" s="24">
        <v>12</v>
      </c>
      <c r="B19" s="25" t="s">
        <v>38</v>
      </c>
      <c r="C19" s="21">
        <v>14.6</v>
      </c>
      <c r="D19" s="21"/>
      <c r="E19" s="26"/>
      <c r="F19" s="21">
        <f t="shared" si="2"/>
        <v>14.6</v>
      </c>
      <c r="G19" s="27" t="s">
        <v>21</v>
      </c>
      <c r="H19" s="28">
        <v>1486</v>
      </c>
      <c r="I19" s="21">
        <f t="shared" si="1"/>
        <v>98.250336473755</v>
      </c>
      <c r="J19" s="28" t="s">
        <v>39</v>
      </c>
    </row>
    <row r="20" spans="1:10">
      <c r="A20" s="24">
        <v>13</v>
      </c>
      <c r="B20" s="25" t="s">
        <v>40</v>
      </c>
      <c r="C20" s="21">
        <v>0.49</v>
      </c>
      <c r="D20" s="21"/>
      <c r="E20" s="26"/>
      <c r="F20" s="21">
        <f t="shared" si="2"/>
        <v>0.49</v>
      </c>
      <c r="G20" s="27" t="s">
        <v>36</v>
      </c>
      <c r="H20" s="28">
        <v>315</v>
      </c>
      <c r="I20" s="21">
        <f t="shared" si="1"/>
        <v>15.5555555555556</v>
      </c>
      <c r="J20" s="28"/>
    </row>
    <row r="21" s="3" customFormat="1" ht="28.8" spans="1:10">
      <c r="A21" s="24">
        <v>14</v>
      </c>
      <c r="B21" s="25" t="s">
        <v>41</v>
      </c>
      <c r="C21" s="21">
        <v>1.21</v>
      </c>
      <c r="D21" s="21"/>
      <c r="E21" s="26"/>
      <c r="F21" s="21">
        <f t="shared" si="2"/>
        <v>1.21</v>
      </c>
      <c r="G21" s="27" t="s">
        <v>21</v>
      </c>
      <c r="H21" s="28">
        <v>444</v>
      </c>
      <c r="I21" s="21">
        <f t="shared" si="1"/>
        <v>27.2522522522523</v>
      </c>
      <c r="J21" s="27" t="s">
        <v>42</v>
      </c>
    </row>
    <row r="22" s="2" customFormat="1" spans="1:10">
      <c r="A22" s="24">
        <v>15</v>
      </c>
      <c r="B22" s="25" t="s">
        <v>43</v>
      </c>
      <c r="C22" s="21">
        <f>C23+C24+C25</f>
        <v>5.1796</v>
      </c>
      <c r="D22" s="28"/>
      <c r="E22" s="27"/>
      <c r="F22" s="28">
        <f t="shared" si="2"/>
        <v>5.1796</v>
      </c>
      <c r="G22" s="27" t="s">
        <v>36</v>
      </c>
      <c r="H22" s="28">
        <v>56.2</v>
      </c>
      <c r="I22" s="21">
        <f t="shared" si="1"/>
        <v>921.637010676156</v>
      </c>
      <c r="J22" s="28"/>
    </row>
    <row r="23" s="2" customFormat="1" spans="1:10">
      <c r="A23" s="24" t="s">
        <v>44</v>
      </c>
      <c r="B23" s="25" t="s">
        <v>45</v>
      </c>
      <c r="C23" s="21">
        <v>2.8832</v>
      </c>
      <c r="D23" s="28"/>
      <c r="E23" s="27"/>
      <c r="F23" s="28">
        <f t="shared" si="2"/>
        <v>2.8832</v>
      </c>
      <c r="G23" s="27" t="s">
        <v>36</v>
      </c>
      <c r="H23" s="28">
        <v>56.2</v>
      </c>
      <c r="I23" s="21">
        <f t="shared" si="1"/>
        <v>513.024911032028</v>
      </c>
      <c r="J23" s="28"/>
    </row>
    <row r="24" s="2" customFormat="1" ht="28.8" spans="1:10">
      <c r="A24" s="24" t="s">
        <v>46</v>
      </c>
      <c r="B24" s="25" t="s">
        <v>47</v>
      </c>
      <c r="C24" s="21">
        <v>0.1964</v>
      </c>
      <c r="D24" s="28"/>
      <c r="E24" s="27"/>
      <c r="F24" s="28">
        <f t="shared" si="2"/>
        <v>0.1964</v>
      </c>
      <c r="G24" s="27" t="s">
        <v>48</v>
      </c>
      <c r="H24" s="28">
        <v>1</v>
      </c>
      <c r="I24" s="21">
        <f t="shared" si="1"/>
        <v>1964</v>
      </c>
      <c r="J24" s="28"/>
    </row>
    <row r="25" s="2" customFormat="1" ht="16" customHeight="1" spans="1:10">
      <c r="A25" s="24" t="s">
        <v>49</v>
      </c>
      <c r="B25" s="25" t="s">
        <v>50</v>
      </c>
      <c r="C25" s="21">
        <v>2.1</v>
      </c>
      <c r="D25" s="28"/>
      <c r="E25" s="27"/>
      <c r="F25" s="28">
        <f t="shared" si="2"/>
        <v>2.1</v>
      </c>
      <c r="G25" s="27" t="s">
        <v>21</v>
      </c>
      <c r="H25" s="28">
        <v>112.4</v>
      </c>
      <c r="I25" s="21">
        <f t="shared" si="1"/>
        <v>186.832740213523</v>
      </c>
      <c r="J25" s="28" t="s">
        <v>51</v>
      </c>
    </row>
    <row r="26" spans="1:10">
      <c r="A26" s="22">
        <v>-2</v>
      </c>
      <c r="B26" s="23" t="s">
        <v>52</v>
      </c>
      <c r="C26" s="18">
        <f>SUM(C27:C31)</f>
        <v>128.54</v>
      </c>
      <c r="D26" s="18">
        <v>0</v>
      </c>
      <c r="E26" s="19"/>
      <c r="F26" s="29">
        <f t="shared" si="2"/>
        <v>128.54</v>
      </c>
      <c r="G26" s="30"/>
      <c r="H26" s="29"/>
      <c r="I26" s="21"/>
      <c r="J26" s="29"/>
    </row>
    <row r="27" s="2" customFormat="1" ht="45" customHeight="1" spans="1:10">
      <c r="A27" s="24">
        <v>1</v>
      </c>
      <c r="B27" s="25" t="s">
        <v>53</v>
      </c>
      <c r="C27" s="28">
        <v>124.21</v>
      </c>
      <c r="D27" s="28"/>
      <c r="E27" s="27"/>
      <c r="F27" s="28">
        <f t="shared" si="2"/>
        <v>124.21</v>
      </c>
      <c r="G27" s="27" t="s">
        <v>21</v>
      </c>
      <c r="H27" s="28">
        <f>5300*1.1</f>
        <v>5830</v>
      </c>
      <c r="I27" s="21">
        <f t="shared" si="1"/>
        <v>213.053173241852</v>
      </c>
      <c r="J27" s="28" t="s">
        <v>54</v>
      </c>
    </row>
    <row r="28" s="2" customFormat="1" spans="1:10">
      <c r="A28" s="24">
        <v>2</v>
      </c>
      <c r="B28" s="25" t="s">
        <v>55</v>
      </c>
      <c r="C28" s="28">
        <v>0.73</v>
      </c>
      <c r="D28" s="28" t="s">
        <v>19</v>
      </c>
      <c r="E28" s="27"/>
      <c r="F28" s="28">
        <f t="shared" si="2"/>
        <v>0.73</v>
      </c>
      <c r="G28" s="27" t="s">
        <v>21</v>
      </c>
      <c r="H28" s="28">
        <v>152</v>
      </c>
      <c r="I28" s="21">
        <f t="shared" ref="I28:I59" si="3">F28/H28*10000</f>
        <v>48.0263157894737</v>
      </c>
      <c r="J28" s="28"/>
    </row>
    <row r="29" s="2" customFormat="1" spans="1:10">
      <c r="A29" s="24">
        <v>3</v>
      </c>
      <c r="B29" s="25" t="s">
        <v>56</v>
      </c>
      <c r="C29" s="28">
        <v>3</v>
      </c>
      <c r="D29" s="29"/>
      <c r="E29" s="27"/>
      <c r="F29" s="28">
        <f t="shared" si="2"/>
        <v>3</v>
      </c>
      <c r="G29" s="27" t="s">
        <v>34</v>
      </c>
      <c r="H29" s="28">
        <v>6</v>
      </c>
      <c r="I29" s="21">
        <f t="shared" si="3"/>
        <v>5000</v>
      </c>
      <c r="J29" s="28" t="s">
        <v>57</v>
      </c>
    </row>
    <row r="30" s="2" customFormat="1" spans="1:10">
      <c r="A30" s="24">
        <v>4</v>
      </c>
      <c r="B30" s="25" t="s">
        <v>58</v>
      </c>
      <c r="C30" s="28">
        <v>0.3</v>
      </c>
      <c r="D30" s="28"/>
      <c r="E30" s="27"/>
      <c r="F30" s="28">
        <f t="shared" si="2"/>
        <v>0.3</v>
      </c>
      <c r="G30" s="27" t="s">
        <v>34</v>
      </c>
      <c r="H30" s="28">
        <v>2</v>
      </c>
      <c r="I30" s="21">
        <f t="shared" si="3"/>
        <v>1500</v>
      </c>
      <c r="J30" s="28"/>
    </row>
    <row r="31" s="2" customFormat="1" spans="1:10">
      <c r="A31" s="24">
        <v>5</v>
      </c>
      <c r="B31" s="25" t="s">
        <v>59</v>
      </c>
      <c r="C31" s="28">
        <v>0.3</v>
      </c>
      <c r="D31" s="28"/>
      <c r="E31" s="27"/>
      <c r="F31" s="28">
        <f t="shared" si="2"/>
        <v>0.3</v>
      </c>
      <c r="G31" s="27" t="s">
        <v>34</v>
      </c>
      <c r="H31" s="28">
        <v>2</v>
      </c>
      <c r="I31" s="21">
        <f t="shared" si="3"/>
        <v>1500</v>
      </c>
      <c r="J31" s="28"/>
    </row>
    <row r="32" s="4" customFormat="1" spans="1:10">
      <c r="A32" s="22">
        <v>-3</v>
      </c>
      <c r="B32" s="23" t="s">
        <v>60</v>
      </c>
      <c r="C32" s="29">
        <v>82.82</v>
      </c>
      <c r="D32" s="29">
        <v>0</v>
      </c>
      <c r="E32" s="30"/>
      <c r="F32" s="29">
        <f t="shared" si="2"/>
        <v>82.82</v>
      </c>
      <c r="G32" s="30" t="s">
        <v>61</v>
      </c>
      <c r="H32" s="29">
        <v>1</v>
      </c>
      <c r="I32" s="21">
        <f t="shared" si="3"/>
        <v>828200</v>
      </c>
      <c r="J32" s="30"/>
    </row>
    <row r="33" s="4" customFormat="1" spans="1:10">
      <c r="A33" s="22" t="s">
        <v>62</v>
      </c>
      <c r="B33" s="23" t="s">
        <v>63</v>
      </c>
      <c r="C33" s="29">
        <f>C34+C61+C89+C117</f>
        <v>209.5128</v>
      </c>
      <c r="D33" s="29">
        <f>D34+D61+D89</f>
        <v>195.77</v>
      </c>
      <c r="E33" s="30"/>
      <c r="F33" s="29">
        <f>C33+D33</f>
        <v>405.2828</v>
      </c>
      <c r="G33" s="30"/>
      <c r="H33" s="29"/>
      <c r="I33" s="21"/>
      <c r="J33" s="30"/>
    </row>
    <row r="34" s="5" customFormat="1" spans="1:10">
      <c r="A34" s="31"/>
      <c r="B34" s="32" t="s">
        <v>64</v>
      </c>
      <c r="C34" s="33">
        <f>C35+C54</f>
        <v>58.91</v>
      </c>
      <c r="D34" s="33">
        <f>D35+D54</f>
        <v>44.37</v>
      </c>
      <c r="E34" s="33"/>
      <c r="F34" s="33">
        <f t="shared" ref="F34:F52" si="4">SUM(C34:E34)</f>
        <v>103.28</v>
      </c>
      <c r="G34" s="34"/>
      <c r="H34" s="35"/>
      <c r="I34" s="21"/>
      <c r="J34" s="29"/>
    </row>
    <row r="35" s="5" customFormat="1" spans="1:10">
      <c r="A35" s="22">
        <v>-1</v>
      </c>
      <c r="B35" s="32" t="s">
        <v>65</v>
      </c>
      <c r="C35" s="33">
        <f>SUM(C36:C53)</f>
        <v>56.41</v>
      </c>
      <c r="D35" s="36"/>
      <c r="E35" s="36"/>
      <c r="F35" s="33">
        <f t="shared" si="4"/>
        <v>56.41</v>
      </c>
      <c r="G35" s="34"/>
      <c r="H35" s="35"/>
      <c r="I35" s="21"/>
      <c r="J35" s="29"/>
    </row>
    <row r="36" s="5" customFormat="1" spans="1:10">
      <c r="A36" s="37">
        <v>1</v>
      </c>
      <c r="B36" s="38" t="s">
        <v>66</v>
      </c>
      <c r="C36" s="39">
        <v>0.83</v>
      </c>
      <c r="D36" s="40"/>
      <c r="E36" s="40"/>
      <c r="F36" s="41">
        <f t="shared" si="4"/>
        <v>0.83</v>
      </c>
      <c r="G36" s="42" t="s">
        <v>21</v>
      </c>
      <c r="H36" s="43">
        <v>180</v>
      </c>
      <c r="I36" s="21">
        <f t="shared" si="3"/>
        <v>46.1111111111111</v>
      </c>
      <c r="J36" s="28"/>
    </row>
    <row r="37" s="5" customFormat="1" spans="1:10">
      <c r="A37" s="37">
        <v>2</v>
      </c>
      <c r="B37" s="38" t="s">
        <v>67</v>
      </c>
      <c r="C37" s="39">
        <v>11.5</v>
      </c>
      <c r="D37" s="39"/>
      <c r="E37" s="39"/>
      <c r="F37" s="41">
        <f t="shared" si="4"/>
        <v>11.5</v>
      </c>
      <c r="G37" s="42" t="s">
        <v>21</v>
      </c>
      <c r="H37" s="43">
        <v>450</v>
      </c>
      <c r="I37" s="21">
        <f t="shared" si="3"/>
        <v>255.555555555556</v>
      </c>
      <c r="J37" s="28"/>
    </row>
    <row r="38" s="5" customFormat="1" spans="1:10">
      <c r="A38" s="37">
        <v>3</v>
      </c>
      <c r="B38" s="38" t="s">
        <v>68</v>
      </c>
      <c r="C38" s="39">
        <v>1.06</v>
      </c>
      <c r="D38" s="39"/>
      <c r="E38" s="40"/>
      <c r="F38" s="41">
        <f t="shared" si="4"/>
        <v>1.06</v>
      </c>
      <c r="G38" s="42" t="s">
        <v>21</v>
      </c>
      <c r="H38" s="43">
        <v>325</v>
      </c>
      <c r="I38" s="21">
        <f t="shared" si="3"/>
        <v>32.6153846153846</v>
      </c>
      <c r="J38" s="28"/>
    </row>
    <row r="39" s="5" customFormat="1" spans="1:10">
      <c r="A39" s="37">
        <v>4</v>
      </c>
      <c r="B39" s="38" t="s">
        <v>69</v>
      </c>
      <c r="C39" s="39">
        <v>8.09</v>
      </c>
      <c r="D39" s="39"/>
      <c r="E39" s="40"/>
      <c r="F39" s="41">
        <f t="shared" si="4"/>
        <v>8.09</v>
      </c>
      <c r="G39" s="42" t="s">
        <v>21</v>
      </c>
      <c r="H39" s="43">
        <f>H38</f>
        <v>325</v>
      </c>
      <c r="I39" s="21">
        <f t="shared" si="3"/>
        <v>248.923076923077</v>
      </c>
      <c r="J39" s="28"/>
    </row>
    <row r="40" s="5" customFormat="1" spans="1:10">
      <c r="A40" s="37">
        <v>5</v>
      </c>
      <c r="B40" s="38" t="s">
        <v>70</v>
      </c>
      <c r="C40" s="39">
        <v>0.63</v>
      </c>
      <c r="D40" s="39"/>
      <c r="E40" s="40"/>
      <c r="F40" s="41">
        <f t="shared" si="4"/>
        <v>0.63</v>
      </c>
      <c r="G40" s="42" t="s">
        <v>21</v>
      </c>
      <c r="H40" s="43">
        <v>300</v>
      </c>
      <c r="I40" s="21">
        <f t="shared" si="3"/>
        <v>21</v>
      </c>
      <c r="J40" s="28"/>
    </row>
    <row r="41" s="5" customFormat="1" spans="1:10">
      <c r="A41" s="37">
        <v>6</v>
      </c>
      <c r="B41" s="38" t="s">
        <v>71</v>
      </c>
      <c r="C41" s="39">
        <v>8.82</v>
      </c>
      <c r="D41" s="39"/>
      <c r="E41" s="40"/>
      <c r="F41" s="41">
        <f t="shared" si="4"/>
        <v>8.82</v>
      </c>
      <c r="G41" s="42" t="s">
        <v>21</v>
      </c>
      <c r="H41" s="43">
        <v>450</v>
      </c>
      <c r="I41" s="21">
        <f t="shared" si="3"/>
        <v>196</v>
      </c>
      <c r="J41" s="28"/>
    </row>
    <row r="42" s="5" customFormat="1" spans="1:10">
      <c r="A42" s="37">
        <v>7</v>
      </c>
      <c r="B42" s="38" t="s">
        <v>72</v>
      </c>
      <c r="C42" s="39">
        <v>3.73</v>
      </c>
      <c r="D42" s="40"/>
      <c r="E42" s="40"/>
      <c r="F42" s="41">
        <f t="shared" si="4"/>
        <v>3.73</v>
      </c>
      <c r="G42" s="42" t="s">
        <v>21</v>
      </c>
      <c r="H42" s="43">
        <v>250</v>
      </c>
      <c r="I42" s="21">
        <f t="shared" si="3"/>
        <v>149.2</v>
      </c>
      <c r="J42" s="28"/>
    </row>
    <row r="43" s="5" customFormat="1" spans="1:10">
      <c r="A43" s="37">
        <v>8</v>
      </c>
      <c r="B43" s="38" t="s">
        <v>73</v>
      </c>
      <c r="C43" s="39">
        <v>0.61</v>
      </c>
      <c r="D43" s="44"/>
      <c r="E43" s="45"/>
      <c r="F43" s="41">
        <f t="shared" si="4"/>
        <v>0.61</v>
      </c>
      <c r="G43" s="42" t="s">
        <v>21</v>
      </c>
      <c r="H43" s="43">
        <v>650</v>
      </c>
      <c r="I43" s="21">
        <f t="shared" si="3"/>
        <v>9.38461538461538</v>
      </c>
      <c r="J43" s="28"/>
    </row>
    <row r="44" s="5" customFormat="1" spans="1:10">
      <c r="A44" s="37">
        <v>9</v>
      </c>
      <c r="B44" s="38" t="s">
        <v>74</v>
      </c>
      <c r="C44" s="39">
        <v>3.26</v>
      </c>
      <c r="D44" s="44"/>
      <c r="E44" s="45"/>
      <c r="F44" s="41">
        <f t="shared" si="4"/>
        <v>3.26</v>
      </c>
      <c r="G44" s="42" t="s">
        <v>21</v>
      </c>
      <c r="H44" s="43">
        <v>650</v>
      </c>
      <c r="I44" s="21">
        <f t="shared" si="3"/>
        <v>50.1538461538462</v>
      </c>
      <c r="J44" s="28"/>
    </row>
    <row r="45" s="5" customFormat="1" spans="1:10">
      <c r="A45" s="37">
        <v>10</v>
      </c>
      <c r="B45" s="38" t="s">
        <v>75</v>
      </c>
      <c r="C45" s="39">
        <v>0.8</v>
      </c>
      <c r="D45" s="44"/>
      <c r="E45" s="45"/>
      <c r="F45" s="41">
        <f t="shared" si="4"/>
        <v>0.8</v>
      </c>
      <c r="G45" s="42" t="s">
        <v>21</v>
      </c>
      <c r="H45" s="43">
        <v>850</v>
      </c>
      <c r="I45" s="21">
        <f t="shared" si="3"/>
        <v>9.41176470588235</v>
      </c>
      <c r="J45" s="28"/>
    </row>
    <row r="46" s="5" customFormat="1" spans="1:10">
      <c r="A46" s="37">
        <v>11</v>
      </c>
      <c r="B46" s="38" t="s">
        <v>76</v>
      </c>
      <c r="C46" s="39">
        <v>2.9</v>
      </c>
      <c r="D46" s="44"/>
      <c r="E46" s="45"/>
      <c r="F46" s="41">
        <f t="shared" si="4"/>
        <v>2.9</v>
      </c>
      <c r="G46" s="42" t="s">
        <v>21</v>
      </c>
      <c r="H46" s="43">
        <v>850</v>
      </c>
      <c r="I46" s="21">
        <f t="shared" si="3"/>
        <v>34.1176470588235</v>
      </c>
      <c r="J46" s="28"/>
    </row>
    <row r="47" s="5" customFormat="1" ht="26" customHeight="1" spans="1:10">
      <c r="A47" s="37">
        <v>12</v>
      </c>
      <c r="B47" s="38" t="s">
        <v>77</v>
      </c>
      <c r="C47" s="39">
        <v>5.06</v>
      </c>
      <c r="D47" s="44"/>
      <c r="E47" s="45"/>
      <c r="F47" s="41">
        <f t="shared" si="4"/>
        <v>5.06</v>
      </c>
      <c r="G47" s="42" t="s">
        <v>21</v>
      </c>
      <c r="H47" s="43">
        <v>280</v>
      </c>
      <c r="I47" s="21">
        <f t="shared" si="3"/>
        <v>180.714285714286</v>
      </c>
      <c r="J47" s="28"/>
    </row>
    <row r="48" s="5" customFormat="1" spans="1:10">
      <c r="A48" s="37">
        <v>13</v>
      </c>
      <c r="B48" s="38" t="s">
        <v>78</v>
      </c>
      <c r="C48" s="39">
        <v>0.61</v>
      </c>
      <c r="D48" s="44"/>
      <c r="E48" s="45"/>
      <c r="F48" s="41">
        <f t="shared" si="4"/>
        <v>0.61</v>
      </c>
      <c r="G48" s="42" t="s">
        <v>79</v>
      </c>
      <c r="H48" s="43">
        <v>1</v>
      </c>
      <c r="I48" s="21">
        <f t="shared" si="3"/>
        <v>6100</v>
      </c>
      <c r="J48" s="28"/>
    </row>
    <row r="49" s="5" customFormat="1" spans="1:10">
      <c r="A49" s="37">
        <v>14</v>
      </c>
      <c r="B49" s="38" t="s">
        <v>80</v>
      </c>
      <c r="C49" s="39">
        <v>1.02</v>
      </c>
      <c r="D49" s="44"/>
      <c r="E49" s="45"/>
      <c r="F49" s="41">
        <f t="shared" si="4"/>
        <v>1.02</v>
      </c>
      <c r="G49" s="42" t="s">
        <v>79</v>
      </c>
      <c r="H49" s="43">
        <v>1</v>
      </c>
      <c r="I49" s="21">
        <f t="shared" si="3"/>
        <v>10200</v>
      </c>
      <c r="J49" s="28"/>
    </row>
    <row r="50" s="5" customFormat="1" spans="1:10">
      <c r="A50" s="37">
        <v>15</v>
      </c>
      <c r="B50" s="38" t="s">
        <v>81</v>
      </c>
      <c r="C50" s="39">
        <v>4.1</v>
      </c>
      <c r="D50" s="44"/>
      <c r="E50" s="45"/>
      <c r="F50" s="41">
        <f t="shared" si="4"/>
        <v>4.1</v>
      </c>
      <c r="G50" s="42" t="str">
        <f>G47</f>
        <v>㎡</v>
      </c>
      <c r="H50" s="43">
        <f>12.96+6.21+3.3+20.68</f>
        <v>43.15</v>
      </c>
      <c r="I50" s="21">
        <f t="shared" si="3"/>
        <v>950.173812282735</v>
      </c>
      <c r="J50" s="28"/>
    </row>
    <row r="51" s="5" customFormat="1" spans="1:10">
      <c r="A51" s="37">
        <v>16</v>
      </c>
      <c r="B51" s="38" t="s">
        <v>82</v>
      </c>
      <c r="C51" s="39">
        <v>0.93</v>
      </c>
      <c r="D51" s="44"/>
      <c r="E51" s="45"/>
      <c r="F51" s="41">
        <f t="shared" si="4"/>
        <v>0.93</v>
      </c>
      <c r="G51" s="42" t="s">
        <v>36</v>
      </c>
      <c r="H51" s="43">
        <v>40</v>
      </c>
      <c r="I51" s="21">
        <f t="shared" si="3"/>
        <v>232.5</v>
      </c>
      <c r="J51" s="28"/>
    </row>
    <row r="52" s="5" customFormat="1" spans="1:10">
      <c r="A52" s="37">
        <v>17</v>
      </c>
      <c r="B52" s="38" t="s">
        <v>83</v>
      </c>
      <c r="C52" s="39">
        <v>0.36</v>
      </c>
      <c r="D52" s="44"/>
      <c r="E52" s="45"/>
      <c r="F52" s="41">
        <f t="shared" si="4"/>
        <v>0.36</v>
      </c>
      <c r="G52" s="42" t="s">
        <v>79</v>
      </c>
      <c r="H52" s="43">
        <v>1</v>
      </c>
      <c r="I52" s="21">
        <f t="shared" si="3"/>
        <v>3600</v>
      </c>
      <c r="J52" s="28"/>
    </row>
    <row r="53" s="5" customFormat="1" spans="1:10">
      <c r="A53" s="37">
        <v>18</v>
      </c>
      <c r="B53" s="38" t="s">
        <v>84</v>
      </c>
      <c r="C53" s="39">
        <v>2.1</v>
      </c>
      <c r="D53" s="44"/>
      <c r="E53" s="45"/>
      <c r="F53" s="41">
        <v>3.04626</v>
      </c>
      <c r="G53" s="42" t="s">
        <v>21</v>
      </c>
      <c r="H53" s="46">
        <v>1165</v>
      </c>
      <c r="I53" s="21">
        <f t="shared" si="3"/>
        <v>26.1481545064378</v>
      </c>
      <c r="J53" s="28"/>
    </row>
    <row r="54" s="5" customFormat="1" spans="1:10">
      <c r="A54" s="31">
        <v>-2</v>
      </c>
      <c r="B54" s="47" t="s">
        <v>85</v>
      </c>
      <c r="C54" s="48">
        <f>C55+C56+C57+C58+C59+C60</f>
        <v>2.5</v>
      </c>
      <c r="D54" s="48">
        <f>D55+D56+D57+D58+D59+D60</f>
        <v>44.37</v>
      </c>
      <c r="E54" s="36"/>
      <c r="F54" s="33">
        <f t="shared" ref="F54:F117" si="5">SUM(C54:E54)</f>
        <v>46.87</v>
      </c>
      <c r="G54" s="34"/>
      <c r="H54" s="35"/>
      <c r="I54" s="21"/>
      <c r="J54" s="28"/>
    </row>
    <row r="55" s="5" customFormat="1" spans="1:10">
      <c r="A55" s="37">
        <v>1</v>
      </c>
      <c r="B55" s="38" t="s">
        <v>86</v>
      </c>
      <c r="C55" s="39"/>
      <c r="D55" s="40">
        <v>3.49</v>
      </c>
      <c r="E55" s="45"/>
      <c r="F55" s="41">
        <f t="shared" si="5"/>
        <v>3.49</v>
      </c>
      <c r="G55" s="42" t="s">
        <v>21</v>
      </c>
      <c r="H55" s="43">
        <v>1165</v>
      </c>
      <c r="I55" s="21">
        <f t="shared" si="3"/>
        <v>29.9570815450644</v>
      </c>
      <c r="J55" s="28"/>
    </row>
    <row r="56" s="5" customFormat="1" spans="1:10">
      <c r="A56" s="37">
        <v>2</v>
      </c>
      <c r="B56" s="38" t="s">
        <v>87</v>
      </c>
      <c r="C56" s="39"/>
      <c r="D56" s="40">
        <v>5.02</v>
      </c>
      <c r="E56" s="45"/>
      <c r="F56" s="41">
        <f t="shared" si="5"/>
        <v>5.02</v>
      </c>
      <c r="G56" s="42" t="s">
        <v>21</v>
      </c>
      <c r="H56" s="43">
        <v>1165</v>
      </c>
      <c r="I56" s="21">
        <f t="shared" si="3"/>
        <v>43.0901287553648</v>
      </c>
      <c r="J56" s="28"/>
    </row>
    <row r="57" s="5" customFormat="1" spans="1:10">
      <c r="A57" s="37">
        <v>3</v>
      </c>
      <c r="B57" s="49" t="s">
        <v>88</v>
      </c>
      <c r="C57" s="39"/>
      <c r="D57" s="40">
        <v>14.19</v>
      </c>
      <c r="E57" s="45"/>
      <c r="F57" s="41">
        <f t="shared" si="5"/>
        <v>14.19</v>
      </c>
      <c r="G57" s="42" t="s">
        <v>21</v>
      </c>
      <c r="H57" s="43">
        <v>1165</v>
      </c>
      <c r="I57" s="21">
        <f t="shared" si="3"/>
        <v>121.802575107296</v>
      </c>
      <c r="J57" s="28"/>
    </row>
    <row r="58" s="5" customFormat="1" spans="1:10">
      <c r="A58" s="37">
        <v>4</v>
      </c>
      <c r="B58" s="49" t="s">
        <v>89</v>
      </c>
      <c r="C58" s="39"/>
      <c r="D58" s="40">
        <v>14.2</v>
      </c>
      <c r="E58" s="45"/>
      <c r="F58" s="41">
        <f t="shared" si="5"/>
        <v>14.2</v>
      </c>
      <c r="G58" s="42" t="s">
        <v>21</v>
      </c>
      <c r="H58" s="43">
        <v>1165</v>
      </c>
      <c r="I58" s="21">
        <f t="shared" si="3"/>
        <v>121.888412017167</v>
      </c>
      <c r="J58" s="28"/>
    </row>
    <row r="59" s="5" customFormat="1" spans="1:10">
      <c r="A59" s="37">
        <v>5</v>
      </c>
      <c r="B59" s="49" t="s">
        <v>90</v>
      </c>
      <c r="C59" s="40"/>
      <c r="D59" s="40">
        <v>7.47</v>
      </c>
      <c r="E59" s="45"/>
      <c r="F59" s="41">
        <f t="shared" si="5"/>
        <v>7.47</v>
      </c>
      <c r="G59" s="42" t="s">
        <v>79</v>
      </c>
      <c r="H59" s="43">
        <v>1</v>
      </c>
      <c r="I59" s="21">
        <f t="shared" si="3"/>
        <v>74700</v>
      </c>
      <c r="J59" s="28"/>
    </row>
    <row r="60" s="5" customFormat="1" spans="1:10">
      <c r="A60" s="37">
        <v>6</v>
      </c>
      <c r="B60" s="49" t="s">
        <v>91</v>
      </c>
      <c r="C60" s="40">
        <v>2.5</v>
      </c>
      <c r="D60" s="40"/>
      <c r="E60" s="45"/>
      <c r="F60" s="41">
        <f t="shared" si="5"/>
        <v>2.5</v>
      </c>
      <c r="G60" s="42" t="s">
        <v>79</v>
      </c>
      <c r="H60" s="43">
        <v>1</v>
      </c>
      <c r="I60" s="21">
        <f t="shared" ref="I60:I91" si="6">F60/H60*10000</f>
        <v>25000</v>
      </c>
      <c r="J60" s="28"/>
    </row>
    <row r="61" s="5" customFormat="1" spans="1:10">
      <c r="A61" s="31"/>
      <c r="B61" s="32" t="s">
        <v>92</v>
      </c>
      <c r="C61" s="33">
        <f>C62+C82</f>
        <v>74.8028</v>
      </c>
      <c r="D61" s="33">
        <f>D62+D82</f>
        <v>75.7</v>
      </c>
      <c r="E61" s="33"/>
      <c r="F61" s="33">
        <f t="shared" si="5"/>
        <v>150.5028</v>
      </c>
      <c r="G61" s="34"/>
      <c r="H61" s="50"/>
      <c r="I61" s="21"/>
      <c r="J61" s="51"/>
    </row>
    <row r="62" s="5" customFormat="1" spans="1:10">
      <c r="A62" s="31">
        <v>-1</v>
      </c>
      <c r="B62" s="32" t="s">
        <v>93</v>
      </c>
      <c r="C62" s="33">
        <f>SUM(C63:C81)</f>
        <v>67.8128</v>
      </c>
      <c r="D62" s="33"/>
      <c r="E62" s="33"/>
      <c r="F62" s="33">
        <f t="shared" si="5"/>
        <v>67.8128</v>
      </c>
      <c r="G62" s="34"/>
      <c r="H62" s="50"/>
      <c r="I62" s="21"/>
      <c r="J62" s="51"/>
    </row>
    <row r="63" s="5" customFormat="1" spans="1:10">
      <c r="A63" s="37">
        <v>1</v>
      </c>
      <c r="B63" s="52" t="s">
        <v>94</v>
      </c>
      <c r="C63" s="39">
        <v>0.26</v>
      </c>
      <c r="D63" s="39"/>
      <c r="E63" s="39"/>
      <c r="F63" s="41">
        <f t="shared" si="5"/>
        <v>0.26</v>
      </c>
      <c r="G63" s="42" t="s">
        <v>95</v>
      </c>
      <c r="H63" s="46">
        <f>2*6</f>
        <v>12</v>
      </c>
      <c r="I63" s="21">
        <f t="shared" si="6"/>
        <v>216.666666666667</v>
      </c>
      <c r="J63" s="53"/>
    </row>
    <row r="64" s="5" customFormat="1" spans="1:10">
      <c r="A64" s="37">
        <v>2</v>
      </c>
      <c r="B64" s="38" t="s">
        <v>96</v>
      </c>
      <c r="C64" s="39">
        <v>0.25</v>
      </c>
      <c r="D64" s="39"/>
      <c r="E64" s="39"/>
      <c r="F64" s="41">
        <f t="shared" si="5"/>
        <v>0.25</v>
      </c>
      <c r="G64" s="42" t="s">
        <v>97</v>
      </c>
      <c r="H64" s="46">
        <f>2*12</f>
        <v>24</v>
      </c>
      <c r="I64" s="21">
        <f t="shared" si="6"/>
        <v>104.166666666667</v>
      </c>
      <c r="J64" s="53"/>
    </row>
    <row r="65" s="5" customFormat="1" spans="1:10">
      <c r="A65" s="37">
        <v>3</v>
      </c>
      <c r="B65" s="38" t="s">
        <v>98</v>
      </c>
      <c r="C65" s="39">
        <v>1.24</v>
      </c>
      <c r="D65" s="40"/>
      <c r="E65" s="40"/>
      <c r="F65" s="41">
        <f t="shared" si="5"/>
        <v>1.24</v>
      </c>
      <c r="G65" s="42" t="s">
        <v>21</v>
      </c>
      <c r="H65" s="46">
        <f>2.4*12*2</f>
        <v>57.6</v>
      </c>
      <c r="I65" s="21">
        <f t="shared" si="6"/>
        <v>215.277777777778</v>
      </c>
      <c r="J65" s="53"/>
    </row>
    <row r="66" s="5" customFormat="1" spans="1:10">
      <c r="A66" s="37">
        <v>4</v>
      </c>
      <c r="B66" s="38" t="s">
        <v>99</v>
      </c>
      <c r="C66" s="39">
        <v>0.61</v>
      </c>
      <c r="D66" s="45" t="s">
        <v>19</v>
      </c>
      <c r="E66" s="45"/>
      <c r="F66" s="41">
        <f t="shared" si="5"/>
        <v>0.61</v>
      </c>
      <c r="G66" s="42" t="s">
        <v>61</v>
      </c>
      <c r="H66" s="46">
        <f>2*10</f>
        <v>20</v>
      </c>
      <c r="I66" s="21">
        <f t="shared" si="6"/>
        <v>305</v>
      </c>
      <c r="J66" s="53"/>
    </row>
    <row r="67" s="5" customFormat="1" spans="1:10">
      <c r="A67" s="37">
        <v>5</v>
      </c>
      <c r="B67" s="38" t="s">
        <v>81</v>
      </c>
      <c r="C67" s="39">
        <v>3.48</v>
      </c>
      <c r="D67" s="45"/>
      <c r="E67" s="45"/>
      <c r="F67" s="41">
        <f t="shared" si="5"/>
        <v>3.48</v>
      </c>
      <c r="G67" s="42" t="str">
        <f>G65</f>
        <v>㎡</v>
      </c>
      <c r="H67" s="46">
        <f>2.2*4+1*2.4*16</f>
        <v>47.2</v>
      </c>
      <c r="I67" s="21">
        <f t="shared" si="6"/>
        <v>737.28813559322</v>
      </c>
      <c r="J67" s="53"/>
    </row>
    <row r="68" s="5" customFormat="1" spans="1:10">
      <c r="A68" s="37">
        <v>6</v>
      </c>
      <c r="B68" s="38" t="s">
        <v>100</v>
      </c>
      <c r="C68" s="39">
        <v>2.22</v>
      </c>
      <c r="D68" s="39"/>
      <c r="E68" s="39"/>
      <c r="F68" s="41">
        <f t="shared" si="5"/>
        <v>2.22</v>
      </c>
      <c r="G68" s="42" t="s">
        <v>21</v>
      </c>
      <c r="H68" s="46">
        <f>15*3.6*2</f>
        <v>108</v>
      </c>
      <c r="I68" s="21">
        <f t="shared" si="6"/>
        <v>205.555555555556</v>
      </c>
      <c r="J68" s="53"/>
    </row>
    <row r="69" s="5" customFormat="1" spans="1:10">
      <c r="A69" s="37">
        <v>7</v>
      </c>
      <c r="B69" s="38" t="s">
        <v>101</v>
      </c>
      <c r="C69" s="39">
        <v>1.84</v>
      </c>
      <c r="D69" s="39"/>
      <c r="E69" s="40"/>
      <c r="F69" s="41">
        <f t="shared" si="5"/>
        <v>1.84</v>
      </c>
      <c r="G69" s="42" t="s">
        <v>61</v>
      </c>
      <c r="H69" s="46">
        <f>2*7</f>
        <v>14</v>
      </c>
      <c r="I69" s="21">
        <f t="shared" si="6"/>
        <v>1314.28571428571</v>
      </c>
      <c r="J69" s="53"/>
    </row>
    <row r="70" s="5" customFormat="1" spans="1:10">
      <c r="A70" s="37">
        <v>8</v>
      </c>
      <c r="B70" s="38" t="s">
        <v>68</v>
      </c>
      <c r="C70" s="39">
        <v>5.64</v>
      </c>
      <c r="D70" s="39"/>
      <c r="E70" s="40"/>
      <c r="F70" s="41">
        <f t="shared" si="5"/>
        <v>5.64</v>
      </c>
      <c r="G70" s="42" t="s">
        <v>21</v>
      </c>
      <c r="H70" s="46">
        <f>2*415</f>
        <v>830</v>
      </c>
      <c r="I70" s="21">
        <f t="shared" si="6"/>
        <v>67.9518072289157</v>
      </c>
      <c r="J70" s="53"/>
    </row>
    <row r="71" s="5" customFormat="1" spans="1:10">
      <c r="A71" s="37">
        <v>9</v>
      </c>
      <c r="B71" s="38" t="s">
        <v>69</v>
      </c>
      <c r="C71" s="39">
        <v>3.39</v>
      </c>
      <c r="D71" s="39"/>
      <c r="E71" s="40"/>
      <c r="F71" s="41">
        <f t="shared" si="5"/>
        <v>3.39</v>
      </c>
      <c r="G71" s="42" t="s">
        <v>21</v>
      </c>
      <c r="H71" s="46">
        <f>2*65</f>
        <v>130</v>
      </c>
      <c r="I71" s="21">
        <f t="shared" si="6"/>
        <v>260.769230769231</v>
      </c>
      <c r="J71" s="53"/>
    </row>
    <row r="72" s="5" customFormat="1" spans="1:10">
      <c r="A72" s="37">
        <v>10</v>
      </c>
      <c r="B72" s="38" t="s">
        <v>102</v>
      </c>
      <c r="C72" s="39">
        <v>10.31</v>
      </c>
      <c r="D72" s="39"/>
      <c r="E72" s="40"/>
      <c r="F72" s="41">
        <f t="shared" si="5"/>
        <v>10.31</v>
      </c>
      <c r="G72" s="42" t="s">
        <v>21</v>
      </c>
      <c r="H72" s="46">
        <f>(H70-H71)</f>
        <v>700</v>
      </c>
      <c r="I72" s="21">
        <f t="shared" si="6"/>
        <v>147.285714285714</v>
      </c>
      <c r="J72" s="53"/>
    </row>
    <row r="73" s="5" customFormat="1" spans="1:10">
      <c r="A73" s="37">
        <v>11</v>
      </c>
      <c r="B73" s="38" t="s">
        <v>103</v>
      </c>
      <c r="C73" s="39">
        <v>3.43</v>
      </c>
      <c r="D73" s="39"/>
      <c r="E73" s="40"/>
      <c r="F73" s="41">
        <f t="shared" si="5"/>
        <v>3.43</v>
      </c>
      <c r="G73" s="42" t="s">
        <v>21</v>
      </c>
      <c r="H73" s="46">
        <f>2*400*3.6</f>
        <v>2880</v>
      </c>
      <c r="I73" s="21">
        <f t="shared" si="6"/>
        <v>11.9097222222222</v>
      </c>
      <c r="J73" s="53"/>
    </row>
    <row r="74" s="5" customFormat="1" spans="1:10">
      <c r="A74" s="37">
        <v>12</v>
      </c>
      <c r="B74" s="38" t="s">
        <v>104</v>
      </c>
      <c r="C74" s="39">
        <v>9.92</v>
      </c>
      <c r="D74" s="39"/>
      <c r="E74" s="40"/>
      <c r="F74" s="41">
        <f t="shared" si="5"/>
        <v>9.92</v>
      </c>
      <c r="G74" s="42" t="s">
        <v>21</v>
      </c>
      <c r="H74" s="46">
        <f>2*325*3.6-360</f>
        <v>1980</v>
      </c>
      <c r="I74" s="21">
        <f t="shared" si="6"/>
        <v>50.1010101010101</v>
      </c>
      <c r="J74" s="53"/>
    </row>
    <row r="75" s="5" customFormat="1" spans="1:10">
      <c r="A75" s="37">
        <v>13</v>
      </c>
      <c r="B75" s="38" t="s">
        <v>105</v>
      </c>
      <c r="C75" s="39">
        <v>5.01</v>
      </c>
      <c r="D75" s="39"/>
      <c r="E75" s="40"/>
      <c r="F75" s="41">
        <f t="shared" si="5"/>
        <v>5.01</v>
      </c>
      <c r="G75" s="42" t="s">
        <v>21</v>
      </c>
      <c r="H75" s="46">
        <f>120*1.5*2</f>
        <v>360</v>
      </c>
      <c r="I75" s="21">
        <f t="shared" si="6"/>
        <v>139.166666666667</v>
      </c>
      <c r="J75" s="53"/>
    </row>
    <row r="76" s="5" customFormat="1" spans="1:10">
      <c r="A76" s="37">
        <v>14</v>
      </c>
      <c r="B76" s="38" t="s">
        <v>106</v>
      </c>
      <c r="C76" s="39">
        <v>11.01</v>
      </c>
      <c r="D76" s="39"/>
      <c r="E76" s="40"/>
      <c r="F76" s="41">
        <f t="shared" si="5"/>
        <v>11.01</v>
      </c>
      <c r="G76" s="42" t="s">
        <v>21</v>
      </c>
      <c r="H76" s="46">
        <f>2*78*3.6</f>
        <v>561.6</v>
      </c>
      <c r="I76" s="21">
        <f t="shared" si="6"/>
        <v>196.047008547009</v>
      </c>
      <c r="J76" s="53"/>
    </row>
    <row r="77" s="5" customFormat="1" spans="1:10">
      <c r="A77" s="37">
        <v>15</v>
      </c>
      <c r="B77" s="38" t="s">
        <v>107</v>
      </c>
      <c r="C77" s="39">
        <v>0.66</v>
      </c>
      <c r="D77" s="44"/>
      <c r="E77" s="45"/>
      <c r="F77" s="41">
        <f t="shared" si="5"/>
        <v>0.66</v>
      </c>
      <c r="G77" s="42" t="s">
        <v>21</v>
      </c>
      <c r="H77" s="46">
        <v>700</v>
      </c>
      <c r="I77" s="21">
        <f t="shared" si="6"/>
        <v>9.42857142857143</v>
      </c>
      <c r="J77" s="53"/>
    </row>
    <row r="78" s="5" customFormat="1" spans="1:10">
      <c r="A78" s="37">
        <v>16</v>
      </c>
      <c r="B78" s="38" t="s">
        <v>108</v>
      </c>
      <c r="C78" s="39">
        <v>2.4</v>
      </c>
      <c r="D78" s="44"/>
      <c r="E78" s="45"/>
      <c r="F78" s="41">
        <f t="shared" si="5"/>
        <v>2.4</v>
      </c>
      <c r="G78" s="42" t="s">
        <v>21</v>
      </c>
      <c r="H78" s="46">
        <v>700</v>
      </c>
      <c r="I78" s="21">
        <f t="shared" si="6"/>
        <v>34.2857142857143</v>
      </c>
      <c r="J78" s="53"/>
    </row>
    <row r="79" s="5" customFormat="1" spans="1:10">
      <c r="A79" s="37">
        <v>17</v>
      </c>
      <c r="B79" s="38" t="s">
        <v>109</v>
      </c>
      <c r="C79" s="39">
        <v>2.17</v>
      </c>
      <c r="D79" s="44"/>
      <c r="E79" s="45"/>
      <c r="F79" s="41">
        <f t="shared" si="5"/>
        <v>2.17</v>
      </c>
      <c r="G79" s="42" t="s">
        <v>21</v>
      </c>
      <c r="H79" s="46">
        <v>130</v>
      </c>
      <c r="I79" s="21">
        <f t="shared" si="6"/>
        <v>166.923076923077</v>
      </c>
      <c r="J79" s="53"/>
    </row>
    <row r="80" s="5" customFormat="1" spans="1:10">
      <c r="A80" s="37">
        <v>18</v>
      </c>
      <c r="B80" s="38" t="s">
        <v>110</v>
      </c>
      <c r="C80" s="39">
        <v>1.2028</v>
      </c>
      <c r="D80" s="44"/>
      <c r="E80" s="45"/>
      <c r="F80" s="41">
        <f t="shared" si="5"/>
        <v>1.2028</v>
      </c>
      <c r="G80" s="54" t="s">
        <v>36</v>
      </c>
      <c r="H80" s="46">
        <f>2*220</f>
        <v>440</v>
      </c>
      <c r="I80" s="21">
        <f t="shared" si="6"/>
        <v>27.3363636363636</v>
      </c>
      <c r="J80" s="53"/>
    </row>
    <row r="81" s="5" customFormat="1" spans="1:10">
      <c r="A81" s="37">
        <v>19</v>
      </c>
      <c r="B81" s="38" t="s">
        <v>84</v>
      </c>
      <c r="C81" s="39">
        <v>2.77</v>
      </c>
      <c r="D81" s="44"/>
      <c r="E81" s="45"/>
      <c r="F81" s="41">
        <f t="shared" si="5"/>
        <v>2.77</v>
      </c>
      <c r="G81" s="42" t="s">
        <v>21</v>
      </c>
      <c r="H81" s="46">
        <v>1539.15</v>
      </c>
      <c r="I81" s="21">
        <f t="shared" si="6"/>
        <v>17.996946366501</v>
      </c>
      <c r="J81" s="53"/>
    </row>
    <row r="82" s="6" customFormat="1" spans="1:10">
      <c r="A82" s="31">
        <v>-2</v>
      </c>
      <c r="B82" s="47" t="s">
        <v>111</v>
      </c>
      <c r="C82" s="48">
        <f>SUM(C83:C88)</f>
        <v>6.99</v>
      </c>
      <c r="D82" s="48">
        <f>SUM(D83:D88)</f>
        <v>75.7</v>
      </c>
      <c r="E82" s="36"/>
      <c r="F82" s="33">
        <f t="shared" si="5"/>
        <v>82.69</v>
      </c>
      <c r="G82" s="55"/>
      <c r="H82" s="50"/>
      <c r="I82" s="21"/>
      <c r="J82" s="56"/>
    </row>
    <row r="83" s="5" customFormat="1" ht="28.8" spans="1:10">
      <c r="A83" s="37">
        <v>1</v>
      </c>
      <c r="B83" s="38" t="s">
        <v>112</v>
      </c>
      <c r="C83" s="39"/>
      <c r="D83" s="41">
        <v>4.62</v>
      </c>
      <c r="E83" s="45"/>
      <c r="F83" s="41">
        <f t="shared" si="5"/>
        <v>4.62</v>
      </c>
      <c r="G83" s="42" t="s">
        <v>21</v>
      </c>
      <c r="H83" s="46">
        <v>1539.15</v>
      </c>
      <c r="I83" s="21">
        <f t="shared" si="6"/>
        <v>30.0165675860053</v>
      </c>
      <c r="J83" s="53"/>
    </row>
    <row r="84" s="5" customFormat="1" spans="1:10">
      <c r="A84" s="37">
        <v>2</v>
      </c>
      <c r="B84" s="38" t="s">
        <v>87</v>
      </c>
      <c r="C84" s="39"/>
      <c r="D84" s="41">
        <v>8.64</v>
      </c>
      <c r="E84" s="45"/>
      <c r="F84" s="41">
        <f t="shared" si="5"/>
        <v>8.64</v>
      </c>
      <c r="G84" s="42" t="s">
        <v>21</v>
      </c>
      <c r="H84" s="46">
        <f>H83</f>
        <v>1539.15</v>
      </c>
      <c r="I84" s="21">
        <f t="shared" si="6"/>
        <v>56.1348796413605</v>
      </c>
      <c r="J84" s="53"/>
    </row>
    <row r="85" s="5" customFormat="1" spans="1:10">
      <c r="A85" s="37">
        <v>3</v>
      </c>
      <c r="B85" s="49" t="s">
        <v>88</v>
      </c>
      <c r="C85" s="39"/>
      <c r="D85" s="41">
        <v>5.61</v>
      </c>
      <c r="E85" s="45"/>
      <c r="F85" s="41">
        <f t="shared" si="5"/>
        <v>5.61</v>
      </c>
      <c r="G85" s="42" t="s">
        <v>21</v>
      </c>
      <c r="H85" s="46">
        <f>H83</f>
        <v>1539.15</v>
      </c>
      <c r="I85" s="21">
        <f t="shared" si="6"/>
        <v>36.4486892115778</v>
      </c>
      <c r="J85" s="53"/>
    </row>
    <row r="86" s="5" customFormat="1" spans="1:10">
      <c r="A86" s="37">
        <v>4</v>
      </c>
      <c r="B86" s="49" t="s">
        <v>89</v>
      </c>
      <c r="C86" s="39"/>
      <c r="D86" s="41">
        <v>40.26</v>
      </c>
      <c r="E86" s="45"/>
      <c r="F86" s="41">
        <f t="shared" si="5"/>
        <v>40.26</v>
      </c>
      <c r="G86" s="42" t="s">
        <v>21</v>
      </c>
      <c r="H86" s="46">
        <f>H83</f>
        <v>1539.15</v>
      </c>
      <c r="I86" s="21">
        <f t="shared" si="6"/>
        <v>261.572946106617</v>
      </c>
      <c r="J86" s="53"/>
    </row>
    <row r="87" s="5" customFormat="1" spans="1:10">
      <c r="A87" s="37">
        <v>5</v>
      </c>
      <c r="B87" s="49" t="s">
        <v>90</v>
      </c>
      <c r="C87" s="39"/>
      <c r="D87" s="41">
        <v>16.57</v>
      </c>
      <c r="E87" s="45"/>
      <c r="F87" s="41">
        <f t="shared" si="5"/>
        <v>16.57</v>
      </c>
      <c r="G87" s="42" t="s">
        <v>79</v>
      </c>
      <c r="H87" s="46">
        <v>1</v>
      </c>
      <c r="I87" s="21">
        <f t="shared" si="6"/>
        <v>165700</v>
      </c>
      <c r="J87" s="53"/>
    </row>
    <row r="88" s="5" customFormat="1" spans="1:10">
      <c r="A88" s="37">
        <v>6</v>
      </c>
      <c r="B88" s="57" t="s">
        <v>91</v>
      </c>
      <c r="C88" s="39">
        <v>6.99</v>
      </c>
      <c r="D88" s="41"/>
      <c r="E88" s="45"/>
      <c r="F88" s="41">
        <f t="shared" si="5"/>
        <v>6.99</v>
      </c>
      <c r="G88" s="42" t="s">
        <v>79</v>
      </c>
      <c r="H88" s="46">
        <v>1</v>
      </c>
      <c r="I88" s="21">
        <f t="shared" si="6"/>
        <v>69900</v>
      </c>
      <c r="J88" s="53"/>
    </row>
    <row r="89" s="5" customFormat="1" spans="1:10">
      <c r="A89" s="31"/>
      <c r="B89" s="32" t="s">
        <v>113</v>
      </c>
      <c r="C89" s="33">
        <f>C90+C110</f>
        <v>74.8</v>
      </c>
      <c r="D89" s="33">
        <f>D90+D110</f>
        <v>75.7</v>
      </c>
      <c r="E89" s="33"/>
      <c r="F89" s="33">
        <f t="shared" si="5"/>
        <v>150.5</v>
      </c>
      <c r="G89" s="34"/>
      <c r="H89" s="50"/>
      <c r="I89" s="21"/>
      <c r="J89" s="51"/>
    </row>
    <row r="90" s="5" customFormat="1" spans="1:10">
      <c r="A90" s="31">
        <v>-1</v>
      </c>
      <c r="B90" s="32" t="s">
        <v>93</v>
      </c>
      <c r="C90" s="33">
        <f>SUM(C91:C109)</f>
        <v>67.81</v>
      </c>
      <c r="D90" s="33"/>
      <c r="E90" s="33"/>
      <c r="F90" s="33">
        <f t="shared" si="5"/>
        <v>67.81</v>
      </c>
      <c r="G90" s="34"/>
      <c r="H90" s="50"/>
      <c r="I90" s="21"/>
      <c r="J90" s="51"/>
    </row>
    <row r="91" s="5" customFormat="1" spans="1:10">
      <c r="A91" s="37">
        <v>1</v>
      </c>
      <c r="B91" s="52" t="s">
        <v>94</v>
      </c>
      <c r="C91" s="39">
        <v>0.26</v>
      </c>
      <c r="D91" s="39"/>
      <c r="E91" s="39"/>
      <c r="F91" s="41">
        <f t="shared" si="5"/>
        <v>0.26</v>
      </c>
      <c r="G91" s="42" t="s">
        <v>95</v>
      </c>
      <c r="H91" s="46">
        <f>2*6</f>
        <v>12</v>
      </c>
      <c r="I91" s="21">
        <f t="shared" si="6"/>
        <v>216.666666666667</v>
      </c>
      <c r="J91" s="53"/>
    </row>
    <row r="92" s="5" customFormat="1" spans="1:10">
      <c r="A92" s="37">
        <v>2</v>
      </c>
      <c r="B92" s="38" t="s">
        <v>96</v>
      </c>
      <c r="C92" s="39">
        <v>0.25</v>
      </c>
      <c r="D92" s="39"/>
      <c r="E92" s="39"/>
      <c r="F92" s="41">
        <f t="shared" si="5"/>
        <v>0.25</v>
      </c>
      <c r="G92" s="42" t="s">
        <v>97</v>
      </c>
      <c r="H92" s="46">
        <f>2*12</f>
        <v>24</v>
      </c>
      <c r="I92" s="21">
        <f t="shared" ref="I92:I117" si="7">F92/H92*10000</f>
        <v>104.166666666667</v>
      </c>
      <c r="J92" s="53"/>
    </row>
    <row r="93" s="5" customFormat="1" spans="1:10">
      <c r="A93" s="37">
        <v>3</v>
      </c>
      <c r="B93" s="38" t="s">
        <v>98</v>
      </c>
      <c r="C93" s="39">
        <v>1.24</v>
      </c>
      <c r="D93" s="40"/>
      <c r="E93" s="40"/>
      <c r="F93" s="41">
        <f t="shared" si="5"/>
        <v>1.24</v>
      </c>
      <c r="G93" s="42" t="s">
        <v>21</v>
      </c>
      <c r="H93" s="46">
        <f>2.4*12*2</f>
        <v>57.6</v>
      </c>
      <c r="I93" s="21">
        <f t="shared" si="7"/>
        <v>215.277777777778</v>
      </c>
      <c r="J93" s="53"/>
    </row>
    <row r="94" s="5" customFormat="1" spans="1:10">
      <c r="A94" s="37">
        <v>4</v>
      </c>
      <c r="B94" s="38" t="s">
        <v>99</v>
      </c>
      <c r="C94" s="39">
        <v>0.61</v>
      </c>
      <c r="D94" s="45" t="s">
        <v>19</v>
      </c>
      <c r="E94" s="45"/>
      <c r="F94" s="41">
        <f t="shared" si="5"/>
        <v>0.61</v>
      </c>
      <c r="G94" s="42" t="s">
        <v>61</v>
      </c>
      <c r="H94" s="46">
        <f>2*10</f>
        <v>20</v>
      </c>
      <c r="I94" s="21">
        <f t="shared" si="7"/>
        <v>305</v>
      </c>
      <c r="J94" s="53"/>
    </row>
    <row r="95" s="5" customFormat="1" spans="1:10">
      <c r="A95" s="37">
        <v>5</v>
      </c>
      <c r="B95" s="38" t="s">
        <v>81</v>
      </c>
      <c r="C95" s="39">
        <v>3.48</v>
      </c>
      <c r="D95" s="45"/>
      <c r="E95" s="45"/>
      <c r="F95" s="41">
        <f t="shared" si="5"/>
        <v>3.48</v>
      </c>
      <c r="G95" s="42" t="str">
        <f>G93</f>
        <v>㎡</v>
      </c>
      <c r="H95" s="46">
        <f>2.2*4+1*2.4*16</f>
        <v>47.2</v>
      </c>
      <c r="I95" s="21">
        <f t="shared" si="7"/>
        <v>737.28813559322</v>
      </c>
      <c r="J95" s="53"/>
    </row>
    <row r="96" s="5" customFormat="1" spans="1:10">
      <c r="A96" s="37">
        <v>6</v>
      </c>
      <c r="B96" s="38" t="s">
        <v>100</v>
      </c>
      <c r="C96" s="39">
        <v>2.22</v>
      </c>
      <c r="D96" s="39"/>
      <c r="E96" s="39"/>
      <c r="F96" s="41">
        <f t="shared" si="5"/>
        <v>2.22</v>
      </c>
      <c r="G96" s="42" t="s">
        <v>21</v>
      </c>
      <c r="H96" s="46">
        <f>15*3.6*2</f>
        <v>108</v>
      </c>
      <c r="I96" s="21">
        <f t="shared" si="7"/>
        <v>205.555555555556</v>
      </c>
      <c r="J96" s="53"/>
    </row>
    <row r="97" s="5" customFormat="1" spans="1:10">
      <c r="A97" s="37">
        <v>7</v>
      </c>
      <c r="B97" s="38" t="s">
        <v>101</v>
      </c>
      <c r="C97" s="39">
        <v>1.84</v>
      </c>
      <c r="D97" s="39"/>
      <c r="E97" s="40"/>
      <c r="F97" s="41">
        <f t="shared" si="5"/>
        <v>1.84</v>
      </c>
      <c r="G97" s="42" t="s">
        <v>61</v>
      </c>
      <c r="H97" s="46">
        <f>2*7</f>
        <v>14</v>
      </c>
      <c r="I97" s="21">
        <f t="shared" si="7"/>
        <v>1314.28571428571</v>
      </c>
      <c r="J97" s="53"/>
    </row>
    <row r="98" s="5" customFormat="1" spans="1:10">
      <c r="A98" s="37">
        <v>8</v>
      </c>
      <c r="B98" s="38" t="s">
        <v>68</v>
      </c>
      <c r="C98" s="39">
        <v>5.64</v>
      </c>
      <c r="D98" s="39"/>
      <c r="E98" s="40"/>
      <c r="F98" s="41">
        <f t="shared" si="5"/>
        <v>5.64</v>
      </c>
      <c r="G98" s="42" t="s">
        <v>21</v>
      </c>
      <c r="H98" s="46">
        <f>2*415</f>
        <v>830</v>
      </c>
      <c r="I98" s="21">
        <f t="shared" si="7"/>
        <v>67.9518072289157</v>
      </c>
      <c r="J98" s="53"/>
    </row>
    <row r="99" s="5" customFormat="1" spans="1:10">
      <c r="A99" s="37">
        <v>9</v>
      </c>
      <c r="B99" s="38" t="s">
        <v>69</v>
      </c>
      <c r="C99" s="39">
        <v>3.39</v>
      </c>
      <c r="D99" s="39"/>
      <c r="E99" s="40"/>
      <c r="F99" s="41">
        <f t="shared" si="5"/>
        <v>3.39</v>
      </c>
      <c r="G99" s="42" t="s">
        <v>21</v>
      </c>
      <c r="H99" s="46">
        <f>2*65</f>
        <v>130</v>
      </c>
      <c r="I99" s="21">
        <f t="shared" si="7"/>
        <v>260.769230769231</v>
      </c>
      <c r="J99" s="53"/>
    </row>
    <row r="100" s="5" customFormat="1" spans="1:10">
      <c r="A100" s="37">
        <v>10</v>
      </c>
      <c r="B100" s="38" t="s">
        <v>102</v>
      </c>
      <c r="C100" s="39">
        <v>10.31</v>
      </c>
      <c r="D100" s="39"/>
      <c r="E100" s="40"/>
      <c r="F100" s="41">
        <f t="shared" si="5"/>
        <v>10.31</v>
      </c>
      <c r="G100" s="42" t="s">
        <v>21</v>
      </c>
      <c r="H100" s="46">
        <f>(H98-H99)</f>
        <v>700</v>
      </c>
      <c r="I100" s="21">
        <f t="shared" si="7"/>
        <v>147.285714285714</v>
      </c>
      <c r="J100" s="53"/>
    </row>
    <row r="101" s="5" customFormat="1" spans="1:10">
      <c r="A101" s="37">
        <v>11</v>
      </c>
      <c r="B101" s="38" t="s">
        <v>103</v>
      </c>
      <c r="C101" s="39">
        <v>3.43</v>
      </c>
      <c r="D101" s="39"/>
      <c r="E101" s="40"/>
      <c r="F101" s="41">
        <f t="shared" si="5"/>
        <v>3.43</v>
      </c>
      <c r="G101" s="42" t="s">
        <v>21</v>
      </c>
      <c r="H101" s="46">
        <f>2*400*3.6</f>
        <v>2880</v>
      </c>
      <c r="I101" s="21">
        <f t="shared" si="7"/>
        <v>11.9097222222222</v>
      </c>
      <c r="J101" s="53"/>
    </row>
    <row r="102" s="5" customFormat="1" spans="1:10">
      <c r="A102" s="37">
        <v>12</v>
      </c>
      <c r="B102" s="38" t="s">
        <v>104</v>
      </c>
      <c r="C102" s="39">
        <v>9.92</v>
      </c>
      <c r="D102" s="39"/>
      <c r="E102" s="40"/>
      <c r="F102" s="41">
        <f t="shared" si="5"/>
        <v>9.92</v>
      </c>
      <c r="G102" s="42" t="s">
        <v>21</v>
      </c>
      <c r="H102" s="46">
        <f>2*325*3.6-360</f>
        <v>1980</v>
      </c>
      <c r="I102" s="21">
        <f t="shared" si="7"/>
        <v>50.1010101010101</v>
      </c>
      <c r="J102" s="53"/>
    </row>
    <row r="103" s="5" customFormat="1" spans="1:10">
      <c r="A103" s="37">
        <v>13</v>
      </c>
      <c r="B103" s="38" t="s">
        <v>105</v>
      </c>
      <c r="C103" s="39">
        <v>5.01</v>
      </c>
      <c r="D103" s="39"/>
      <c r="E103" s="40"/>
      <c r="F103" s="41">
        <f t="shared" si="5"/>
        <v>5.01</v>
      </c>
      <c r="G103" s="42" t="s">
        <v>21</v>
      </c>
      <c r="H103" s="46">
        <f>120*1.5*2</f>
        <v>360</v>
      </c>
      <c r="I103" s="21">
        <f t="shared" si="7"/>
        <v>139.166666666667</v>
      </c>
      <c r="J103" s="53"/>
    </row>
    <row r="104" s="5" customFormat="1" spans="1:10">
      <c r="A104" s="37">
        <v>14</v>
      </c>
      <c r="B104" s="38" t="s">
        <v>106</v>
      </c>
      <c r="C104" s="39">
        <v>11.01</v>
      </c>
      <c r="D104" s="39"/>
      <c r="E104" s="40"/>
      <c r="F104" s="41">
        <f t="shared" si="5"/>
        <v>11.01</v>
      </c>
      <c r="G104" s="42" t="s">
        <v>21</v>
      </c>
      <c r="H104" s="46">
        <f>2*78*3.6</f>
        <v>561.6</v>
      </c>
      <c r="I104" s="21">
        <f t="shared" si="7"/>
        <v>196.047008547009</v>
      </c>
      <c r="J104" s="53"/>
    </row>
    <row r="105" s="5" customFormat="1" spans="1:10">
      <c r="A105" s="37">
        <v>15</v>
      </c>
      <c r="B105" s="38" t="s">
        <v>107</v>
      </c>
      <c r="C105" s="39">
        <v>0.66</v>
      </c>
      <c r="D105" s="44"/>
      <c r="E105" s="45"/>
      <c r="F105" s="41">
        <f t="shared" si="5"/>
        <v>0.66</v>
      </c>
      <c r="G105" s="42" t="s">
        <v>21</v>
      </c>
      <c r="H105" s="46">
        <v>700</v>
      </c>
      <c r="I105" s="21">
        <f t="shared" si="7"/>
        <v>9.42857142857143</v>
      </c>
      <c r="J105" s="53"/>
    </row>
    <row r="106" s="5" customFormat="1" spans="1:10">
      <c r="A106" s="37">
        <v>16</v>
      </c>
      <c r="B106" s="38" t="s">
        <v>108</v>
      </c>
      <c r="C106" s="39">
        <v>2.4</v>
      </c>
      <c r="D106" s="44"/>
      <c r="E106" s="45"/>
      <c r="F106" s="41">
        <f t="shared" si="5"/>
        <v>2.4</v>
      </c>
      <c r="G106" s="42" t="s">
        <v>21</v>
      </c>
      <c r="H106" s="46">
        <v>700</v>
      </c>
      <c r="I106" s="21">
        <f t="shared" si="7"/>
        <v>34.2857142857143</v>
      </c>
      <c r="J106" s="53"/>
    </row>
    <row r="107" s="5" customFormat="1" spans="1:10">
      <c r="A107" s="37">
        <v>17</v>
      </c>
      <c r="B107" s="38" t="s">
        <v>109</v>
      </c>
      <c r="C107" s="39">
        <v>2.17</v>
      </c>
      <c r="D107" s="44"/>
      <c r="E107" s="45"/>
      <c r="F107" s="41">
        <f t="shared" si="5"/>
        <v>2.17</v>
      </c>
      <c r="G107" s="42" t="s">
        <v>21</v>
      </c>
      <c r="H107" s="46">
        <v>130</v>
      </c>
      <c r="I107" s="21">
        <f t="shared" si="7"/>
        <v>166.923076923077</v>
      </c>
      <c r="J107" s="53"/>
    </row>
    <row r="108" s="5" customFormat="1" spans="1:10">
      <c r="A108" s="37">
        <v>18</v>
      </c>
      <c r="B108" s="38" t="s">
        <v>110</v>
      </c>
      <c r="C108" s="39">
        <v>1.2</v>
      </c>
      <c r="D108" s="44"/>
      <c r="E108" s="45"/>
      <c r="F108" s="41">
        <f t="shared" si="5"/>
        <v>1.2</v>
      </c>
      <c r="G108" s="54" t="s">
        <v>36</v>
      </c>
      <c r="H108" s="46">
        <f>2*220</f>
        <v>440</v>
      </c>
      <c r="I108" s="21">
        <f t="shared" si="7"/>
        <v>27.2727272727273</v>
      </c>
      <c r="J108" s="53"/>
    </row>
    <row r="109" s="5" customFormat="1" spans="1:10">
      <c r="A109" s="37">
        <v>19</v>
      </c>
      <c r="B109" s="38" t="s">
        <v>84</v>
      </c>
      <c r="C109" s="39">
        <v>2.77</v>
      </c>
      <c r="D109" s="44"/>
      <c r="E109" s="45"/>
      <c r="F109" s="41">
        <f t="shared" si="5"/>
        <v>2.77</v>
      </c>
      <c r="G109" s="42" t="s">
        <v>21</v>
      </c>
      <c r="H109" s="46">
        <v>1539.15</v>
      </c>
      <c r="I109" s="21">
        <f t="shared" si="7"/>
        <v>17.996946366501</v>
      </c>
      <c r="J109" s="53"/>
    </row>
    <row r="110" s="6" customFormat="1" spans="1:10">
      <c r="A110" s="31">
        <v>-2</v>
      </c>
      <c r="B110" s="47" t="s">
        <v>111</v>
      </c>
      <c r="C110" s="48">
        <f>SUM(C111:C116)</f>
        <v>6.99</v>
      </c>
      <c r="D110" s="48">
        <f>SUM(D111:D116)</f>
        <v>75.7</v>
      </c>
      <c r="E110" s="36"/>
      <c r="F110" s="33">
        <f t="shared" si="5"/>
        <v>82.69</v>
      </c>
      <c r="G110" s="55"/>
      <c r="H110" s="50"/>
      <c r="I110" s="21"/>
      <c r="J110" s="56"/>
    </row>
    <row r="111" s="5" customFormat="1" ht="28.8" spans="1:10">
      <c r="A111" s="37">
        <v>1</v>
      </c>
      <c r="B111" s="38" t="s">
        <v>112</v>
      </c>
      <c r="C111" s="39"/>
      <c r="D111" s="41">
        <v>4.62</v>
      </c>
      <c r="E111" s="45"/>
      <c r="F111" s="41">
        <f t="shared" si="5"/>
        <v>4.62</v>
      </c>
      <c r="G111" s="42" t="s">
        <v>21</v>
      </c>
      <c r="H111" s="46">
        <v>1539.15</v>
      </c>
      <c r="I111" s="21">
        <f t="shared" si="7"/>
        <v>30.0165675860053</v>
      </c>
      <c r="J111" s="53"/>
    </row>
    <row r="112" s="5" customFormat="1" spans="1:10">
      <c r="A112" s="37">
        <v>2</v>
      </c>
      <c r="B112" s="38" t="s">
        <v>87</v>
      </c>
      <c r="C112" s="39"/>
      <c r="D112" s="41">
        <v>8.64</v>
      </c>
      <c r="E112" s="45"/>
      <c r="F112" s="41">
        <f t="shared" si="5"/>
        <v>8.64</v>
      </c>
      <c r="G112" s="42" t="s">
        <v>21</v>
      </c>
      <c r="H112" s="46">
        <f>H111</f>
        <v>1539.15</v>
      </c>
      <c r="I112" s="21">
        <f t="shared" si="7"/>
        <v>56.1348796413605</v>
      </c>
      <c r="J112" s="53"/>
    </row>
    <row r="113" s="5" customFormat="1" spans="1:10">
      <c r="A113" s="37">
        <v>3</v>
      </c>
      <c r="B113" s="49" t="s">
        <v>88</v>
      </c>
      <c r="C113" s="39"/>
      <c r="D113" s="41">
        <v>5.61</v>
      </c>
      <c r="E113" s="45"/>
      <c r="F113" s="41">
        <f t="shared" si="5"/>
        <v>5.61</v>
      </c>
      <c r="G113" s="42" t="s">
        <v>21</v>
      </c>
      <c r="H113" s="46">
        <f>H111</f>
        <v>1539.15</v>
      </c>
      <c r="I113" s="21">
        <f t="shared" si="7"/>
        <v>36.4486892115778</v>
      </c>
      <c r="J113" s="53"/>
    </row>
    <row r="114" s="5" customFormat="1" spans="1:10">
      <c r="A114" s="37">
        <v>4</v>
      </c>
      <c r="B114" s="49" t="s">
        <v>89</v>
      </c>
      <c r="C114" s="39"/>
      <c r="D114" s="41">
        <v>40.26</v>
      </c>
      <c r="E114" s="45"/>
      <c r="F114" s="41">
        <f t="shared" si="5"/>
        <v>40.26</v>
      </c>
      <c r="G114" s="42" t="s">
        <v>21</v>
      </c>
      <c r="H114" s="46">
        <f>H111</f>
        <v>1539.15</v>
      </c>
      <c r="I114" s="21">
        <f t="shared" si="7"/>
        <v>261.572946106617</v>
      </c>
      <c r="J114" s="53"/>
    </row>
    <row r="115" s="5" customFormat="1" spans="1:10">
      <c r="A115" s="37">
        <v>5</v>
      </c>
      <c r="B115" s="49" t="s">
        <v>90</v>
      </c>
      <c r="C115" s="39"/>
      <c r="D115" s="41">
        <v>16.57</v>
      </c>
      <c r="E115" s="45"/>
      <c r="F115" s="41">
        <f t="shared" si="5"/>
        <v>16.57</v>
      </c>
      <c r="G115" s="42" t="s">
        <v>79</v>
      </c>
      <c r="H115" s="46">
        <v>1</v>
      </c>
      <c r="I115" s="21">
        <f t="shared" si="7"/>
        <v>165700</v>
      </c>
      <c r="J115" s="53"/>
    </row>
    <row r="116" s="5" customFormat="1" spans="1:10">
      <c r="A116" s="37">
        <v>6</v>
      </c>
      <c r="B116" s="57" t="s">
        <v>91</v>
      </c>
      <c r="C116" s="39">
        <v>6.99</v>
      </c>
      <c r="D116" s="41"/>
      <c r="E116" s="45"/>
      <c r="F116" s="41">
        <f t="shared" si="5"/>
        <v>6.99</v>
      </c>
      <c r="G116" s="42" t="s">
        <v>79</v>
      </c>
      <c r="H116" s="46">
        <v>1</v>
      </c>
      <c r="I116" s="21">
        <f t="shared" si="7"/>
        <v>69900</v>
      </c>
      <c r="J116" s="53"/>
    </row>
    <row r="117" s="5" customFormat="1" spans="1:10">
      <c r="A117" s="37"/>
      <c r="B117" s="58" t="s">
        <v>114</v>
      </c>
      <c r="C117" s="48">
        <v>1</v>
      </c>
      <c r="D117" s="41"/>
      <c r="E117" s="45"/>
      <c r="F117" s="33">
        <f t="shared" si="5"/>
        <v>1</v>
      </c>
      <c r="G117" s="34" t="s">
        <v>79</v>
      </c>
      <c r="H117" s="50">
        <v>1</v>
      </c>
      <c r="I117" s="18">
        <f t="shared" si="7"/>
        <v>10000</v>
      </c>
      <c r="J117" s="53"/>
    </row>
    <row r="118" spans="1:10">
      <c r="A118" s="16" t="s">
        <v>115</v>
      </c>
      <c r="B118" s="17" t="s">
        <v>9</v>
      </c>
      <c r="C118" s="18"/>
      <c r="D118" s="18"/>
      <c r="E118" s="59">
        <f>SUM(E119:E128)</f>
        <v>71.7736391</v>
      </c>
      <c r="F118" s="18">
        <f t="shared" ref="F118:F130" si="8">E118</f>
        <v>71.7736391</v>
      </c>
      <c r="G118" s="19" t="s">
        <v>116</v>
      </c>
      <c r="H118" s="18"/>
      <c r="I118" s="18"/>
      <c r="J118" s="20">
        <f>F118/F131</f>
        <v>0.0710685523377737</v>
      </c>
    </row>
    <row r="119" ht="19" customHeight="1" spans="1:10">
      <c r="A119" s="60">
        <v>1</v>
      </c>
      <c r="B119" s="61" t="s">
        <v>117</v>
      </c>
      <c r="C119" s="62" t="s">
        <v>118</v>
      </c>
      <c r="D119" s="63"/>
      <c r="E119" s="64">
        <f>F5*1.5%</f>
        <v>13.630986</v>
      </c>
      <c r="F119" s="21">
        <f t="shared" si="8"/>
        <v>13.630986</v>
      </c>
      <c r="G119" s="65" t="s">
        <v>116</v>
      </c>
      <c r="H119" s="66" t="s">
        <v>119</v>
      </c>
      <c r="I119" s="67"/>
      <c r="J119" s="21"/>
    </row>
    <row r="120" ht="19" customHeight="1" spans="1:10">
      <c r="A120" s="60">
        <v>2</v>
      </c>
      <c r="B120" s="61" t="s">
        <v>120</v>
      </c>
      <c r="C120" s="62" t="s">
        <v>121</v>
      </c>
      <c r="D120" s="63"/>
      <c r="E120" s="64">
        <f>F5*0.3%</f>
        <v>2.7261972</v>
      </c>
      <c r="F120" s="21">
        <f t="shared" si="8"/>
        <v>2.7261972</v>
      </c>
      <c r="G120" s="65" t="s">
        <v>116</v>
      </c>
      <c r="H120" s="66" t="s">
        <v>119</v>
      </c>
      <c r="I120" s="67"/>
      <c r="J120" s="21"/>
    </row>
    <row r="121" ht="19" customHeight="1" spans="1:10">
      <c r="A121" s="60">
        <v>3</v>
      </c>
      <c r="B121" s="61" t="s">
        <v>122</v>
      </c>
      <c r="C121" s="62" t="s">
        <v>123</v>
      </c>
      <c r="D121" s="63"/>
      <c r="E121" s="64">
        <f>F5*2.2%</f>
        <v>19.9921128</v>
      </c>
      <c r="F121" s="21">
        <f t="shared" si="8"/>
        <v>19.9921128</v>
      </c>
      <c r="G121" s="65" t="s">
        <v>116</v>
      </c>
      <c r="H121" s="66" t="s">
        <v>119</v>
      </c>
      <c r="I121" s="67"/>
      <c r="J121" s="21"/>
    </row>
    <row r="122" ht="28.8" spans="1:10">
      <c r="A122" s="60">
        <v>4</v>
      </c>
      <c r="B122" s="61" t="s">
        <v>124</v>
      </c>
      <c r="C122" s="62" t="s">
        <v>125</v>
      </c>
      <c r="D122" s="63"/>
      <c r="E122" s="64">
        <f>(F5-85)*1%</f>
        <v>8.237324</v>
      </c>
      <c r="F122" s="21">
        <f t="shared" si="8"/>
        <v>8.237324</v>
      </c>
      <c r="G122" s="65" t="s">
        <v>116</v>
      </c>
      <c r="H122" s="66" t="s">
        <v>119</v>
      </c>
      <c r="I122" s="67"/>
      <c r="J122" s="21" t="s">
        <v>126</v>
      </c>
    </row>
    <row r="123" ht="28.8" spans="1:10">
      <c r="A123" s="60">
        <v>5</v>
      </c>
      <c r="B123" s="61" t="s">
        <v>127</v>
      </c>
      <c r="C123" s="62" t="s">
        <v>128</v>
      </c>
      <c r="D123" s="63"/>
      <c r="E123" s="64">
        <f>F5*0.5%</f>
        <v>4.543662</v>
      </c>
      <c r="F123" s="21">
        <f t="shared" si="8"/>
        <v>4.543662</v>
      </c>
      <c r="G123" s="65"/>
      <c r="H123" s="66"/>
      <c r="I123" s="67"/>
      <c r="J123" s="21"/>
    </row>
    <row r="124" spans="1:10">
      <c r="A124" s="60">
        <v>6</v>
      </c>
      <c r="B124" s="61" t="s">
        <v>129</v>
      </c>
      <c r="C124" s="62" t="s">
        <v>130</v>
      </c>
      <c r="D124" s="63"/>
      <c r="E124" s="64">
        <f>F5*0.8%</f>
        <v>7.2698592</v>
      </c>
      <c r="F124" s="21">
        <f t="shared" si="8"/>
        <v>7.2698592</v>
      </c>
      <c r="G124" s="65" t="s">
        <v>116</v>
      </c>
      <c r="H124" s="66" t="s">
        <v>131</v>
      </c>
      <c r="I124" s="67"/>
      <c r="J124" s="21"/>
    </row>
    <row r="125" spans="1:10">
      <c r="A125" s="60">
        <v>7</v>
      </c>
      <c r="B125" s="61" t="s">
        <v>132</v>
      </c>
      <c r="C125" s="62" t="s">
        <v>128</v>
      </c>
      <c r="D125" s="63"/>
      <c r="E125" s="64">
        <f>F5*0.5%</f>
        <v>4.543662</v>
      </c>
      <c r="F125" s="21">
        <f t="shared" si="8"/>
        <v>4.543662</v>
      </c>
      <c r="G125" s="65" t="s">
        <v>116</v>
      </c>
      <c r="H125" s="66" t="s">
        <v>119</v>
      </c>
      <c r="I125" s="67"/>
      <c r="J125" s="21"/>
    </row>
    <row r="126" spans="1:10">
      <c r="A126" s="60">
        <v>8</v>
      </c>
      <c r="B126" s="68" t="s">
        <v>133</v>
      </c>
      <c r="C126" s="62"/>
      <c r="D126" s="63"/>
      <c r="E126" s="64">
        <f>(H10+H15+H27)*3/10000</f>
        <v>4.4687091</v>
      </c>
      <c r="F126" s="21">
        <f t="shared" si="8"/>
        <v>4.4687091</v>
      </c>
      <c r="G126" s="65" t="s">
        <v>116</v>
      </c>
      <c r="H126" s="66" t="s">
        <v>134</v>
      </c>
      <c r="I126" s="67"/>
      <c r="J126" s="21"/>
    </row>
    <row r="127" spans="1:10">
      <c r="A127" s="60">
        <v>9</v>
      </c>
      <c r="B127" s="68" t="s">
        <v>135</v>
      </c>
      <c r="C127" s="62" t="s">
        <v>136</v>
      </c>
      <c r="D127" s="63"/>
      <c r="E127" s="64">
        <f>F5*0.2%</f>
        <v>1.8174648</v>
      </c>
      <c r="F127" s="21">
        <f t="shared" si="8"/>
        <v>1.8174648</v>
      </c>
      <c r="G127" s="65" t="s">
        <v>116</v>
      </c>
      <c r="H127" s="66" t="s">
        <v>119</v>
      </c>
      <c r="I127" s="67"/>
      <c r="J127" s="21"/>
    </row>
    <row r="128" spans="1:10">
      <c r="A128" s="60">
        <v>10</v>
      </c>
      <c r="B128" s="68" t="s">
        <v>137</v>
      </c>
      <c r="C128" s="62" t="s">
        <v>128</v>
      </c>
      <c r="D128" s="63"/>
      <c r="E128" s="64">
        <f>F5*0.5%</f>
        <v>4.543662</v>
      </c>
      <c r="F128" s="64">
        <f t="shared" si="8"/>
        <v>4.543662</v>
      </c>
      <c r="G128" s="65" t="s">
        <v>116</v>
      </c>
      <c r="H128" s="66" t="s">
        <v>131</v>
      </c>
      <c r="I128" s="67"/>
      <c r="J128" s="21"/>
    </row>
    <row r="129" ht="18" customHeight="1" spans="1:10">
      <c r="A129" s="60">
        <v>11</v>
      </c>
      <c r="B129" s="68" t="s">
        <v>138</v>
      </c>
      <c r="C129" s="62" t="s">
        <v>128</v>
      </c>
      <c r="D129" s="63"/>
      <c r="E129" s="64">
        <f>F5*0.5%</f>
        <v>4.543662</v>
      </c>
      <c r="F129" s="64">
        <f t="shared" si="8"/>
        <v>4.543662</v>
      </c>
      <c r="G129" s="65"/>
      <c r="H129" s="66"/>
      <c r="I129" s="67"/>
      <c r="J129" s="21"/>
    </row>
    <row r="130" ht="31" customHeight="1" spans="1:10">
      <c r="A130" s="16" t="s">
        <v>139</v>
      </c>
      <c r="B130" s="17" t="s">
        <v>140</v>
      </c>
      <c r="C130" s="18"/>
      <c r="D130" s="18"/>
      <c r="E130" s="59">
        <f>(F5+F118)*3%</f>
        <v>29.415181173</v>
      </c>
      <c r="F130" s="18">
        <f t="shared" si="8"/>
        <v>29.415181173</v>
      </c>
      <c r="G130" s="19"/>
      <c r="H130" s="69" t="s">
        <v>141</v>
      </c>
      <c r="I130" s="70"/>
      <c r="J130" s="20">
        <f>F130/F131</f>
        <v>0.029126213592233</v>
      </c>
    </row>
    <row r="131" s="1" customFormat="1" ht="37" customHeight="1" spans="1:10">
      <c r="A131" s="16" t="s">
        <v>142</v>
      </c>
      <c r="B131" s="17" t="s">
        <v>143</v>
      </c>
      <c r="C131" s="71">
        <f>C5</f>
        <v>712.9624</v>
      </c>
      <c r="D131" s="71">
        <f>D5</f>
        <v>195.77</v>
      </c>
      <c r="E131" s="59">
        <f>E118+E130</f>
        <v>101.188820273</v>
      </c>
      <c r="F131" s="72">
        <f>F5+F118+F130</f>
        <v>1009.921220273</v>
      </c>
      <c r="G131" s="19"/>
      <c r="H131" s="71"/>
      <c r="I131" s="18"/>
      <c r="J131" s="18"/>
    </row>
  </sheetData>
  <mergeCells count="27">
    <mergeCell ref="A1:J1"/>
    <mergeCell ref="A2:J2"/>
    <mergeCell ref="C3:F3"/>
    <mergeCell ref="G3:I3"/>
    <mergeCell ref="C119:D119"/>
    <mergeCell ref="H119:I119"/>
    <mergeCell ref="C120:D120"/>
    <mergeCell ref="H120:I120"/>
    <mergeCell ref="C121:D121"/>
    <mergeCell ref="H121:I121"/>
    <mergeCell ref="C122:D122"/>
    <mergeCell ref="H122:I122"/>
    <mergeCell ref="C123:D123"/>
    <mergeCell ref="C124:D124"/>
    <mergeCell ref="H124:I124"/>
    <mergeCell ref="C125:D125"/>
    <mergeCell ref="H125:I125"/>
    <mergeCell ref="C126:D126"/>
    <mergeCell ref="H126:I126"/>
    <mergeCell ref="C127:D127"/>
    <mergeCell ref="H127:I127"/>
    <mergeCell ref="C128:D128"/>
    <mergeCell ref="H128:I128"/>
    <mergeCell ref="C129:D129"/>
    <mergeCell ref="H130:I130"/>
    <mergeCell ref="A3:A4"/>
    <mergeCell ref="B3:B4"/>
  </mergeCells>
  <pageMargins left="0.432638888888889" right="0.118055555555556" top="0.590277777777778" bottom="0.550694444444444" header="0.5" footer="0.393055555555556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第七中学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T-转瞬即逝</cp:lastModifiedBy>
  <dcterms:created xsi:type="dcterms:W3CDTF">2015-09-21T06:18:00Z</dcterms:created>
  <cp:lastPrinted>2026-01-06T04:42:00Z</cp:lastPrinted>
  <dcterms:modified xsi:type="dcterms:W3CDTF">2026-05-06T08:35:55Z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ubyTemplateID" linkTarget="0">
    <vt:lpwstr>11</vt:lpwstr>
  </property>
  <property fmtid="{D5CDD505-2E9C-101B-9397-08002B2CF9AE}" pid="4" name="ICV">
    <vt:lpwstr>954551CB84F44112AA5B14BF130DC247_13</vt:lpwstr>
  </property>
  <property fmtid="{D5CDD505-2E9C-101B-9397-08002B2CF9AE}" pid="5" name="CalculationRule">
    <vt:i4>0</vt:i4>
  </property>
</Properties>
</file>