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36" windowHeight="13500"/>
  </bookViews>
  <sheets>
    <sheet name="概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<sst xmlns="http://schemas.openxmlformats.org/spreadsheetml/2006/main" count="160" uniqueCount="85">
  <si>
    <t>工 程 概 算 审 定 表</t>
  </si>
  <si>
    <t>工程名称：通伏乡新丰村稻渔综合种养产业项目</t>
  </si>
  <si>
    <t>序号</t>
  </si>
  <si>
    <t>项目名称</t>
  </si>
  <si>
    <t>建安工程费</t>
  </si>
  <si>
    <t>其他费用</t>
  </si>
  <si>
    <t>预备费</t>
  </si>
  <si>
    <t>合计</t>
  </si>
  <si>
    <t>技术经济指标（元）</t>
  </si>
  <si>
    <t>占投资额    （%）</t>
  </si>
  <si>
    <t>单位</t>
  </si>
  <si>
    <t>数量</t>
  </si>
  <si>
    <t>单位价值</t>
  </si>
  <si>
    <t>一</t>
  </si>
  <si>
    <t>工程费用</t>
  </si>
  <si>
    <t>一）</t>
  </si>
  <si>
    <t>育苗棚片区</t>
  </si>
  <si>
    <t>育苗棚</t>
  </si>
  <si>
    <t>㎡</t>
  </si>
  <si>
    <t>土建工程</t>
  </si>
  <si>
    <t>给排水工程</t>
  </si>
  <si>
    <t>电气工程</t>
  </si>
  <si>
    <t>喷淋设备</t>
  </si>
  <si>
    <t>套</t>
  </si>
  <si>
    <t>苗床设备</t>
  </si>
  <si>
    <t>外网电气工程</t>
  </si>
  <si>
    <t>200KVA变压器</t>
  </si>
  <si>
    <t>座</t>
  </si>
  <si>
    <t>电线杆</t>
  </si>
  <si>
    <t>杆</t>
  </si>
  <si>
    <t>低压杆表箱</t>
  </si>
  <si>
    <t>个</t>
  </si>
  <si>
    <t>单体控制箱</t>
  </si>
  <si>
    <t>高压架空电缆</t>
  </si>
  <si>
    <t>m</t>
  </si>
  <si>
    <t>低压架空电缆</t>
  </si>
  <si>
    <t>低压架空电缆至低压杆表箱电缆</t>
  </si>
  <si>
    <t>低压杆表箱至单体控制箱电缆</t>
  </si>
  <si>
    <t>电缆套管</t>
  </si>
  <si>
    <t>电缆沟土方</t>
  </si>
  <si>
    <t>m³</t>
  </si>
  <si>
    <t>盐碱化治理工程</t>
  </si>
  <si>
    <t>铺设吸水管(φ80单壁波纹管，含68g/m2无纺土工布）</t>
  </si>
  <si>
    <t>PE集水管(φ200/0.6MPa)</t>
  </si>
  <si>
    <t>检查井</t>
  </si>
  <si>
    <t>沟道清淤</t>
  </si>
  <si>
    <t>管沟土方</t>
  </si>
  <si>
    <t>种植土回填</t>
  </si>
  <si>
    <t>砂石硬化路</t>
  </si>
  <si>
    <t>场地平整</t>
  </si>
  <si>
    <t>二）</t>
  </si>
  <si>
    <t>养殖棚片区</t>
  </si>
  <si>
    <t>1#养殖棚</t>
  </si>
  <si>
    <t>采暖工程</t>
  </si>
  <si>
    <t>养殖设备</t>
  </si>
  <si>
    <t>2#展示棚</t>
  </si>
  <si>
    <t>3#库房</t>
  </si>
  <si>
    <t>门卫</t>
  </si>
  <si>
    <t>供暖工程</t>
  </si>
  <si>
    <t>项</t>
  </si>
  <si>
    <t>630KVA变压器</t>
  </si>
  <si>
    <t>高压电缆</t>
  </si>
  <si>
    <t>低压电缆</t>
  </si>
  <si>
    <t>附属配套设施</t>
  </si>
  <si>
    <t>地磅</t>
  </si>
  <si>
    <t>供暖设备</t>
  </si>
  <si>
    <t>供气设备</t>
  </si>
  <si>
    <t>钢筋混凝土化粪池</t>
  </si>
  <si>
    <t>混凝土硬化</t>
  </si>
  <si>
    <t>现状建筑拆除</t>
  </si>
  <si>
    <t>现状围墙拆除</t>
  </si>
  <si>
    <t>电动伸缩门</t>
  </si>
  <si>
    <t>铁艺围栏</t>
  </si>
  <si>
    <t>监控设备</t>
  </si>
  <si>
    <t>二</t>
  </si>
  <si>
    <t>勘测设计费3%</t>
  </si>
  <si>
    <t>工程监理费1.5%</t>
  </si>
  <si>
    <t>清单控制价编审费0.5%</t>
  </si>
  <si>
    <t>竣工结算审核费0.4%</t>
  </si>
  <si>
    <t>财务决算费0.2%</t>
  </si>
  <si>
    <t>招标代理服务费0.6%</t>
  </si>
  <si>
    <t>检测试验费0.6%</t>
  </si>
  <si>
    <t>三</t>
  </si>
  <si>
    <t>预备费3%</t>
  </si>
  <si>
    <t>（一）+（二）+（三）总计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</si>
</sst>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176" fontId="1" fillId="0" borderId="0" xfId="0" applyNumberFormat="1" applyFont="1" applyFill="1" applyBorder="1" applyAlignment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center" wrapText="1"/>
    </xf>
    <xf numFmtId="10" fontId="6" fillId="0" borderId="4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6" fillId="0" borderId="5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0" fontId="3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1"/>
  <sheetViews>
    <sheetView tabSelected="1" workbookViewId="0">
      <selection activeCell="O20" sqref="O20"/>
    </sheetView>
  </sheetViews>
  <sheetFormatPr defaultColWidth="11" defaultRowHeight="15.6"/>
  <cols>
    <col min="1" max="1" width="10.1111111111111" style="1" customWidth="1"/>
    <col min="2" max="2" width="19.3333333333333" style="5" customWidth="1"/>
    <col min="3" max="3" width="12" style="1" customWidth="1"/>
    <col min="4" max="4" width="10.1111111111111" style="1" customWidth="1"/>
    <col min="5" max="5" width="9" style="1" customWidth="1"/>
    <col min="6" max="7" width="11" style="1" customWidth="1"/>
    <col min="8" max="8" width="11" style="6" customWidth="1"/>
    <col min="9" max="11" width="11" style="1" customWidth="1"/>
    <col min="12" max="13" width="11" style="6" customWidth="1"/>
    <col min="14" max="16384" width="11" style="1" customWidth="1"/>
  </cols>
  <sheetData>
    <row r="1" s="1" customFormat="1" spans="1:13">
      <c r="A1" s="7" t="s">
        <v>0</v>
      </c>
      <c r="B1" s="8"/>
      <c r="C1" s="7"/>
      <c r="D1" s="7"/>
      <c r="E1" s="7"/>
      <c r="F1" s="7"/>
      <c r="G1" s="7"/>
      <c r="H1" s="9"/>
      <c r="I1" s="7"/>
      <c r="J1" s="10"/>
      <c r="L1" s="6"/>
      <c r="M1" s="6"/>
    </row>
    <row r="2" s="1" customFormat="1" ht="23" customHeight="1" spans="1:13">
      <c r="A2" s="7"/>
      <c r="B2" s="8"/>
      <c r="C2" s="7"/>
      <c r="D2" s="7"/>
      <c r="E2" s="7"/>
      <c r="F2" s="7"/>
      <c r="G2" s="7"/>
      <c r="H2" s="9"/>
      <c r="I2" s="7"/>
      <c r="J2" s="10"/>
      <c r="L2" s="6"/>
      <c r="M2" s="6"/>
    </row>
    <row r="3" s="1" customFormat="1" ht="18" customHeight="1" spans="1:13">
      <c r="A3" s="11" t="s">
        <v>1</v>
      </c>
      <c r="B3" s="11"/>
      <c r="C3" s="11"/>
      <c r="D3" s="11"/>
      <c r="E3" s="11"/>
      <c r="F3" s="11"/>
      <c r="G3" s="11"/>
      <c r="H3" s="12"/>
      <c r="I3" s="11"/>
      <c r="J3" s="13"/>
      <c r="L3" s="6"/>
      <c r="M3" s="6"/>
    </row>
    <row r="4" s="2" customFormat="1" ht="14" customHeight="1" spans="1:13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5" t="s">
        <v>8</v>
      </c>
      <c r="H4" s="15"/>
      <c r="I4" s="15"/>
      <c r="J4" s="16" t="s">
        <v>9</v>
      </c>
    </row>
    <row r="5" s="2" customFormat="1" ht="16" customHeight="1" spans="1:13">
      <c r="A5" s="14"/>
      <c r="B5" s="14"/>
      <c r="C5" s="14"/>
      <c r="D5" s="14"/>
      <c r="E5" s="14"/>
      <c r="F5" s="14"/>
      <c r="G5" s="15" t="s">
        <v>10</v>
      </c>
      <c r="H5" s="15" t="s">
        <v>11</v>
      </c>
      <c r="I5" s="15" t="s">
        <v>12</v>
      </c>
      <c r="J5" s="16"/>
    </row>
    <row r="6" s="3" customFormat="1" ht="16" customHeight="1" spans="1:13">
      <c r="A6" s="15" t="s">
        <v>13</v>
      </c>
      <c r="B6" s="15" t="s">
        <v>14</v>
      </c>
      <c r="C6" s="17">
        <f>C7+C34</f>
        <v>1167.95</v>
      </c>
      <c r="D6" s="17"/>
      <c r="E6" s="17"/>
      <c r="F6" s="17">
        <f t="shared" ref="F6:F69" si="0">C6</f>
        <v>1167.95</v>
      </c>
      <c r="G6" s="15"/>
      <c r="H6" s="17"/>
      <c r="I6" s="17"/>
      <c r="J6" s="18">
        <f>F6/F81</f>
        <v>0.909057852441729</v>
      </c>
    </row>
    <row r="7" s="3" customFormat="1" ht="16" customHeight="1" spans="1:13">
      <c r="A7" s="15" t="s">
        <v>15</v>
      </c>
      <c r="B7" s="15" t="s">
        <v>16</v>
      </c>
      <c r="C7" s="17">
        <f>C8+C14+C25+C31+C32+C33</f>
        <v>593.22</v>
      </c>
      <c r="D7" s="17"/>
      <c r="E7" s="17"/>
      <c r="F7" s="17">
        <f t="shared" si="0"/>
        <v>593.22</v>
      </c>
      <c r="G7" s="15"/>
      <c r="H7" s="17"/>
      <c r="I7" s="17"/>
      <c r="J7" s="19"/>
    </row>
    <row r="8" s="3" customFormat="1" ht="16" customHeight="1" spans="1:13">
      <c r="A8" s="20">
        <v>1</v>
      </c>
      <c r="B8" s="15" t="s">
        <v>17</v>
      </c>
      <c r="C8" s="17">
        <f>SUM(C9:C13)</f>
        <v>524.49</v>
      </c>
      <c r="D8" s="17"/>
      <c r="E8" s="17"/>
      <c r="F8" s="17">
        <f t="shared" si="0"/>
        <v>524.49</v>
      </c>
      <c r="G8" s="15" t="s">
        <v>18</v>
      </c>
      <c r="H8" s="17">
        <f t="shared" ref="H8:H11" si="1">12*80*8+12*117*4</f>
        <v>13296</v>
      </c>
      <c r="I8" s="21">
        <f t="shared" ref="I8:I13" si="2">F8/H8*10000</f>
        <v>394.47202166065</v>
      </c>
      <c r="J8" s="19"/>
    </row>
    <row r="9" s="3" customFormat="1" ht="16" customHeight="1" spans="1:13">
      <c r="A9" s="22"/>
      <c r="B9" s="22" t="s">
        <v>19</v>
      </c>
      <c r="C9" s="23">
        <v>427.8</v>
      </c>
      <c r="D9" s="23"/>
      <c r="E9" s="23"/>
      <c r="F9" s="23">
        <f t="shared" si="0"/>
        <v>427.8</v>
      </c>
      <c r="G9" s="22" t="s">
        <v>18</v>
      </c>
      <c r="H9" s="23">
        <f t="shared" si="1"/>
        <v>13296</v>
      </c>
      <c r="I9" s="24">
        <f t="shared" si="2"/>
        <v>321.750902527076</v>
      </c>
      <c r="J9" s="19"/>
    </row>
    <row r="10" s="3" customFormat="1" ht="16" customHeight="1" spans="1:13">
      <c r="A10" s="22"/>
      <c r="B10" s="22" t="s">
        <v>20</v>
      </c>
      <c r="C10" s="23">
        <v>19.02</v>
      </c>
      <c r="D10" s="23"/>
      <c r="E10" s="23"/>
      <c r="F10" s="23">
        <f t="shared" si="0"/>
        <v>19.02</v>
      </c>
      <c r="G10" s="22" t="s">
        <v>18</v>
      </c>
      <c r="H10" s="23">
        <f t="shared" si="1"/>
        <v>13296</v>
      </c>
      <c r="I10" s="24">
        <f t="shared" si="2"/>
        <v>14.3050541516245</v>
      </c>
      <c r="J10" s="19"/>
    </row>
    <row r="11" s="3" customFormat="1" ht="16" customHeight="1" spans="1:13">
      <c r="A11" s="22"/>
      <c r="B11" s="22" t="s">
        <v>21</v>
      </c>
      <c r="C11" s="23">
        <v>21.27</v>
      </c>
      <c r="D11" s="23"/>
      <c r="E11" s="23"/>
      <c r="F11" s="23">
        <f t="shared" si="0"/>
        <v>21.27</v>
      </c>
      <c r="G11" s="22" t="s">
        <v>18</v>
      </c>
      <c r="H11" s="23">
        <f t="shared" si="1"/>
        <v>13296</v>
      </c>
      <c r="I11" s="24">
        <f t="shared" si="2"/>
        <v>15.9972924187726</v>
      </c>
      <c r="J11" s="19"/>
    </row>
    <row r="12" s="3" customFormat="1" ht="16" customHeight="1" spans="1:13">
      <c r="A12" s="22"/>
      <c r="B12" s="22" t="s">
        <v>22</v>
      </c>
      <c r="C12" s="23">
        <v>14.4</v>
      </c>
      <c r="D12" s="23"/>
      <c r="E12" s="23"/>
      <c r="F12" s="23">
        <f t="shared" si="0"/>
        <v>14.4</v>
      </c>
      <c r="G12" s="22" t="s">
        <v>23</v>
      </c>
      <c r="H12" s="23">
        <v>12</v>
      </c>
      <c r="I12" s="24">
        <f t="shared" si="2"/>
        <v>12000</v>
      </c>
      <c r="J12" s="19"/>
    </row>
    <row r="13" s="4" customFormat="1" ht="16" customHeight="1" spans="1:13">
      <c r="A13" s="22"/>
      <c r="B13" s="22" t="s">
        <v>24</v>
      </c>
      <c r="C13" s="23">
        <v>42</v>
      </c>
      <c r="D13" s="23"/>
      <c r="E13" s="23"/>
      <c r="F13" s="23">
        <f t="shared" si="0"/>
        <v>42</v>
      </c>
      <c r="G13" s="22" t="s">
        <v>23</v>
      </c>
      <c r="H13" s="23">
        <v>12</v>
      </c>
      <c r="I13" s="24">
        <f t="shared" si="2"/>
        <v>35000</v>
      </c>
      <c r="J13" s="19"/>
    </row>
    <row r="14" s="3" customFormat="1" ht="16" customHeight="1" spans="1:13">
      <c r="A14" s="20">
        <v>2</v>
      </c>
      <c r="B14" s="15" t="s">
        <v>25</v>
      </c>
      <c r="C14" s="17">
        <f>SUM(C15:C24)</f>
        <v>23.53</v>
      </c>
      <c r="D14" s="17"/>
      <c r="E14" s="17"/>
      <c r="F14" s="17">
        <f t="shared" si="0"/>
        <v>23.53</v>
      </c>
      <c r="G14" s="25"/>
      <c r="H14" s="25"/>
      <c r="I14" s="24"/>
      <c r="J14" s="19"/>
    </row>
    <row r="15" s="3" customFormat="1" ht="16" customHeight="1" spans="1:13">
      <c r="A15" s="22"/>
      <c r="B15" s="22" t="s">
        <v>26</v>
      </c>
      <c r="C15" s="23">
        <v>6</v>
      </c>
      <c r="D15" s="23"/>
      <c r="E15" s="23"/>
      <c r="F15" s="23">
        <f t="shared" si="0"/>
        <v>6</v>
      </c>
      <c r="G15" s="22" t="s">
        <v>27</v>
      </c>
      <c r="H15" s="23">
        <v>1</v>
      </c>
      <c r="I15" s="24">
        <f t="shared" ref="I15:I24" si="3">F15/H15*10000</f>
        <v>60000</v>
      </c>
      <c r="J15" s="19"/>
    </row>
    <row r="16" s="3" customFormat="1" ht="16" customHeight="1" spans="1:13">
      <c r="A16" s="22"/>
      <c r="B16" s="22" t="s">
        <v>28</v>
      </c>
      <c r="C16" s="23">
        <v>3.84</v>
      </c>
      <c r="D16" s="23"/>
      <c r="E16" s="23"/>
      <c r="F16" s="23">
        <f t="shared" si="0"/>
        <v>3.84</v>
      </c>
      <c r="G16" s="22" t="s">
        <v>29</v>
      </c>
      <c r="H16" s="23">
        <v>12</v>
      </c>
      <c r="I16" s="24">
        <f t="shared" si="3"/>
        <v>3200</v>
      </c>
      <c r="J16" s="19"/>
    </row>
    <row r="17" s="3" customFormat="1" ht="16" customHeight="1" spans="1:13">
      <c r="A17" s="22"/>
      <c r="B17" s="22" t="s">
        <v>30</v>
      </c>
      <c r="C17" s="23">
        <v>0.66</v>
      </c>
      <c r="D17" s="23"/>
      <c r="E17" s="23"/>
      <c r="F17" s="23">
        <f t="shared" si="0"/>
        <v>0.66</v>
      </c>
      <c r="G17" s="22" t="s">
        <v>31</v>
      </c>
      <c r="H17" s="23">
        <v>4</v>
      </c>
      <c r="I17" s="24">
        <f t="shared" si="3"/>
        <v>1650</v>
      </c>
      <c r="J17" s="19"/>
    </row>
    <row r="18" s="3" customFormat="1" ht="16" customHeight="1" spans="1:13">
      <c r="A18" s="22"/>
      <c r="B18" s="22" t="s">
        <v>32</v>
      </c>
      <c r="C18" s="23">
        <v>1.38</v>
      </c>
      <c r="D18" s="23"/>
      <c r="E18" s="23"/>
      <c r="F18" s="23">
        <f t="shared" si="0"/>
        <v>1.38</v>
      </c>
      <c r="G18" s="22" t="s">
        <v>31</v>
      </c>
      <c r="H18" s="23">
        <v>12</v>
      </c>
      <c r="I18" s="24">
        <f t="shared" si="3"/>
        <v>1150</v>
      </c>
      <c r="J18" s="19"/>
      <c r="L18" s="26"/>
      <c r="M18" s="26"/>
    </row>
    <row r="19" s="3" customFormat="1" ht="16" customHeight="1" spans="1:13">
      <c r="A19" s="22"/>
      <c r="B19" s="22" t="s">
        <v>33</v>
      </c>
      <c r="C19" s="23">
        <v>4.28</v>
      </c>
      <c r="D19" s="23"/>
      <c r="E19" s="23"/>
      <c r="F19" s="23">
        <f t="shared" si="0"/>
        <v>4.28</v>
      </c>
      <c r="G19" s="22" t="s">
        <v>34</v>
      </c>
      <c r="H19" s="22">
        <v>214</v>
      </c>
      <c r="I19" s="24">
        <f t="shared" si="3"/>
        <v>200</v>
      </c>
      <c r="J19" s="19"/>
      <c r="L19" s="26"/>
      <c r="M19" s="26"/>
    </row>
    <row r="20" s="3" customFormat="1" ht="16" customHeight="1" spans="1:13">
      <c r="A20" s="22"/>
      <c r="B20" s="22" t="s">
        <v>35</v>
      </c>
      <c r="C20" s="23">
        <v>4.18</v>
      </c>
      <c r="D20" s="22"/>
      <c r="E20" s="22"/>
      <c r="F20" s="23">
        <f t="shared" si="0"/>
        <v>4.18</v>
      </c>
      <c r="G20" s="22" t="s">
        <v>34</v>
      </c>
      <c r="H20" s="22">
        <v>209</v>
      </c>
      <c r="I20" s="24">
        <f t="shared" si="3"/>
        <v>200</v>
      </c>
      <c r="J20" s="19"/>
      <c r="L20" s="26"/>
      <c r="M20" s="26"/>
    </row>
    <row r="21" s="3" customFormat="1" ht="26" customHeight="1" spans="1:13">
      <c r="A21" s="22"/>
      <c r="B21" s="22" t="s">
        <v>36</v>
      </c>
      <c r="C21" s="23">
        <v>0.7</v>
      </c>
      <c r="D21" s="23"/>
      <c r="E21" s="23"/>
      <c r="F21" s="23">
        <f t="shared" si="0"/>
        <v>0.7</v>
      </c>
      <c r="G21" s="22" t="s">
        <v>34</v>
      </c>
      <c r="H21" s="22">
        <f>10*H17</f>
        <v>40</v>
      </c>
      <c r="I21" s="24">
        <f t="shared" si="3"/>
        <v>175</v>
      </c>
      <c r="J21" s="19"/>
      <c r="L21" s="26"/>
      <c r="M21" s="26"/>
    </row>
    <row r="22" s="3" customFormat="1" ht="26" customHeight="1" spans="1:13">
      <c r="A22" s="22"/>
      <c r="B22" s="22" t="s">
        <v>37</v>
      </c>
      <c r="C22" s="23">
        <v>1.29</v>
      </c>
      <c r="D22" s="22"/>
      <c r="E22" s="22"/>
      <c r="F22" s="23">
        <f t="shared" si="0"/>
        <v>1.29</v>
      </c>
      <c r="G22" s="22" t="s">
        <v>34</v>
      </c>
      <c r="H22" s="22">
        <f>H18*25</f>
        <v>300</v>
      </c>
      <c r="I22" s="24">
        <f t="shared" si="3"/>
        <v>43</v>
      </c>
      <c r="J22" s="19"/>
      <c r="L22" s="26"/>
      <c r="M22" s="26"/>
    </row>
    <row r="23" s="3" customFormat="1" ht="14" customHeight="1" spans="1:13">
      <c r="A23" s="22"/>
      <c r="B23" s="22" t="s">
        <v>38</v>
      </c>
      <c r="C23" s="23">
        <v>0.84</v>
      </c>
      <c r="D23" s="23"/>
      <c r="E23" s="23"/>
      <c r="F23" s="23">
        <f t="shared" si="0"/>
        <v>0.84</v>
      </c>
      <c r="G23" s="22" t="s">
        <v>34</v>
      </c>
      <c r="H23" s="22">
        <f>H22</f>
        <v>300</v>
      </c>
      <c r="I23" s="24">
        <f t="shared" si="3"/>
        <v>28</v>
      </c>
      <c r="J23" s="19"/>
      <c r="L23" s="26"/>
      <c r="M23" s="26"/>
    </row>
    <row r="24" s="3" customFormat="1" ht="14" customHeight="1" spans="1:13">
      <c r="A24" s="22"/>
      <c r="B24" s="22" t="s">
        <v>39</v>
      </c>
      <c r="C24" s="23">
        <v>0.36</v>
      </c>
      <c r="D24" s="23"/>
      <c r="E24" s="23"/>
      <c r="F24" s="23">
        <f t="shared" si="0"/>
        <v>0.36</v>
      </c>
      <c r="G24" s="22" t="s">
        <v>40</v>
      </c>
      <c r="H24" s="22">
        <f>H22*0.6*1.1</f>
        <v>198</v>
      </c>
      <c r="I24" s="24">
        <f t="shared" si="3"/>
        <v>18.1818181818182</v>
      </c>
      <c r="J24" s="19"/>
      <c r="L24" s="26"/>
      <c r="M24" s="26"/>
    </row>
    <row r="25" s="3" customFormat="1" ht="15" customHeight="1" spans="1:13">
      <c r="A25" s="20">
        <v>3</v>
      </c>
      <c r="B25" s="15" t="s">
        <v>41</v>
      </c>
      <c r="C25" s="17">
        <f>SUM(C26:C30)</f>
        <v>19.49</v>
      </c>
      <c r="D25" s="17"/>
      <c r="E25" s="17"/>
      <c r="F25" s="17">
        <f t="shared" si="0"/>
        <v>19.49</v>
      </c>
      <c r="G25" s="15"/>
      <c r="H25" s="15"/>
      <c r="I25" s="24"/>
      <c r="J25" s="19"/>
      <c r="L25" s="26"/>
      <c r="M25" s="26"/>
    </row>
    <row r="26" s="4" customFormat="1" ht="39" customHeight="1" spans="1:13">
      <c r="A26" s="22"/>
      <c r="B26" s="22" t="s">
        <v>42</v>
      </c>
      <c r="C26" s="23">
        <v>3.93</v>
      </c>
      <c r="D26" s="22"/>
      <c r="E26" s="22"/>
      <c r="F26" s="23">
        <f t="shared" si="0"/>
        <v>3.93</v>
      </c>
      <c r="G26" s="22" t="s">
        <v>34</v>
      </c>
      <c r="H26" s="22">
        <v>1079</v>
      </c>
      <c r="I26" s="24">
        <f t="shared" ref="I26:I33" si="4">F26/H26*10000</f>
        <v>36.4226135310473</v>
      </c>
      <c r="J26" s="19"/>
      <c r="L26" s="27"/>
      <c r="M26" s="27"/>
    </row>
    <row r="27" s="4" customFormat="1" ht="15" customHeight="1" spans="1:13">
      <c r="A27" s="22"/>
      <c r="B27" s="22" t="s">
        <v>43</v>
      </c>
      <c r="C27" s="23">
        <v>2.27</v>
      </c>
      <c r="D27" s="22"/>
      <c r="E27" s="22"/>
      <c r="F27" s="23">
        <f t="shared" si="0"/>
        <v>2.27</v>
      </c>
      <c r="G27" s="22" t="s">
        <v>34</v>
      </c>
      <c r="H27" s="22">
        <v>292</v>
      </c>
      <c r="I27" s="24">
        <f t="shared" si="4"/>
        <v>77.7397260273973</v>
      </c>
      <c r="J27" s="19"/>
      <c r="L27" s="27"/>
      <c r="M27" s="27"/>
    </row>
    <row r="28" s="4" customFormat="1" ht="15" customHeight="1" spans="1:13">
      <c r="A28" s="22"/>
      <c r="B28" s="22" t="s">
        <v>44</v>
      </c>
      <c r="C28" s="23">
        <v>4.5</v>
      </c>
      <c r="D28" s="22"/>
      <c r="E28" s="22"/>
      <c r="F28" s="23">
        <f t="shared" si="0"/>
        <v>4.5</v>
      </c>
      <c r="G28" s="22" t="s">
        <v>27</v>
      </c>
      <c r="H28" s="22">
        <v>14</v>
      </c>
      <c r="I28" s="24">
        <f t="shared" si="4"/>
        <v>3214.28571428571</v>
      </c>
      <c r="J28" s="19"/>
      <c r="L28" s="27"/>
      <c r="M28" s="27"/>
    </row>
    <row r="29" s="4" customFormat="1" ht="15" customHeight="1" spans="1:13">
      <c r="A29" s="22"/>
      <c r="B29" s="22" t="s">
        <v>45</v>
      </c>
      <c r="C29" s="23">
        <v>4.04</v>
      </c>
      <c r="D29" s="22"/>
      <c r="E29" s="22"/>
      <c r="F29" s="23">
        <f t="shared" si="0"/>
        <v>4.04</v>
      </c>
      <c r="G29" s="22" t="s">
        <v>34</v>
      </c>
      <c r="H29" s="22">
        <v>530</v>
      </c>
      <c r="I29" s="24">
        <f t="shared" si="4"/>
        <v>76.2264150943396</v>
      </c>
      <c r="J29" s="19"/>
      <c r="L29" s="27"/>
      <c r="M29" s="27"/>
    </row>
    <row r="30" s="3" customFormat="1" ht="15" customHeight="1" spans="1:13">
      <c r="A30" s="15"/>
      <c r="B30" s="22" t="s">
        <v>46</v>
      </c>
      <c r="C30" s="23">
        <v>4.75</v>
      </c>
      <c r="D30" s="23"/>
      <c r="E30" s="23"/>
      <c r="F30" s="23">
        <f t="shared" si="0"/>
        <v>4.75</v>
      </c>
      <c r="G30" s="22" t="s">
        <v>40</v>
      </c>
      <c r="H30" s="22">
        <f>(H26+H27)*0.8*1.6</f>
        <v>1754.88</v>
      </c>
      <c r="I30" s="24">
        <f t="shared" si="4"/>
        <v>27.0673778264041</v>
      </c>
      <c r="J30" s="19"/>
      <c r="L30" s="26"/>
      <c r="M30" s="26"/>
    </row>
    <row r="31" s="3" customFormat="1" ht="15" customHeight="1" spans="1:13">
      <c r="A31" s="20">
        <v>4</v>
      </c>
      <c r="B31" s="15" t="s">
        <v>47</v>
      </c>
      <c r="C31" s="17">
        <v>13.68</v>
      </c>
      <c r="D31" s="17"/>
      <c r="E31" s="17"/>
      <c r="F31" s="17">
        <f t="shared" si="0"/>
        <v>13.68</v>
      </c>
      <c r="G31" s="15" t="s">
        <v>40</v>
      </c>
      <c r="H31" s="17">
        <v>5704.68</v>
      </c>
      <c r="I31" s="24">
        <f t="shared" si="4"/>
        <v>23.9803109026273</v>
      </c>
      <c r="J31" s="19"/>
      <c r="L31" s="26"/>
      <c r="M31" s="26"/>
    </row>
    <row r="32" s="3" customFormat="1" ht="15" customHeight="1" spans="1:13">
      <c r="A32" s="20">
        <v>5</v>
      </c>
      <c r="B32" s="15" t="s">
        <v>48</v>
      </c>
      <c r="C32" s="17">
        <v>5.88</v>
      </c>
      <c r="D32" s="17"/>
      <c r="E32" s="17"/>
      <c r="F32" s="17">
        <f t="shared" si="0"/>
        <v>5.88</v>
      </c>
      <c r="G32" s="15" t="s">
        <v>18</v>
      </c>
      <c r="H32" s="17">
        <f>2061</f>
        <v>2061</v>
      </c>
      <c r="I32" s="24">
        <f t="shared" si="4"/>
        <v>28.5298398835517</v>
      </c>
      <c r="J32" s="19"/>
      <c r="L32" s="26"/>
      <c r="M32" s="26"/>
    </row>
    <row r="33" s="3" customFormat="1" ht="15" customHeight="1" spans="1:13">
      <c r="A33" s="20">
        <v>6</v>
      </c>
      <c r="B33" s="15" t="s">
        <v>49</v>
      </c>
      <c r="C33" s="17">
        <v>6.15</v>
      </c>
      <c r="D33" s="17"/>
      <c r="E33" s="17"/>
      <c r="F33" s="17">
        <f t="shared" si="0"/>
        <v>6.15</v>
      </c>
      <c r="G33" s="15" t="s">
        <v>18</v>
      </c>
      <c r="H33" s="17">
        <v>26131.4</v>
      </c>
      <c r="I33" s="24">
        <f t="shared" si="4"/>
        <v>2.35349043679252</v>
      </c>
      <c r="J33" s="19"/>
      <c r="L33" s="26"/>
      <c r="M33" s="26"/>
    </row>
    <row r="34" s="3" customFormat="1" ht="15" customHeight="1" spans="1:13">
      <c r="A34" s="15" t="s">
        <v>50</v>
      </c>
      <c r="B34" s="15" t="s">
        <v>51</v>
      </c>
      <c r="C34" s="15">
        <f>C35+C41+C47+C50+C54+C60</f>
        <v>574.73</v>
      </c>
      <c r="D34" s="15"/>
      <c r="E34" s="15"/>
      <c r="F34" s="15">
        <f t="shared" si="0"/>
        <v>574.73</v>
      </c>
      <c r="G34" s="15"/>
      <c r="H34" s="15"/>
      <c r="I34" s="24"/>
      <c r="J34" s="19"/>
      <c r="L34" s="26"/>
      <c r="M34" s="26"/>
    </row>
    <row r="35" s="3" customFormat="1" ht="15" customHeight="1" spans="1:13">
      <c r="A35" s="20">
        <v>1</v>
      </c>
      <c r="B35" s="15" t="s">
        <v>52</v>
      </c>
      <c r="C35" s="17">
        <f>C36+C37+C38+C39+C40</f>
        <v>164.9</v>
      </c>
      <c r="D35" s="17"/>
      <c r="E35" s="17"/>
      <c r="F35" s="17">
        <f t="shared" si="0"/>
        <v>164.9</v>
      </c>
      <c r="G35" s="15" t="s">
        <v>18</v>
      </c>
      <c r="H35" s="17">
        <v>974.23</v>
      </c>
      <c r="I35" s="21">
        <f t="shared" ref="I35:I53" si="5">F35/H35*10000</f>
        <v>1692.61878611827</v>
      </c>
      <c r="J35" s="19"/>
      <c r="L35" s="26"/>
      <c r="M35" s="26"/>
    </row>
    <row r="36" s="3" customFormat="1" ht="15" customHeight="1" spans="1:13">
      <c r="A36" s="20"/>
      <c r="B36" s="22" t="s">
        <v>19</v>
      </c>
      <c r="C36" s="23">
        <v>87.46</v>
      </c>
      <c r="D36" s="23"/>
      <c r="E36" s="23"/>
      <c r="F36" s="23">
        <f t="shared" si="0"/>
        <v>87.46</v>
      </c>
      <c r="G36" s="22" t="s">
        <v>18</v>
      </c>
      <c r="H36" s="23">
        <v>974.23</v>
      </c>
      <c r="I36" s="24">
        <f t="shared" si="5"/>
        <v>897.734621188015</v>
      </c>
      <c r="J36" s="19"/>
      <c r="L36" s="26"/>
      <c r="M36" s="26"/>
    </row>
    <row r="37" s="3" customFormat="1" ht="15" customHeight="1" spans="1:13">
      <c r="A37" s="20"/>
      <c r="B37" s="22" t="s">
        <v>20</v>
      </c>
      <c r="C37" s="23">
        <v>10.88</v>
      </c>
      <c r="D37" s="23"/>
      <c r="E37" s="23"/>
      <c r="F37" s="23">
        <f t="shared" si="0"/>
        <v>10.88</v>
      </c>
      <c r="G37" s="22" t="s">
        <v>18</v>
      </c>
      <c r="H37" s="23">
        <v>974.23</v>
      </c>
      <c r="I37" s="24">
        <f t="shared" si="5"/>
        <v>111.677940527391</v>
      </c>
      <c r="J37" s="19"/>
      <c r="L37" s="26"/>
      <c r="M37" s="26"/>
    </row>
    <row r="38" s="3" customFormat="1" ht="15" customHeight="1" spans="1:13">
      <c r="A38" s="15"/>
      <c r="B38" s="22" t="s">
        <v>21</v>
      </c>
      <c r="C38" s="23">
        <v>14.7</v>
      </c>
      <c r="D38" s="23"/>
      <c r="E38" s="23"/>
      <c r="F38" s="23">
        <f t="shared" si="0"/>
        <v>14.7</v>
      </c>
      <c r="G38" s="22" t="s">
        <v>18</v>
      </c>
      <c r="H38" s="23">
        <v>974.23</v>
      </c>
      <c r="I38" s="24">
        <f t="shared" si="5"/>
        <v>150.888393911089</v>
      </c>
      <c r="J38" s="19"/>
      <c r="L38" s="26"/>
      <c r="M38" s="26"/>
    </row>
    <row r="39" s="3" customFormat="1" ht="15" customHeight="1" spans="1:13">
      <c r="A39" s="15"/>
      <c r="B39" s="22" t="s">
        <v>53</v>
      </c>
      <c r="C39" s="23">
        <v>3.93</v>
      </c>
      <c r="D39" s="23"/>
      <c r="E39" s="23"/>
      <c r="F39" s="23">
        <f t="shared" si="0"/>
        <v>3.93</v>
      </c>
      <c r="G39" s="22" t="s">
        <v>18</v>
      </c>
      <c r="H39" s="23">
        <v>974.23</v>
      </c>
      <c r="I39" s="24">
        <f t="shared" si="5"/>
        <v>40.3395502088829</v>
      </c>
      <c r="J39" s="19"/>
      <c r="L39" s="26"/>
      <c r="M39" s="26"/>
    </row>
    <row r="40" s="3" customFormat="1" ht="15" customHeight="1" spans="1:13">
      <c r="A40" s="15"/>
      <c r="B40" s="22" t="s">
        <v>54</v>
      </c>
      <c r="C40" s="22">
        <v>47.93</v>
      </c>
      <c r="D40" s="22"/>
      <c r="E40" s="22"/>
      <c r="F40" s="22">
        <f t="shared" si="0"/>
        <v>47.93</v>
      </c>
      <c r="G40" s="22" t="s">
        <v>18</v>
      </c>
      <c r="H40" s="22">
        <v>974.23</v>
      </c>
      <c r="I40" s="24">
        <f t="shared" si="5"/>
        <v>491.97828028289</v>
      </c>
      <c r="J40" s="28"/>
      <c r="L40" s="26"/>
      <c r="M40" s="26"/>
    </row>
    <row r="41" s="3" customFormat="1" ht="15" customHeight="1" spans="1:13">
      <c r="A41" s="20">
        <v>2</v>
      </c>
      <c r="B41" s="15" t="s">
        <v>55</v>
      </c>
      <c r="C41" s="17">
        <f>SUM(C42:C46)</f>
        <v>157.62</v>
      </c>
      <c r="D41" s="17"/>
      <c r="E41" s="17"/>
      <c r="F41" s="17">
        <f t="shared" si="0"/>
        <v>157.62</v>
      </c>
      <c r="G41" s="15" t="s">
        <v>18</v>
      </c>
      <c r="H41" s="17">
        <v>650.56</v>
      </c>
      <c r="I41" s="21">
        <f t="shared" si="5"/>
        <v>2422.83571077226</v>
      </c>
      <c r="J41" s="19"/>
      <c r="L41" s="26"/>
      <c r="M41" s="26"/>
    </row>
    <row r="42" s="3" customFormat="1" ht="15" customHeight="1" spans="1:13">
      <c r="A42" s="15"/>
      <c r="B42" s="22" t="s">
        <v>19</v>
      </c>
      <c r="C42" s="23">
        <v>88.83</v>
      </c>
      <c r="D42" s="23"/>
      <c r="E42" s="23"/>
      <c r="F42" s="23">
        <f t="shared" si="0"/>
        <v>88.83</v>
      </c>
      <c r="G42" s="22" t="s">
        <v>18</v>
      </c>
      <c r="H42" s="23">
        <v>650.56</v>
      </c>
      <c r="I42" s="24">
        <f t="shared" si="5"/>
        <v>1365.43900639449</v>
      </c>
      <c r="J42" s="19"/>
      <c r="L42" s="26"/>
      <c r="M42" s="26"/>
    </row>
    <row r="43" s="3" customFormat="1" ht="15" customHeight="1" spans="1:13">
      <c r="A43" s="15"/>
      <c r="B43" s="22" t="s">
        <v>20</v>
      </c>
      <c r="C43" s="23">
        <v>3.9</v>
      </c>
      <c r="D43" s="23"/>
      <c r="E43" s="23"/>
      <c r="F43" s="23">
        <f t="shared" si="0"/>
        <v>3.9</v>
      </c>
      <c r="G43" s="22" t="s">
        <v>18</v>
      </c>
      <c r="H43" s="23">
        <v>650.56</v>
      </c>
      <c r="I43" s="24">
        <f t="shared" si="5"/>
        <v>59.9483521888834</v>
      </c>
      <c r="J43" s="19"/>
      <c r="L43" s="26"/>
      <c r="M43" s="26"/>
    </row>
    <row r="44" s="3" customFormat="1" ht="15" customHeight="1" spans="1:13">
      <c r="A44" s="15"/>
      <c r="B44" s="22" t="s">
        <v>21</v>
      </c>
      <c r="C44" s="23">
        <v>19.52</v>
      </c>
      <c r="D44" s="23"/>
      <c r="E44" s="23"/>
      <c r="F44" s="23">
        <f t="shared" si="0"/>
        <v>19.52</v>
      </c>
      <c r="G44" s="22" t="s">
        <v>18</v>
      </c>
      <c r="H44" s="23">
        <v>650.56</v>
      </c>
      <c r="I44" s="24">
        <f t="shared" si="5"/>
        <v>300.04918839154</v>
      </c>
      <c r="J44" s="19"/>
      <c r="L44" s="26"/>
      <c r="M44" s="26"/>
    </row>
    <row r="45" s="3" customFormat="1" ht="15" customHeight="1" spans="1:13">
      <c r="A45" s="15"/>
      <c r="B45" s="22" t="s">
        <v>22</v>
      </c>
      <c r="C45" s="23">
        <v>7.5</v>
      </c>
      <c r="D45" s="23"/>
      <c r="E45" s="23"/>
      <c r="F45" s="23">
        <f t="shared" si="0"/>
        <v>7.5</v>
      </c>
      <c r="G45" s="22" t="s">
        <v>23</v>
      </c>
      <c r="H45" s="23">
        <v>3</v>
      </c>
      <c r="I45" s="24">
        <f t="shared" si="5"/>
        <v>25000</v>
      </c>
      <c r="J45" s="19"/>
      <c r="L45" s="26"/>
      <c r="M45" s="26"/>
    </row>
    <row r="46" s="3" customFormat="1" ht="15" customHeight="1" spans="1:13">
      <c r="A46" s="15"/>
      <c r="B46" s="22" t="s">
        <v>24</v>
      </c>
      <c r="C46" s="23">
        <v>37.87</v>
      </c>
      <c r="D46" s="23"/>
      <c r="E46" s="23"/>
      <c r="F46" s="23">
        <f t="shared" si="0"/>
        <v>37.87</v>
      </c>
      <c r="G46" s="22" t="s">
        <v>23</v>
      </c>
      <c r="H46" s="23">
        <v>3</v>
      </c>
      <c r="I46" s="24">
        <f t="shared" si="5"/>
        <v>126233.333333333</v>
      </c>
      <c r="J46" s="19"/>
      <c r="L46" s="26"/>
      <c r="M46" s="26"/>
    </row>
    <row r="47" s="3" customFormat="1" ht="15" customHeight="1" spans="1:13">
      <c r="A47" s="20">
        <v>3</v>
      </c>
      <c r="B47" s="15" t="s">
        <v>56</v>
      </c>
      <c r="C47" s="17">
        <f>SUM(C48:C49)</f>
        <v>93.61</v>
      </c>
      <c r="D47" s="17"/>
      <c r="E47" s="17"/>
      <c r="F47" s="17">
        <f t="shared" si="0"/>
        <v>93.61</v>
      </c>
      <c r="G47" s="15" t="s">
        <v>18</v>
      </c>
      <c r="H47" s="17">
        <v>645.99</v>
      </c>
      <c r="I47" s="21">
        <f t="shared" si="5"/>
        <v>1449.09363922042</v>
      </c>
      <c r="J47" s="19"/>
      <c r="L47" s="26"/>
      <c r="M47" s="26"/>
    </row>
    <row r="48" s="3" customFormat="1" ht="15" customHeight="1" spans="1:13">
      <c r="A48" s="15"/>
      <c r="B48" s="22" t="s">
        <v>19</v>
      </c>
      <c r="C48" s="23">
        <v>90.06</v>
      </c>
      <c r="D48" s="23"/>
      <c r="E48" s="23"/>
      <c r="F48" s="23">
        <f t="shared" si="0"/>
        <v>90.06</v>
      </c>
      <c r="G48" s="22" t="s">
        <v>18</v>
      </c>
      <c r="H48" s="23">
        <v>645.99</v>
      </c>
      <c r="I48" s="24">
        <f t="shared" si="5"/>
        <v>1394.13922816143</v>
      </c>
      <c r="J48" s="19"/>
      <c r="L48" s="26"/>
      <c r="M48" s="26"/>
    </row>
    <row r="49" s="3" customFormat="1" ht="15" customHeight="1" spans="1:13">
      <c r="A49" s="15"/>
      <c r="B49" s="22" t="s">
        <v>21</v>
      </c>
      <c r="C49" s="23">
        <v>3.55</v>
      </c>
      <c r="D49" s="23"/>
      <c r="E49" s="23"/>
      <c r="F49" s="23">
        <f t="shared" si="0"/>
        <v>3.55</v>
      </c>
      <c r="G49" s="22" t="s">
        <v>18</v>
      </c>
      <c r="H49" s="23">
        <v>645.99</v>
      </c>
      <c r="I49" s="24">
        <f t="shared" si="5"/>
        <v>54.9544110589947</v>
      </c>
      <c r="J49" s="19"/>
      <c r="L49" s="26"/>
      <c r="M49" s="26"/>
    </row>
    <row r="50" s="3" customFormat="1" ht="15" customHeight="1" spans="1:13">
      <c r="A50" s="20">
        <v>4</v>
      </c>
      <c r="B50" s="15" t="s">
        <v>57</v>
      </c>
      <c r="C50" s="17">
        <f>SUM(C51:C53)</f>
        <v>6.39</v>
      </c>
      <c r="D50" s="17"/>
      <c r="E50" s="17"/>
      <c r="F50" s="17">
        <f t="shared" si="0"/>
        <v>6.39</v>
      </c>
      <c r="G50" s="15" t="s">
        <v>18</v>
      </c>
      <c r="H50" s="17">
        <f t="shared" ref="H50:H52" si="6">6*4</f>
        <v>24</v>
      </c>
      <c r="I50" s="21">
        <f t="shared" si="5"/>
        <v>2662.5</v>
      </c>
      <c r="J50" s="19"/>
      <c r="L50" s="26"/>
      <c r="M50" s="26"/>
    </row>
    <row r="51" s="3" customFormat="1" ht="15" customHeight="1" spans="1:13">
      <c r="A51" s="15"/>
      <c r="B51" s="22" t="s">
        <v>19</v>
      </c>
      <c r="C51" s="23">
        <v>5.96</v>
      </c>
      <c r="D51" s="23"/>
      <c r="E51" s="23"/>
      <c r="F51" s="23">
        <f t="shared" si="0"/>
        <v>5.96</v>
      </c>
      <c r="G51" s="22" t="s">
        <v>18</v>
      </c>
      <c r="H51" s="23">
        <f t="shared" si="6"/>
        <v>24</v>
      </c>
      <c r="I51" s="24">
        <f t="shared" si="5"/>
        <v>2483.33333333333</v>
      </c>
      <c r="J51" s="19"/>
      <c r="L51" s="26"/>
      <c r="M51" s="26"/>
    </row>
    <row r="52" s="3" customFormat="1" ht="15" customHeight="1" spans="1:13">
      <c r="A52" s="15"/>
      <c r="B52" s="22" t="s">
        <v>21</v>
      </c>
      <c r="C52" s="23">
        <v>0.13</v>
      </c>
      <c r="D52" s="23"/>
      <c r="E52" s="23"/>
      <c r="F52" s="23">
        <f t="shared" si="0"/>
        <v>0.13</v>
      </c>
      <c r="G52" s="22" t="s">
        <v>18</v>
      </c>
      <c r="H52" s="23">
        <f t="shared" si="6"/>
        <v>24</v>
      </c>
      <c r="I52" s="24">
        <f t="shared" si="5"/>
        <v>54.1666666666667</v>
      </c>
      <c r="J52" s="19"/>
      <c r="L52" s="26"/>
      <c r="M52" s="26"/>
    </row>
    <row r="53" s="4" customFormat="1" ht="15" customHeight="1" spans="1:13">
      <c r="A53" s="22"/>
      <c r="B53" s="22" t="s">
        <v>58</v>
      </c>
      <c r="C53" s="23">
        <v>0.3</v>
      </c>
      <c r="D53" s="23"/>
      <c r="E53" s="23"/>
      <c r="F53" s="23">
        <f t="shared" si="0"/>
        <v>0.3</v>
      </c>
      <c r="G53" s="22" t="s">
        <v>59</v>
      </c>
      <c r="H53" s="23">
        <v>1</v>
      </c>
      <c r="I53" s="24">
        <f t="shared" si="5"/>
        <v>3000</v>
      </c>
      <c r="J53" s="19"/>
      <c r="L53" s="27"/>
      <c r="M53" s="27"/>
    </row>
    <row r="54" s="3" customFormat="1" ht="15" customHeight="1" spans="1:13">
      <c r="A54" s="20">
        <v>5</v>
      </c>
      <c r="B54" s="15" t="s">
        <v>25</v>
      </c>
      <c r="C54" s="17">
        <f>SUM(C55:C59)</f>
        <v>21</v>
      </c>
      <c r="D54" s="17"/>
      <c r="E54" s="17"/>
      <c r="F54" s="17">
        <f t="shared" si="0"/>
        <v>21</v>
      </c>
      <c r="G54" s="25"/>
      <c r="H54" s="25"/>
      <c r="I54" s="24"/>
      <c r="J54" s="19"/>
      <c r="L54" s="26"/>
      <c r="M54" s="26"/>
    </row>
    <row r="55" s="3" customFormat="1" ht="15" customHeight="1" spans="1:13">
      <c r="A55" s="15"/>
      <c r="B55" s="22" t="s">
        <v>60</v>
      </c>
      <c r="C55" s="23">
        <v>15</v>
      </c>
      <c r="D55" s="23"/>
      <c r="E55" s="23"/>
      <c r="F55" s="23">
        <f t="shared" si="0"/>
        <v>15</v>
      </c>
      <c r="G55" s="22" t="s">
        <v>27</v>
      </c>
      <c r="H55" s="23">
        <v>1</v>
      </c>
      <c r="I55" s="24">
        <f t="shared" ref="I55:I59" si="7">F55/H55*10000</f>
        <v>150000</v>
      </c>
      <c r="J55" s="19"/>
      <c r="L55" s="26"/>
      <c r="M55" s="26"/>
    </row>
    <row r="56" s="3" customFormat="1" ht="15" customHeight="1" spans="1:13">
      <c r="A56" s="15"/>
      <c r="B56" s="22" t="s">
        <v>61</v>
      </c>
      <c r="C56" s="23">
        <v>1</v>
      </c>
      <c r="D56" s="23"/>
      <c r="E56" s="23"/>
      <c r="F56" s="23">
        <f t="shared" si="0"/>
        <v>1</v>
      </c>
      <c r="G56" s="22" t="s">
        <v>34</v>
      </c>
      <c r="H56" s="22">
        <v>50</v>
      </c>
      <c r="I56" s="24">
        <f t="shared" si="7"/>
        <v>200</v>
      </c>
      <c r="J56" s="19"/>
      <c r="L56" s="26"/>
      <c r="M56" s="26"/>
    </row>
    <row r="57" s="3" customFormat="1" ht="15" customHeight="1" spans="1:13">
      <c r="A57" s="15"/>
      <c r="B57" s="22" t="s">
        <v>62</v>
      </c>
      <c r="C57" s="23">
        <v>4</v>
      </c>
      <c r="D57" s="22"/>
      <c r="E57" s="22"/>
      <c r="F57" s="23">
        <f t="shared" si="0"/>
        <v>4</v>
      </c>
      <c r="G57" s="22" t="s">
        <v>34</v>
      </c>
      <c r="H57" s="22">
        <v>200</v>
      </c>
      <c r="I57" s="24">
        <f t="shared" si="7"/>
        <v>200</v>
      </c>
      <c r="J57" s="19"/>
      <c r="L57" s="26"/>
      <c r="M57" s="26"/>
    </row>
    <row r="58" s="3" customFormat="1" ht="15" customHeight="1" spans="1:13">
      <c r="A58" s="15"/>
      <c r="B58" s="22" t="s">
        <v>38</v>
      </c>
      <c r="C58" s="23">
        <v>0.7</v>
      </c>
      <c r="D58" s="23"/>
      <c r="E58" s="23"/>
      <c r="F58" s="23">
        <f t="shared" si="0"/>
        <v>0.7</v>
      </c>
      <c r="G58" s="22" t="s">
        <v>34</v>
      </c>
      <c r="H58" s="22">
        <f>H57+H56</f>
        <v>250</v>
      </c>
      <c r="I58" s="24">
        <f t="shared" si="7"/>
        <v>28</v>
      </c>
      <c r="J58" s="19"/>
      <c r="L58" s="26"/>
      <c r="M58" s="26"/>
    </row>
    <row r="59" s="3" customFormat="1" ht="15" customHeight="1" spans="1:13">
      <c r="A59" s="15"/>
      <c r="B59" s="22" t="s">
        <v>39</v>
      </c>
      <c r="C59" s="23">
        <v>0.3</v>
      </c>
      <c r="D59" s="23"/>
      <c r="E59" s="23"/>
      <c r="F59" s="23">
        <f t="shared" si="0"/>
        <v>0.3</v>
      </c>
      <c r="G59" s="22" t="s">
        <v>40</v>
      </c>
      <c r="H59" s="22">
        <f>H58*0.6*1.1</f>
        <v>165</v>
      </c>
      <c r="I59" s="24">
        <f t="shared" si="7"/>
        <v>18.1818181818182</v>
      </c>
      <c r="J59" s="19"/>
      <c r="L59" s="26"/>
      <c r="M59" s="26"/>
    </row>
    <row r="60" s="3" customFormat="1" ht="15" customHeight="1" spans="1:13">
      <c r="A60" s="20">
        <v>6</v>
      </c>
      <c r="B60" s="15" t="s">
        <v>63</v>
      </c>
      <c r="C60" s="17">
        <f>SUM(C61:C71)</f>
        <v>131.21</v>
      </c>
      <c r="D60" s="17"/>
      <c r="E60" s="17"/>
      <c r="F60" s="17">
        <f t="shared" si="0"/>
        <v>131.21</v>
      </c>
      <c r="G60" s="15"/>
      <c r="H60" s="15"/>
      <c r="I60" s="24"/>
      <c r="J60" s="19"/>
      <c r="L60" s="26"/>
      <c r="M60" s="26"/>
    </row>
    <row r="61" s="4" customFormat="1" ht="15" customHeight="1" spans="1:13">
      <c r="A61" s="22"/>
      <c r="B61" s="22" t="s">
        <v>64</v>
      </c>
      <c r="C61" s="23">
        <v>7.67</v>
      </c>
      <c r="D61" s="23"/>
      <c r="E61" s="23"/>
      <c r="F61" s="23">
        <f t="shared" si="0"/>
        <v>7.67</v>
      </c>
      <c r="G61" s="23" t="s">
        <v>27</v>
      </c>
      <c r="H61" s="23">
        <v>1</v>
      </c>
      <c r="I61" s="24">
        <f t="shared" ref="I61:I71" si="8">F61/H61*10000</f>
        <v>76700</v>
      </c>
      <c r="J61" s="19"/>
      <c r="L61" s="27"/>
      <c r="M61" s="27"/>
    </row>
    <row r="62" s="4" customFormat="1" ht="15" customHeight="1" spans="1:13">
      <c r="A62" s="22"/>
      <c r="B62" s="22" t="s">
        <v>65</v>
      </c>
      <c r="C62" s="23">
        <v>12</v>
      </c>
      <c r="D62" s="23"/>
      <c r="E62" s="23"/>
      <c r="F62" s="23">
        <f t="shared" si="0"/>
        <v>12</v>
      </c>
      <c r="G62" s="22" t="s">
        <v>23</v>
      </c>
      <c r="H62" s="23">
        <v>1</v>
      </c>
      <c r="I62" s="24">
        <f t="shared" si="8"/>
        <v>120000</v>
      </c>
      <c r="J62" s="19"/>
      <c r="L62" s="27"/>
      <c r="M62" s="27"/>
    </row>
    <row r="63" s="4" customFormat="1" ht="15" customHeight="1" spans="1:13">
      <c r="A63" s="22"/>
      <c r="B63" s="22" t="s">
        <v>66</v>
      </c>
      <c r="C63" s="23">
        <v>3.6</v>
      </c>
      <c r="D63" s="23"/>
      <c r="E63" s="23"/>
      <c r="F63" s="23">
        <f t="shared" si="0"/>
        <v>3.6</v>
      </c>
      <c r="G63" s="22" t="s">
        <v>23</v>
      </c>
      <c r="H63" s="23">
        <v>2</v>
      </c>
      <c r="I63" s="24">
        <f t="shared" si="8"/>
        <v>18000</v>
      </c>
      <c r="J63" s="19"/>
      <c r="L63" s="27"/>
      <c r="M63" s="27"/>
    </row>
    <row r="64" s="4" customFormat="1" ht="15" customHeight="1" spans="1:13">
      <c r="A64" s="22"/>
      <c r="B64" s="22" t="s">
        <v>67</v>
      </c>
      <c r="C64" s="23">
        <v>9</v>
      </c>
      <c r="D64" s="23"/>
      <c r="E64" s="23"/>
      <c r="F64" s="23">
        <f t="shared" si="0"/>
        <v>9</v>
      </c>
      <c r="G64" s="22" t="s">
        <v>23</v>
      </c>
      <c r="H64" s="23">
        <v>1</v>
      </c>
      <c r="I64" s="24">
        <f t="shared" si="8"/>
        <v>90000</v>
      </c>
      <c r="J64" s="19"/>
      <c r="L64" s="27"/>
      <c r="M64" s="27"/>
    </row>
    <row r="65" s="4" customFormat="1" ht="15" customHeight="1" spans="1:13">
      <c r="A65" s="22"/>
      <c r="B65" s="22" t="s">
        <v>68</v>
      </c>
      <c r="C65" s="23">
        <v>77.1</v>
      </c>
      <c r="D65" s="23"/>
      <c r="E65" s="23"/>
      <c r="F65" s="23">
        <f t="shared" si="0"/>
        <v>77.1</v>
      </c>
      <c r="G65" s="22" t="s">
        <v>18</v>
      </c>
      <c r="H65" s="23">
        <f>6313.21</f>
        <v>6313.21</v>
      </c>
      <c r="I65" s="24">
        <f t="shared" si="8"/>
        <v>122.124877835523</v>
      </c>
      <c r="J65" s="19"/>
      <c r="L65" s="27"/>
      <c r="M65" s="27"/>
    </row>
    <row r="66" s="4" customFormat="1" ht="15" customHeight="1" spans="1:13">
      <c r="A66" s="22"/>
      <c r="B66" s="22" t="s">
        <v>49</v>
      </c>
      <c r="C66" s="23">
        <v>0.89</v>
      </c>
      <c r="D66" s="23"/>
      <c r="E66" s="23"/>
      <c r="F66" s="23">
        <f t="shared" si="0"/>
        <v>0.89</v>
      </c>
      <c r="G66" s="22" t="s">
        <v>18</v>
      </c>
      <c r="H66" s="23">
        <v>8959.87</v>
      </c>
      <c r="I66" s="24">
        <f t="shared" si="8"/>
        <v>0.993317983408241</v>
      </c>
      <c r="J66" s="19"/>
      <c r="L66" s="27"/>
      <c r="M66" s="27"/>
    </row>
    <row r="67" s="4" customFormat="1" ht="15" customHeight="1" spans="1:13">
      <c r="A67" s="22"/>
      <c r="B67" s="22" t="s">
        <v>69</v>
      </c>
      <c r="C67" s="23">
        <v>4.82</v>
      </c>
      <c r="D67" s="23"/>
      <c r="E67" s="23"/>
      <c r="F67" s="23">
        <f t="shared" si="0"/>
        <v>4.82</v>
      </c>
      <c r="G67" s="22" t="s">
        <v>18</v>
      </c>
      <c r="H67" s="23">
        <f>367+42+416+430+423+400</f>
        <v>2078</v>
      </c>
      <c r="I67" s="24">
        <f t="shared" si="8"/>
        <v>23.1953801732435</v>
      </c>
      <c r="J67" s="19"/>
      <c r="L67" s="27"/>
      <c r="M67" s="27"/>
    </row>
    <row r="68" s="4" customFormat="1" ht="15" customHeight="1" spans="1:13">
      <c r="A68" s="22"/>
      <c r="B68" s="22" t="s">
        <v>70</v>
      </c>
      <c r="C68" s="23">
        <v>0.81</v>
      </c>
      <c r="D68" s="22"/>
      <c r="E68" s="22"/>
      <c r="F68" s="23">
        <f t="shared" si="0"/>
        <v>0.81</v>
      </c>
      <c r="G68" s="22" t="s">
        <v>34</v>
      </c>
      <c r="H68" s="23">
        <v>381</v>
      </c>
      <c r="I68" s="24">
        <f t="shared" si="8"/>
        <v>21.259842519685</v>
      </c>
      <c r="J68" s="19"/>
      <c r="L68" s="27"/>
      <c r="M68" s="27"/>
    </row>
    <row r="69" s="4" customFormat="1" ht="15" customHeight="1" spans="1:13">
      <c r="A69" s="22"/>
      <c r="B69" s="22" t="s">
        <v>71</v>
      </c>
      <c r="C69" s="23">
        <v>2.21</v>
      </c>
      <c r="D69" s="22"/>
      <c r="E69" s="22"/>
      <c r="F69" s="23">
        <f t="shared" si="0"/>
        <v>2.21</v>
      </c>
      <c r="G69" s="22" t="s">
        <v>23</v>
      </c>
      <c r="H69" s="23">
        <v>1</v>
      </c>
      <c r="I69" s="24">
        <f t="shared" si="8"/>
        <v>22100</v>
      </c>
      <c r="J69" s="19"/>
      <c r="L69" s="27"/>
      <c r="M69" s="27"/>
    </row>
    <row r="70" s="4" customFormat="1" ht="15" customHeight="1" spans="1:13">
      <c r="A70" s="22"/>
      <c r="B70" s="22" t="s">
        <v>72</v>
      </c>
      <c r="C70" s="23">
        <v>9.65</v>
      </c>
      <c r="D70" s="22"/>
      <c r="E70" s="22"/>
      <c r="F70" s="23">
        <f>C70</f>
        <v>9.65</v>
      </c>
      <c r="G70" s="22" t="s">
        <v>34</v>
      </c>
      <c r="H70" s="22">
        <v>371</v>
      </c>
      <c r="I70" s="24">
        <f t="shared" si="8"/>
        <v>260.10781671159</v>
      </c>
      <c r="J70" s="19"/>
      <c r="L70" s="27"/>
      <c r="M70" s="27"/>
    </row>
    <row r="71" s="4" customFormat="1" ht="15" customHeight="1" spans="1:13">
      <c r="A71" s="22"/>
      <c r="B71" s="22" t="s">
        <v>73</v>
      </c>
      <c r="C71" s="23">
        <v>3.46</v>
      </c>
      <c r="D71" s="22"/>
      <c r="E71" s="22"/>
      <c r="F71" s="23">
        <f>C71</f>
        <v>3.46</v>
      </c>
      <c r="G71" s="22" t="s">
        <v>23</v>
      </c>
      <c r="H71" s="23">
        <v>1</v>
      </c>
      <c r="I71" s="24">
        <f t="shared" si="8"/>
        <v>34600</v>
      </c>
      <c r="J71" s="29"/>
      <c r="L71" s="27"/>
      <c r="M71" s="27"/>
    </row>
    <row r="72" s="3" customFormat="1" ht="15" customHeight="1" spans="1:13">
      <c r="A72" s="15" t="s">
        <v>74</v>
      </c>
      <c r="B72" s="15" t="s">
        <v>5</v>
      </c>
      <c r="C72" s="15"/>
      <c r="D72" s="15">
        <f>SUM(D73:D79)</f>
        <v>79.4206</v>
      </c>
      <c r="E72" s="15"/>
      <c r="F72" s="15">
        <f t="shared" ref="F72:F79" si="9">D72</f>
        <v>79.4206</v>
      </c>
      <c r="G72" s="15"/>
      <c r="H72" s="15"/>
      <c r="I72" s="15"/>
      <c r="J72" s="30">
        <f>F72/F81</f>
        <v>0.0618159339660376</v>
      </c>
      <c r="L72" s="26"/>
      <c r="M72" s="26"/>
    </row>
    <row r="73" s="3" customFormat="1" ht="15" customHeight="1" spans="1:13">
      <c r="A73" s="20">
        <v>1</v>
      </c>
      <c r="B73" s="22" t="s">
        <v>75</v>
      </c>
      <c r="C73" s="22"/>
      <c r="D73" s="22">
        <f>F6*3%</f>
        <v>35.0385</v>
      </c>
      <c r="E73" s="22"/>
      <c r="F73" s="22">
        <f t="shared" si="9"/>
        <v>35.0385</v>
      </c>
      <c r="G73" s="22" t="s">
        <v>59</v>
      </c>
      <c r="H73" s="22">
        <v>1</v>
      </c>
      <c r="I73" s="15"/>
      <c r="J73" s="30"/>
    </row>
    <row r="74" s="3" customFormat="1" ht="15" customHeight="1" spans="1:13">
      <c r="A74" s="20">
        <v>2</v>
      </c>
      <c r="B74" s="22" t="s">
        <v>76</v>
      </c>
      <c r="C74" s="22"/>
      <c r="D74" s="22">
        <f>F6*1.5%</f>
        <v>17.51925</v>
      </c>
      <c r="E74" s="22"/>
      <c r="F74" s="22">
        <f t="shared" si="9"/>
        <v>17.51925</v>
      </c>
      <c r="G74" s="22" t="s">
        <v>59</v>
      </c>
      <c r="H74" s="22">
        <v>1</v>
      </c>
      <c r="I74" s="15"/>
      <c r="J74" s="30"/>
    </row>
    <row r="75" s="3" customFormat="1" ht="15" customHeight="1" spans="1:13">
      <c r="A75" s="20">
        <v>3</v>
      </c>
      <c r="B75" s="22" t="s">
        <v>77</v>
      </c>
      <c r="C75" s="22"/>
      <c r="D75" s="22">
        <f>F6*0.5%</f>
        <v>5.83975</v>
      </c>
      <c r="E75" s="22"/>
      <c r="F75" s="22">
        <f t="shared" si="9"/>
        <v>5.83975</v>
      </c>
      <c r="G75" s="22" t="s">
        <v>59</v>
      </c>
      <c r="H75" s="22">
        <v>1</v>
      </c>
      <c r="I75" s="15"/>
      <c r="J75" s="30"/>
    </row>
    <row r="76" s="3" customFormat="1" ht="15" customHeight="1" spans="1:13">
      <c r="A76" s="20">
        <v>4</v>
      </c>
      <c r="B76" s="22" t="s">
        <v>78</v>
      </c>
      <c r="C76" s="22"/>
      <c r="D76" s="22">
        <f>F6*0.4%</f>
        <v>4.6718</v>
      </c>
      <c r="E76" s="22"/>
      <c r="F76" s="22">
        <f t="shared" si="9"/>
        <v>4.6718</v>
      </c>
      <c r="G76" s="22" t="s">
        <v>59</v>
      </c>
      <c r="H76" s="22">
        <v>1</v>
      </c>
      <c r="I76" s="15"/>
      <c r="J76" s="30"/>
    </row>
    <row r="77" s="3" customFormat="1" ht="15" customHeight="1" spans="1:13">
      <c r="A77" s="20">
        <v>5</v>
      </c>
      <c r="B77" s="22" t="s">
        <v>79</v>
      </c>
      <c r="C77" s="22"/>
      <c r="D77" s="22">
        <f>F6*0.2%</f>
        <v>2.3359</v>
      </c>
      <c r="E77" s="22"/>
      <c r="F77" s="22">
        <f t="shared" si="9"/>
        <v>2.3359</v>
      </c>
      <c r="G77" s="22" t="s">
        <v>59</v>
      </c>
      <c r="H77" s="22">
        <v>1</v>
      </c>
      <c r="I77" s="15"/>
      <c r="J77" s="30"/>
    </row>
    <row r="78" s="3" customFormat="1" ht="15" customHeight="1" spans="1:13">
      <c r="A78" s="20">
        <v>6</v>
      </c>
      <c r="B78" s="22" t="s">
        <v>80</v>
      </c>
      <c r="C78" s="22"/>
      <c r="D78" s="22">
        <f>F6*0.6%</f>
        <v>7.0077</v>
      </c>
      <c r="E78" s="22"/>
      <c r="F78" s="22">
        <f t="shared" si="9"/>
        <v>7.0077</v>
      </c>
      <c r="G78" s="22" t="s">
        <v>59</v>
      </c>
      <c r="H78" s="22">
        <v>1</v>
      </c>
      <c r="I78" s="15"/>
      <c r="J78" s="30"/>
    </row>
    <row r="79" s="3" customFormat="1" ht="15" customHeight="1" spans="1:13">
      <c r="A79" s="20">
        <v>7</v>
      </c>
      <c r="B79" s="22" t="s">
        <v>81</v>
      </c>
      <c r="C79" s="22"/>
      <c r="D79" s="22">
        <f>F6*0.6%</f>
        <v>7.0077</v>
      </c>
      <c r="E79" s="22"/>
      <c r="F79" s="22">
        <f t="shared" si="9"/>
        <v>7.0077</v>
      </c>
      <c r="G79" s="22" t="s">
        <v>59</v>
      </c>
      <c r="H79" s="22">
        <v>1</v>
      </c>
      <c r="I79" s="15"/>
      <c r="J79" s="30"/>
    </row>
    <row r="80" s="3" customFormat="1" ht="15" customHeight="1" spans="1:13">
      <c r="A80" s="15" t="s">
        <v>82</v>
      </c>
      <c r="B80" s="15" t="s">
        <v>83</v>
      </c>
      <c r="C80" s="15"/>
      <c r="D80" s="15"/>
      <c r="E80" s="15">
        <f>(F6+F72)*0.03</f>
        <v>37.421118</v>
      </c>
      <c r="F80" s="15">
        <f>E80</f>
        <v>37.421118</v>
      </c>
      <c r="G80" s="22"/>
      <c r="H80" s="22"/>
      <c r="I80" s="15"/>
      <c r="J80" s="31">
        <f>F80/F81</f>
        <v>0.029126213592233</v>
      </c>
    </row>
    <row r="81" s="3" customFormat="1" ht="28" customHeight="1" spans="1:10">
      <c r="A81" s="32" t="s">
        <v>84</v>
      </c>
      <c r="B81" s="32"/>
      <c r="C81" s="33">
        <f>C6</f>
        <v>1167.95</v>
      </c>
      <c r="D81" s="33">
        <f>D72</f>
        <v>79.4206</v>
      </c>
      <c r="E81" s="33">
        <f>E80</f>
        <v>37.421118</v>
      </c>
      <c r="F81" s="33">
        <f>C81+D81+E81</f>
        <v>1284.791718</v>
      </c>
      <c r="G81" s="34"/>
      <c r="H81" s="34"/>
      <c r="I81" s="34"/>
      <c r="J81" s="35">
        <f>J72+J6+J80</f>
        <v>1</v>
      </c>
    </row>
  </sheetData>
  <mergeCells count="13">
    <mergeCell ref="A3:I3"/>
    <mergeCell ref="G4:I4"/>
    <mergeCell ref="A81:B81"/>
    <mergeCell ref="A4:A5"/>
    <mergeCell ref="B4:B5"/>
    <mergeCell ref="C4:C5"/>
    <mergeCell ref="D4:D5"/>
    <mergeCell ref="E4:E5"/>
    <mergeCell ref="F4:F5"/>
    <mergeCell ref="J4:J5"/>
    <mergeCell ref="J6:J71"/>
    <mergeCell ref="J72:J79"/>
    <mergeCell ref="A1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T-转瞬即逝</cp:lastModifiedBy>
  <dcterms:created xsi:type="dcterms:W3CDTF">2026-05-06T07:51:06Z</dcterms:created>
  <dcterms:modified xsi:type="dcterms:W3CDTF">2026-05-06T07:53:21Z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73EAF8CB8C714924A31E0BF3E91C8759_11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