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概算" sheetId="1" r:id="rId1"/>
  </sheets>
  <definedNames>
    <definedName name="_xlnm.Print_Titles" localSheetId="0">概算!$2:$2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<sst xmlns="http://schemas.openxmlformats.org/spreadsheetml/2006/main" count="139" uniqueCount="96">
  <si>
    <t>平罗县鼓楼南片区老旧街区改造项目投资概算表</t>
  </si>
  <si>
    <t>序号</t>
  </si>
  <si>
    <t>工程名称</t>
  </si>
  <si>
    <t>建筑工程</t>
  </si>
  <si>
    <t>安装工程</t>
  </si>
  <si>
    <t>设备工程</t>
  </si>
  <si>
    <t>其他费用</t>
  </si>
  <si>
    <t>合计（万元）</t>
  </si>
  <si>
    <t>单位</t>
  </si>
  <si>
    <t>数量</t>
  </si>
  <si>
    <t>单价（元）</t>
  </si>
  <si>
    <t>占投资额</t>
  </si>
  <si>
    <t>一</t>
  </si>
  <si>
    <t>建安工程费</t>
  </si>
  <si>
    <t>（一）</t>
  </si>
  <si>
    <t>老旧街区风貌提升</t>
  </si>
  <si>
    <t>一）</t>
  </si>
  <si>
    <t>翰林大街（玉皇阁大道至唐徕渠）提升改造段</t>
  </si>
  <si>
    <t>土建工程</t>
  </si>
  <si>
    <t>人行道改造</t>
  </si>
  <si>
    <t>㎡</t>
  </si>
  <si>
    <t>外立面改造工程</t>
  </si>
  <si>
    <t>一幼小游园旁山墙改造</t>
  </si>
  <si>
    <t>人民路小游园旁山墙改造</t>
  </si>
  <si>
    <t>单体建筑（德润集团）外立面亮化改造</t>
  </si>
  <si>
    <t>绿化工程</t>
  </si>
  <si>
    <t>行道树及绿篱</t>
  </si>
  <si>
    <t>翰林大街与玉皇阁大道西南角游园</t>
  </si>
  <si>
    <t>翰林大街与人民东路东北角游园</t>
  </si>
  <si>
    <t>翰林大街与人民东路东南角停车场</t>
  </si>
  <si>
    <t>电气工程</t>
  </si>
  <si>
    <t>行道树缠树灯布设</t>
  </si>
  <si>
    <t>m</t>
  </si>
  <si>
    <t>二）</t>
  </si>
  <si>
    <t>唐徕渠（怀远大街至玉龚路）带状休闲空间提升改造段</t>
  </si>
  <si>
    <t>人行道</t>
  </si>
  <si>
    <t>节点一（民族大街——萧公大街段小广场）</t>
  </si>
  <si>
    <t>节点二（萧关大街至翰林大街段、金水湖畔小区入口西侧小广场）</t>
  </si>
  <si>
    <t>节点三（萧关大街至翰林大街段、金水湖畔小区入口东侧小广场）</t>
  </si>
  <si>
    <t>节点四（鼓楼南街至东苑街段侧小广场）</t>
  </si>
  <si>
    <t>节点五（东苑街到鼓楼东街段，即东侧东苑街，唐徕渠北侧现状小广场）</t>
  </si>
  <si>
    <t>节点六（鼓楼东街至团结东路段、鼓楼东街北侧唐徕渠西侧的现有活动场地）</t>
  </si>
  <si>
    <t>节点七（团结东街至玉龚路段、鼓楼东街北侧唐徕渠东侧的现有活动场地）</t>
  </si>
  <si>
    <t>附属设施</t>
  </si>
  <si>
    <t>套</t>
  </si>
  <si>
    <t>唐徕渠两侧行道树与绿篱</t>
  </si>
  <si>
    <t>唐徕渠游园改造</t>
  </si>
  <si>
    <t>唐徕渠两侧绿化带改造</t>
  </si>
  <si>
    <t>灌溉工程</t>
  </si>
  <si>
    <t>路灯更换及新建</t>
  </si>
  <si>
    <t>（二）</t>
  </si>
  <si>
    <t>老旧建筑改造</t>
  </si>
  <si>
    <t>老粮食局建筑改造</t>
  </si>
  <si>
    <t>改造建筑外立面面积约960㎡、屋面面积600㎡、更换外立面门窗、修补室外无障碍坡道及台阶、增设外墙及屋面保温层；</t>
  </si>
  <si>
    <t>老水务局建筑改造</t>
  </si>
  <si>
    <t>改造建筑外立面面积约1250㎡、屋面面积450㎡、更换外立面门窗、修补室外无障碍坡道及台阶、增设外墙及屋面保温层。</t>
  </si>
  <si>
    <t>（三）</t>
  </si>
  <si>
    <t>停车场改造</t>
  </si>
  <si>
    <t>新增停车位</t>
  </si>
  <si>
    <t>充电桩</t>
  </si>
  <si>
    <t>台</t>
  </si>
  <si>
    <t>公交站台设施提升</t>
  </si>
  <si>
    <t>组</t>
  </si>
  <si>
    <t>二</t>
  </si>
  <si>
    <t>工程建设其他费用</t>
  </si>
  <si>
    <t>项目建设单位管理费</t>
  </si>
  <si>
    <t>工程直接费*1.2%</t>
  </si>
  <si>
    <t>地质勘察测量费</t>
  </si>
  <si>
    <t>工程直接费*0.5%</t>
  </si>
  <si>
    <t>设计费</t>
  </si>
  <si>
    <t>工程直接费*3%</t>
  </si>
  <si>
    <t>BIM技术服务费</t>
  </si>
  <si>
    <t>施工图设计审查费</t>
  </si>
  <si>
    <t>设计费*6.5%</t>
  </si>
  <si>
    <t>清单及招标控制价编制</t>
  </si>
  <si>
    <t>财务决算编制、审核</t>
  </si>
  <si>
    <t>工程直接费*0.3%</t>
  </si>
  <si>
    <t>竣工结算审核</t>
  </si>
  <si>
    <t>工程直接费*0.27%</t>
  </si>
  <si>
    <t>工程招标服务费</t>
  </si>
  <si>
    <t>工程监理费</t>
  </si>
  <si>
    <t>工程直接费*1.5%</t>
  </si>
  <si>
    <t>可研编制评估费</t>
  </si>
  <si>
    <t>工程直接费*0.4%</t>
  </si>
  <si>
    <t>环境影响咨询评价</t>
  </si>
  <si>
    <t>工程直接费*0.35%</t>
  </si>
  <si>
    <t>研究试验费</t>
  </si>
  <si>
    <t>工程直接费*0.8%</t>
  </si>
  <si>
    <t>三</t>
  </si>
  <si>
    <t>预备费</t>
  </si>
  <si>
    <t>（工程直接费+其他费）*5%</t>
  </si>
  <si>
    <t>四</t>
  </si>
  <si>
    <t>建设期利息</t>
  </si>
  <si>
    <t>五</t>
  </si>
  <si>
    <t>总价（万元）</t>
  </si>
  <si>
    <t>一+二+三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</si>
</sst>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"/>
  <sheetViews>
    <sheetView tabSelected="1" zoomScale="80" zoomScaleNormal="80" workbookViewId="0">
      <selection activeCell="A45" sqref="$A45:$XFD46"/>
    </sheetView>
  </sheetViews>
  <sheetFormatPr defaultColWidth="9" defaultRowHeight="14.25"/>
  <cols>
    <col min="1" max="1" width="6.46666666666667" customWidth="1"/>
    <col min="2" max="2" width="72.025" customWidth="1"/>
    <col min="3" max="3" width="12.3166666666667" hidden="1" customWidth="1"/>
    <col min="4" max="4" width="11.7833333333333" hidden="1" customWidth="1"/>
    <col min="5" max="5" width="9.84166666666667" customWidth="1"/>
    <col min="6" max="6" width="9.68333333333333" customWidth="1"/>
    <col min="7" max="7" width="12.6583333333333" customWidth="1"/>
    <col min="8" max="8" width="11.0666666666667" customWidth="1"/>
    <col min="9" max="9" width="13.2333333333333" customWidth="1"/>
    <col min="10" max="10" width="12.475" customWidth="1"/>
    <col min="11" max="11" width="52.8083333333333" customWidth="1"/>
    <col min="12" max="12" width="11.4916666666667" customWidth="1"/>
    <col min="14" max="14" width="12.625"/>
    <col min="15" max="15" width="9.375"/>
  </cols>
  <sheetData>
    <row r="1" ht="37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1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9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2" customFormat="1" ht="20" customHeight="1" spans="1:11">
      <c r="A3" s="8" t="s">
        <v>12</v>
      </c>
      <c r="B3" s="8" t="s">
        <v>13</v>
      </c>
      <c r="C3" s="9">
        <f>C4+C44+C47</f>
        <v>3844.6</v>
      </c>
      <c r="D3" s="9">
        <f>D4+D44+D47</f>
        <v>513.71</v>
      </c>
      <c r="E3" s="9"/>
      <c r="F3" s="9"/>
      <c r="G3" s="9">
        <f>G4+G44+G47</f>
        <v>4358.31</v>
      </c>
      <c r="H3" s="17"/>
      <c r="I3" s="17"/>
      <c r="J3" s="17"/>
      <c r="K3" s="22">
        <f>G3/G67+0.0001</f>
        <v>0.8548</v>
      </c>
    </row>
    <row r="4" s="2" customFormat="1" ht="20" customHeight="1" spans="1:11">
      <c r="A4" s="8" t="s">
        <v>14</v>
      </c>
      <c r="B4" s="8" t="s">
        <v>15</v>
      </c>
      <c r="C4" s="9">
        <f>C5+C19</f>
        <v>3518.63</v>
      </c>
      <c r="D4" s="9">
        <f>D5+D19</f>
        <v>513.71</v>
      </c>
      <c r="E4" s="9"/>
      <c r="F4" s="9"/>
      <c r="G4" s="9">
        <f>G5+G19</f>
        <v>4032.34</v>
      </c>
      <c r="H4" s="17"/>
      <c r="I4" s="17"/>
      <c r="J4" s="17"/>
      <c r="K4" s="22"/>
    </row>
    <row r="5" s="2" customFormat="1" ht="20" customHeight="1" spans="1:11">
      <c r="A5" s="8" t="s">
        <v>16</v>
      </c>
      <c r="B5" s="8" t="s">
        <v>17</v>
      </c>
      <c r="C5" s="10">
        <f>C6+C8+C12+C17</f>
        <v>524.85</v>
      </c>
      <c r="D5" s="10">
        <f>D6+D8+D12+D17</f>
        <v>89.05</v>
      </c>
      <c r="E5" s="10"/>
      <c r="F5" s="10"/>
      <c r="G5" s="10">
        <f>G6+G8+G12+G17</f>
        <v>613.9</v>
      </c>
      <c r="H5" s="17"/>
      <c r="I5" s="17"/>
      <c r="J5" s="17"/>
      <c r="K5" s="22"/>
    </row>
    <row r="6" s="3" customFormat="1" ht="20" customHeight="1" spans="1:11">
      <c r="A6" s="8">
        <v>1</v>
      </c>
      <c r="B6" s="8" t="s">
        <v>18</v>
      </c>
      <c r="C6" s="9">
        <f>C7</f>
        <v>211.37</v>
      </c>
      <c r="D6" s="9">
        <f>D7</f>
        <v>70.46</v>
      </c>
      <c r="E6" s="8"/>
      <c r="F6" s="8"/>
      <c r="G6" s="8">
        <f>G7</f>
        <v>281.83</v>
      </c>
      <c r="H6" s="17"/>
      <c r="I6" s="17"/>
      <c r="J6" s="17"/>
      <c r="K6" s="22"/>
    </row>
    <row r="7" s="4" customFormat="1" ht="20" customHeight="1" spans="1:11">
      <c r="A7" s="11">
        <v>1.1</v>
      </c>
      <c r="B7" s="11" t="s">
        <v>19</v>
      </c>
      <c r="C7" s="12">
        <f>G7*75%</f>
        <v>211.37</v>
      </c>
      <c r="D7" s="11">
        <f>G7-C7</f>
        <v>70.46</v>
      </c>
      <c r="E7" s="11"/>
      <c r="F7" s="11"/>
      <c r="G7" s="11">
        <v>281.83</v>
      </c>
      <c r="H7" s="11" t="s">
        <v>20</v>
      </c>
      <c r="I7" s="11">
        <f>7500+5400</f>
        <v>12900</v>
      </c>
      <c r="J7" s="12">
        <f>G7*10000/I7</f>
        <v>218.47</v>
      </c>
      <c r="K7" s="23"/>
    </row>
    <row r="8" s="3" customFormat="1" ht="20" customHeight="1" spans="1:11">
      <c r="A8" s="8">
        <v>2</v>
      </c>
      <c r="B8" s="13" t="s">
        <v>21</v>
      </c>
      <c r="C8" s="8">
        <f>SUM(C9:C11)</f>
        <v>44.27</v>
      </c>
      <c r="D8" s="8"/>
      <c r="E8" s="8"/>
      <c r="F8" s="8"/>
      <c r="G8" s="8">
        <f>SUM(G9:G11)</f>
        <v>44.27</v>
      </c>
      <c r="H8" s="8"/>
      <c r="I8" s="8"/>
      <c r="J8" s="9"/>
      <c r="K8" s="22"/>
    </row>
    <row r="9" s="2" customFormat="1" ht="20" customHeight="1" spans="1:11">
      <c r="A9" s="14">
        <v>2.1</v>
      </c>
      <c r="B9" s="15" t="s">
        <v>22</v>
      </c>
      <c r="C9" s="16">
        <f>G9</f>
        <v>12.74</v>
      </c>
      <c r="D9" s="16"/>
      <c r="E9" s="14"/>
      <c r="F9" s="14"/>
      <c r="G9" s="14">
        <v>12.74</v>
      </c>
      <c r="H9" s="11" t="s">
        <v>20</v>
      </c>
      <c r="I9" s="14">
        <v>140</v>
      </c>
      <c r="J9" s="12">
        <f>G9*10000/I9</f>
        <v>910</v>
      </c>
      <c r="K9" s="24"/>
    </row>
    <row r="10" s="2" customFormat="1" ht="20" customHeight="1" spans="1:11">
      <c r="A10" s="14">
        <v>2.2</v>
      </c>
      <c r="B10" s="15" t="s">
        <v>23</v>
      </c>
      <c r="C10" s="16">
        <f>G10</f>
        <v>6.08</v>
      </c>
      <c r="D10" s="16"/>
      <c r="E10" s="14"/>
      <c r="F10" s="14"/>
      <c r="G10" s="14">
        <v>6.08</v>
      </c>
      <c r="H10" s="11" t="s">
        <v>20</v>
      </c>
      <c r="I10" s="14">
        <v>170</v>
      </c>
      <c r="J10" s="12">
        <f>G10*10000/I10</f>
        <v>357.65</v>
      </c>
      <c r="K10" s="24"/>
    </row>
    <row r="11" s="2" customFormat="1" ht="20" customHeight="1" spans="1:11">
      <c r="A11" s="14">
        <v>2.3</v>
      </c>
      <c r="B11" s="11" t="s">
        <v>24</v>
      </c>
      <c r="C11" s="16">
        <f>G11</f>
        <v>25.45</v>
      </c>
      <c r="D11" s="16"/>
      <c r="E11" s="14"/>
      <c r="F11" s="14"/>
      <c r="G11" s="14">
        <v>25.45</v>
      </c>
      <c r="H11" s="11" t="s">
        <v>20</v>
      </c>
      <c r="I11" s="14">
        <f>57*22.5</f>
        <v>1282.5</v>
      </c>
      <c r="J11" s="12">
        <f>G11*10000/I11</f>
        <v>198.44</v>
      </c>
      <c r="K11" s="24"/>
    </row>
    <row r="12" s="3" customFormat="1" ht="20" customHeight="1" spans="1:11">
      <c r="A12" s="8">
        <v>3</v>
      </c>
      <c r="B12" s="8" t="s">
        <v>25</v>
      </c>
      <c r="C12" s="8">
        <f>SUM(C13:C16)</f>
        <v>213.44</v>
      </c>
      <c r="D12" s="8"/>
      <c r="E12" s="8"/>
      <c r="F12" s="8"/>
      <c r="G12" s="8">
        <f>SUM(G13:G16)</f>
        <v>213.44</v>
      </c>
      <c r="H12" s="8"/>
      <c r="I12" s="8"/>
      <c r="J12" s="9"/>
      <c r="K12" s="22"/>
    </row>
    <row r="13" s="2" customFormat="1" ht="20" customHeight="1" spans="1:11">
      <c r="A13" s="14">
        <v>3.1</v>
      </c>
      <c r="B13" s="11" t="s">
        <v>26</v>
      </c>
      <c r="C13" s="16">
        <f>G13</f>
        <v>66.38</v>
      </c>
      <c r="D13" s="16"/>
      <c r="E13" s="14"/>
      <c r="F13" s="14"/>
      <c r="G13" s="16">
        <v>66.38</v>
      </c>
      <c r="H13" s="11" t="s">
        <v>20</v>
      </c>
      <c r="I13" s="14">
        <v>2690.75</v>
      </c>
      <c r="J13" s="12">
        <f>G13*10000/I13</f>
        <v>246.7</v>
      </c>
      <c r="K13" s="24"/>
    </row>
    <row r="14" s="3" customFormat="1" ht="20" customHeight="1" spans="1:11">
      <c r="A14" s="14">
        <v>3.2</v>
      </c>
      <c r="B14" s="11" t="s">
        <v>27</v>
      </c>
      <c r="C14" s="16">
        <f>G14</f>
        <v>56.31</v>
      </c>
      <c r="D14" s="9"/>
      <c r="E14" s="8"/>
      <c r="F14" s="11"/>
      <c r="G14" s="11">
        <v>56.31</v>
      </c>
      <c r="H14" s="11" t="s">
        <v>20</v>
      </c>
      <c r="I14" s="11">
        <v>2194</v>
      </c>
      <c r="J14" s="12">
        <f>G14*10000/I14</f>
        <v>256.65</v>
      </c>
      <c r="K14" s="22"/>
    </row>
    <row r="15" s="3" customFormat="1" ht="20" customHeight="1" spans="1:11">
      <c r="A15" s="14">
        <v>3.3</v>
      </c>
      <c r="B15" s="11" t="s">
        <v>28</v>
      </c>
      <c r="C15" s="16">
        <f>G15</f>
        <v>78.48</v>
      </c>
      <c r="D15" s="9"/>
      <c r="E15" s="8"/>
      <c r="F15" s="11"/>
      <c r="G15" s="11">
        <v>78.48</v>
      </c>
      <c r="H15" s="11" t="s">
        <v>20</v>
      </c>
      <c r="I15" s="11">
        <v>4869</v>
      </c>
      <c r="J15" s="12">
        <f>G15*10000/I15</f>
        <v>161.18</v>
      </c>
      <c r="K15" s="22"/>
    </row>
    <row r="16" s="3" customFormat="1" ht="20" customHeight="1" spans="1:11">
      <c r="A16" s="14">
        <v>3.4</v>
      </c>
      <c r="B16" s="11" t="s">
        <v>29</v>
      </c>
      <c r="C16" s="16">
        <f>G16</f>
        <v>12.27</v>
      </c>
      <c r="D16" s="9"/>
      <c r="E16" s="8"/>
      <c r="F16" s="11"/>
      <c r="G16" s="11">
        <v>12.27</v>
      </c>
      <c r="H16" s="11" t="s">
        <v>20</v>
      </c>
      <c r="I16" s="11">
        <v>691</v>
      </c>
      <c r="J16" s="12">
        <f>G16*10000/I16</f>
        <v>177.57</v>
      </c>
      <c r="K16" s="22"/>
    </row>
    <row r="17" s="3" customFormat="1" ht="20" customHeight="1" spans="1:11">
      <c r="A17" s="8">
        <v>4</v>
      </c>
      <c r="B17" s="8" t="s">
        <v>30</v>
      </c>
      <c r="C17" s="8">
        <f>SUM(C18)</f>
        <v>55.77</v>
      </c>
      <c r="D17" s="8">
        <f>SUM(D18)</f>
        <v>18.59</v>
      </c>
      <c r="E17" s="8"/>
      <c r="F17" s="8"/>
      <c r="G17" s="8">
        <f>SUM(G18)</f>
        <v>74.36</v>
      </c>
      <c r="H17" s="8"/>
      <c r="I17" s="8"/>
      <c r="J17" s="9"/>
      <c r="K17" s="22"/>
    </row>
    <row r="18" s="3" customFormat="1" ht="20" customHeight="1" spans="1:11">
      <c r="A18" s="14">
        <v>4.1</v>
      </c>
      <c r="B18" s="11" t="s">
        <v>31</v>
      </c>
      <c r="C18" s="9">
        <f>G18*75%</f>
        <v>55.77</v>
      </c>
      <c r="D18" s="9">
        <f>G18-C18</f>
        <v>18.59</v>
      </c>
      <c r="E18" s="8"/>
      <c r="F18" s="8"/>
      <c r="G18" s="11">
        <v>74.36</v>
      </c>
      <c r="H18" s="11" t="s">
        <v>32</v>
      </c>
      <c r="I18" s="11">
        <v>20150</v>
      </c>
      <c r="J18" s="12">
        <f>G18*10000/I18</f>
        <v>36.9</v>
      </c>
      <c r="K18" s="22"/>
    </row>
    <row r="19" s="3" customFormat="1" ht="20" customHeight="1" spans="1:11">
      <c r="A19" s="8" t="s">
        <v>33</v>
      </c>
      <c r="B19" s="8" t="s">
        <v>34</v>
      </c>
      <c r="C19" s="9">
        <f>C20+C30+C34+C35</f>
        <v>2993.78</v>
      </c>
      <c r="D19" s="9">
        <f>D20+D30+D34+D35</f>
        <v>424.66</v>
      </c>
      <c r="E19" s="9"/>
      <c r="F19" s="9"/>
      <c r="G19" s="9">
        <f>G20+G30+G34+G35</f>
        <v>3418.44</v>
      </c>
      <c r="H19" s="8"/>
      <c r="I19" s="8"/>
      <c r="J19" s="9"/>
      <c r="K19" s="22"/>
    </row>
    <row r="20" s="3" customFormat="1" ht="20" customHeight="1" spans="1:11">
      <c r="A20" s="8">
        <v>1</v>
      </c>
      <c r="B20" s="8" t="s">
        <v>18</v>
      </c>
      <c r="C20" s="9">
        <f>SUM(C21:C29)</f>
        <v>647.08</v>
      </c>
      <c r="D20" s="9">
        <f>SUM(D21:D29)</f>
        <v>215.68</v>
      </c>
      <c r="E20" s="9"/>
      <c r="F20" s="9"/>
      <c r="G20" s="9">
        <f>SUM(G21:G29)</f>
        <v>862.76</v>
      </c>
      <c r="H20" s="8"/>
      <c r="I20" s="8"/>
      <c r="J20" s="9"/>
      <c r="K20" s="22"/>
    </row>
    <row r="21" s="2" customFormat="1" ht="20" customHeight="1" spans="1:11">
      <c r="A21" s="14">
        <v>1.1</v>
      </c>
      <c r="B21" s="11" t="s">
        <v>35</v>
      </c>
      <c r="C21" s="16">
        <f t="shared" ref="C21:C29" si="0">G21*75%</f>
        <v>401.21</v>
      </c>
      <c r="D21" s="16">
        <f t="shared" ref="D21:D29" si="1">G21-C21</f>
        <v>133.73</v>
      </c>
      <c r="E21" s="14"/>
      <c r="F21" s="14"/>
      <c r="G21" s="14">
        <v>534.94</v>
      </c>
      <c r="H21" s="11" t="s">
        <v>20</v>
      </c>
      <c r="I21" s="14">
        <v>20131.48</v>
      </c>
      <c r="J21" s="12">
        <f>G21*10000/I21</f>
        <v>265.72</v>
      </c>
      <c r="K21" s="24"/>
    </row>
    <row r="22" s="2" customFormat="1" ht="20" customHeight="1" spans="1:11">
      <c r="A22" s="14">
        <v>1.2</v>
      </c>
      <c r="B22" s="15" t="s">
        <v>36</v>
      </c>
      <c r="C22" s="16">
        <f t="shared" si="0"/>
        <v>25.9</v>
      </c>
      <c r="D22" s="16">
        <f t="shared" si="1"/>
        <v>8.63</v>
      </c>
      <c r="E22" s="14"/>
      <c r="F22" s="14"/>
      <c r="G22" s="14">
        <v>34.53</v>
      </c>
      <c r="H22" s="11" t="s">
        <v>20</v>
      </c>
      <c r="I22" s="14">
        <v>969</v>
      </c>
      <c r="J22" s="12">
        <f t="shared" ref="J22:J29" si="2">G22*10000/I22</f>
        <v>356.35</v>
      </c>
      <c r="K22" s="24"/>
    </row>
    <row r="23" s="2" customFormat="1" ht="20" customHeight="1" spans="1:11">
      <c r="A23" s="14">
        <v>1.3</v>
      </c>
      <c r="B23" s="15" t="s">
        <v>37</v>
      </c>
      <c r="C23" s="16">
        <f t="shared" si="0"/>
        <v>39.82</v>
      </c>
      <c r="D23" s="16">
        <f t="shared" si="1"/>
        <v>13.27</v>
      </c>
      <c r="E23" s="14"/>
      <c r="F23" s="14"/>
      <c r="G23" s="14">
        <v>53.09</v>
      </c>
      <c r="H23" s="11" t="s">
        <v>20</v>
      </c>
      <c r="I23" s="14">
        <v>545</v>
      </c>
      <c r="J23" s="12">
        <f t="shared" si="2"/>
        <v>974.13</v>
      </c>
      <c r="K23" s="24"/>
    </row>
    <row r="24" s="2" customFormat="1" ht="20" customHeight="1" spans="1:11">
      <c r="A24" s="14">
        <v>1.4</v>
      </c>
      <c r="B24" s="15" t="s">
        <v>38</v>
      </c>
      <c r="C24" s="16">
        <f t="shared" si="0"/>
        <v>22.55</v>
      </c>
      <c r="D24" s="16">
        <f t="shared" si="1"/>
        <v>7.52</v>
      </c>
      <c r="E24" s="14"/>
      <c r="F24" s="14"/>
      <c r="G24" s="14">
        <v>30.07</v>
      </c>
      <c r="H24" s="11" t="s">
        <v>20</v>
      </c>
      <c r="I24" s="14">
        <v>594</v>
      </c>
      <c r="J24" s="12">
        <f t="shared" si="2"/>
        <v>506.23</v>
      </c>
      <c r="K24" s="24"/>
    </row>
    <row r="25" s="2" customFormat="1" ht="20" customHeight="1" spans="1:11">
      <c r="A25" s="14">
        <v>1.5</v>
      </c>
      <c r="B25" s="15" t="s">
        <v>39</v>
      </c>
      <c r="C25" s="16">
        <f t="shared" si="0"/>
        <v>47.06</v>
      </c>
      <c r="D25" s="16">
        <f t="shared" si="1"/>
        <v>15.68</v>
      </c>
      <c r="E25" s="14"/>
      <c r="F25" s="14"/>
      <c r="G25" s="14">
        <v>62.74</v>
      </c>
      <c r="H25" s="11" t="s">
        <v>20</v>
      </c>
      <c r="I25" s="14">
        <v>1063</v>
      </c>
      <c r="J25" s="12">
        <f t="shared" si="2"/>
        <v>590.22</v>
      </c>
      <c r="K25" s="24"/>
    </row>
    <row r="26" s="2" customFormat="1" ht="26" customHeight="1" spans="1:11">
      <c r="A26" s="14">
        <v>1.6</v>
      </c>
      <c r="B26" s="15" t="s">
        <v>40</v>
      </c>
      <c r="C26" s="16">
        <f t="shared" si="0"/>
        <v>15.79</v>
      </c>
      <c r="D26" s="16">
        <f t="shared" si="1"/>
        <v>5.26</v>
      </c>
      <c r="E26" s="14"/>
      <c r="F26" s="14"/>
      <c r="G26" s="14">
        <f>21.47-G48</f>
        <v>21.05</v>
      </c>
      <c r="H26" s="11" t="s">
        <v>20</v>
      </c>
      <c r="I26" s="14">
        <f>278+1213+466</f>
        <v>1957</v>
      </c>
      <c r="J26" s="12">
        <f t="shared" si="2"/>
        <v>107.56</v>
      </c>
      <c r="K26" s="24"/>
    </row>
    <row r="27" s="2" customFormat="1" ht="30" customHeight="1" spans="1:11">
      <c r="A27" s="14">
        <v>1.7</v>
      </c>
      <c r="B27" s="15" t="s">
        <v>41</v>
      </c>
      <c r="C27" s="16">
        <f t="shared" si="0"/>
        <v>33.45</v>
      </c>
      <c r="D27" s="16">
        <f t="shared" si="1"/>
        <v>11.15</v>
      </c>
      <c r="E27" s="14"/>
      <c r="F27" s="14"/>
      <c r="G27" s="16">
        <v>44.6</v>
      </c>
      <c r="H27" s="11" t="s">
        <v>20</v>
      </c>
      <c r="I27" s="14">
        <f>1165+360</f>
        <v>1525</v>
      </c>
      <c r="J27" s="12">
        <f t="shared" si="2"/>
        <v>292.46</v>
      </c>
      <c r="K27" s="24"/>
    </row>
    <row r="28" s="2" customFormat="1" ht="29" customHeight="1" spans="1:11">
      <c r="A28" s="14">
        <v>1.8</v>
      </c>
      <c r="B28" s="15" t="s">
        <v>42</v>
      </c>
      <c r="C28" s="16">
        <f t="shared" si="0"/>
        <v>51.74</v>
      </c>
      <c r="D28" s="16">
        <f t="shared" si="1"/>
        <v>17.25</v>
      </c>
      <c r="E28" s="14"/>
      <c r="F28" s="14"/>
      <c r="G28" s="14">
        <v>68.99</v>
      </c>
      <c r="H28" s="11" t="s">
        <v>20</v>
      </c>
      <c r="I28" s="14">
        <f>1021+256+822</f>
        <v>2099</v>
      </c>
      <c r="J28" s="12">
        <f t="shared" si="2"/>
        <v>328.68</v>
      </c>
      <c r="K28" s="24"/>
    </row>
    <row r="29" s="2" customFormat="1" ht="20" customHeight="1" spans="1:11">
      <c r="A29" s="14">
        <v>1.9</v>
      </c>
      <c r="B29" s="11" t="s">
        <v>43</v>
      </c>
      <c r="C29" s="16">
        <f t="shared" si="0"/>
        <v>9.56</v>
      </c>
      <c r="D29" s="16">
        <f t="shared" si="1"/>
        <v>3.19</v>
      </c>
      <c r="E29" s="14"/>
      <c r="F29" s="14"/>
      <c r="G29" s="14">
        <v>12.75</v>
      </c>
      <c r="H29" s="11" t="s">
        <v>44</v>
      </c>
      <c r="I29" s="14">
        <v>45</v>
      </c>
      <c r="J29" s="12">
        <f t="shared" si="2"/>
        <v>2833.33</v>
      </c>
      <c r="K29" s="24"/>
    </row>
    <row r="30" s="3" customFormat="1" ht="20" customHeight="1" spans="1:11">
      <c r="A30" s="8">
        <v>2</v>
      </c>
      <c r="B30" s="8" t="s">
        <v>25</v>
      </c>
      <c r="C30" s="8">
        <f>SUM(C31:C33)</f>
        <v>2107.55</v>
      </c>
      <c r="D30" s="8">
        <f>SUM(D31:D33)</f>
        <v>0</v>
      </c>
      <c r="E30" s="8"/>
      <c r="F30" s="8"/>
      <c r="G30" s="8">
        <f>SUM(G31:G33)</f>
        <v>2107.55</v>
      </c>
      <c r="H30" s="8"/>
      <c r="I30" s="8"/>
      <c r="J30" s="9"/>
      <c r="K30" s="22"/>
    </row>
    <row r="31" s="2" customFormat="1" ht="20" customHeight="1" spans="1:11">
      <c r="A31" s="14">
        <v>2.1</v>
      </c>
      <c r="B31" s="11" t="s">
        <v>45</v>
      </c>
      <c r="C31" s="16">
        <f>G31</f>
        <v>255.36</v>
      </c>
      <c r="D31" s="16"/>
      <c r="E31" s="14"/>
      <c r="F31" s="14"/>
      <c r="G31" s="14">
        <v>255.36</v>
      </c>
      <c r="H31" s="11" t="s">
        <v>20</v>
      </c>
      <c r="I31" s="14">
        <v>6544.94</v>
      </c>
      <c r="J31" s="12">
        <f>G31*10000/I31</f>
        <v>390.16</v>
      </c>
      <c r="K31" s="24"/>
    </row>
    <row r="32" s="2" customFormat="1" ht="20" customHeight="1" spans="1:11">
      <c r="A32" s="14">
        <v>2.2</v>
      </c>
      <c r="B32" s="11" t="s">
        <v>46</v>
      </c>
      <c r="C32" s="16">
        <f>G32</f>
        <v>226.51</v>
      </c>
      <c r="D32" s="16"/>
      <c r="E32" s="14"/>
      <c r="F32" s="14"/>
      <c r="G32" s="14">
        <v>226.51</v>
      </c>
      <c r="H32" s="11" t="s">
        <v>20</v>
      </c>
      <c r="I32" s="14">
        <f>9278+4508</f>
        <v>13786</v>
      </c>
      <c r="J32" s="12">
        <f>G32*10000/I32</f>
        <v>164.3</v>
      </c>
      <c r="K32" s="24"/>
    </row>
    <row r="33" s="2" customFormat="1" ht="20" customHeight="1" spans="1:11">
      <c r="A33" s="14">
        <v>2.3</v>
      </c>
      <c r="B33" s="11" t="s">
        <v>47</v>
      </c>
      <c r="C33" s="16">
        <f>G33</f>
        <v>1625.68</v>
      </c>
      <c r="D33" s="16"/>
      <c r="E33" s="14"/>
      <c r="F33" s="14"/>
      <c r="G33" s="14">
        <v>1625.68</v>
      </c>
      <c r="H33" s="11" t="s">
        <v>20</v>
      </c>
      <c r="I33" s="14">
        <v>197831</v>
      </c>
      <c r="J33" s="12">
        <f>G33*10000/I33</f>
        <v>82.18</v>
      </c>
      <c r="K33" s="24"/>
    </row>
    <row r="34" s="3" customFormat="1" ht="20" customHeight="1" spans="1:11">
      <c r="A34" s="8">
        <v>3</v>
      </c>
      <c r="B34" s="8" t="s">
        <v>48</v>
      </c>
      <c r="C34" s="9">
        <v>121.4</v>
      </c>
      <c r="D34" s="9">
        <v>196.07</v>
      </c>
      <c r="E34" s="8"/>
      <c r="F34" s="8"/>
      <c r="G34" s="8">
        <f>D34+C34</f>
        <v>317.47</v>
      </c>
      <c r="H34" s="8" t="s">
        <v>20</v>
      </c>
      <c r="I34" s="8">
        <v>275793.02</v>
      </c>
      <c r="J34" s="9">
        <f>G34*10000/I34</f>
        <v>11.51</v>
      </c>
      <c r="K34" s="22"/>
    </row>
    <row r="35" s="3" customFormat="1" ht="20" customHeight="1" spans="1:11">
      <c r="A35" s="8">
        <v>4</v>
      </c>
      <c r="B35" s="8" t="s">
        <v>30</v>
      </c>
      <c r="C35" s="8">
        <f>SUM(C36:C43)</f>
        <v>117.75</v>
      </c>
      <c r="D35" s="8">
        <f>SUM(D36:D43)</f>
        <v>12.91</v>
      </c>
      <c r="E35" s="8"/>
      <c r="F35" s="8"/>
      <c r="G35" s="8">
        <f>SUM(G36:G43)</f>
        <v>130.66</v>
      </c>
      <c r="H35" s="8"/>
      <c r="I35" s="8"/>
      <c r="J35" s="9"/>
      <c r="K35" s="22"/>
    </row>
    <row r="36" s="2" customFormat="1" ht="20" customHeight="1" spans="1:11">
      <c r="A36" s="14">
        <v>4.1</v>
      </c>
      <c r="B36" s="11" t="s">
        <v>36</v>
      </c>
      <c r="C36" s="16">
        <f>G36*75%</f>
        <v>4.19</v>
      </c>
      <c r="D36" s="16">
        <f>G36-C36</f>
        <v>1.4</v>
      </c>
      <c r="E36" s="14"/>
      <c r="F36" s="14"/>
      <c r="G36" s="16">
        <v>5.59</v>
      </c>
      <c r="H36" s="11" t="s">
        <v>20</v>
      </c>
      <c r="I36" s="14">
        <v>969</v>
      </c>
      <c r="J36" s="12">
        <f>G36*10000/I36</f>
        <v>57.69</v>
      </c>
      <c r="K36" s="24"/>
    </row>
    <row r="37" s="2" customFormat="1" ht="20" customHeight="1" spans="1:11">
      <c r="A37" s="14">
        <v>4.2</v>
      </c>
      <c r="B37" s="15" t="s">
        <v>37</v>
      </c>
      <c r="C37" s="16">
        <f t="shared" ref="C37:C42" si="3">G37*75%</f>
        <v>4.08</v>
      </c>
      <c r="D37" s="16">
        <f t="shared" ref="D37:D42" si="4">G37-C37</f>
        <v>1.36</v>
      </c>
      <c r="E37" s="14"/>
      <c r="F37" s="14"/>
      <c r="G37" s="14">
        <v>5.44</v>
      </c>
      <c r="H37" s="11" t="s">
        <v>20</v>
      </c>
      <c r="I37" s="14">
        <v>545</v>
      </c>
      <c r="J37" s="12">
        <f t="shared" ref="J37:J43" si="5">G37*10000/I37</f>
        <v>99.82</v>
      </c>
      <c r="K37" s="24"/>
    </row>
    <row r="38" s="2" customFormat="1" ht="20" customHeight="1" spans="1:11">
      <c r="A38" s="14">
        <v>4.3</v>
      </c>
      <c r="B38" s="15" t="s">
        <v>38</v>
      </c>
      <c r="C38" s="16">
        <f t="shared" si="3"/>
        <v>5.72</v>
      </c>
      <c r="D38" s="16">
        <f t="shared" si="4"/>
        <v>1.9</v>
      </c>
      <c r="E38" s="14"/>
      <c r="F38" s="14"/>
      <c r="G38" s="14">
        <v>7.62</v>
      </c>
      <c r="H38" s="11" t="s">
        <v>20</v>
      </c>
      <c r="I38" s="14">
        <v>594</v>
      </c>
      <c r="J38" s="12">
        <f t="shared" si="5"/>
        <v>128.28</v>
      </c>
      <c r="K38" s="24"/>
    </row>
    <row r="39" s="2" customFormat="1" ht="20" customHeight="1" spans="1:11">
      <c r="A39" s="14">
        <v>4.4</v>
      </c>
      <c r="B39" s="15" t="s">
        <v>39</v>
      </c>
      <c r="C39" s="16">
        <f t="shared" si="3"/>
        <v>2.35</v>
      </c>
      <c r="D39" s="16">
        <f t="shared" si="4"/>
        <v>0.78</v>
      </c>
      <c r="E39" s="14"/>
      <c r="F39" s="14"/>
      <c r="G39" s="14">
        <f>18.39-15.26</f>
        <v>3.13</v>
      </c>
      <c r="H39" s="11" t="s">
        <v>20</v>
      </c>
      <c r="I39" s="14">
        <v>1063</v>
      </c>
      <c r="J39" s="12">
        <f t="shared" si="5"/>
        <v>29.44</v>
      </c>
      <c r="K39" s="24"/>
    </row>
    <row r="40" s="2" customFormat="1" ht="25" customHeight="1" spans="1:11">
      <c r="A40" s="14">
        <v>4.5</v>
      </c>
      <c r="B40" s="15" t="s">
        <v>40</v>
      </c>
      <c r="C40" s="16">
        <f t="shared" si="3"/>
        <v>6.26</v>
      </c>
      <c r="D40" s="16">
        <f t="shared" si="4"/>
        <v>2.08</v>
      </c>
      <c r="E40" s="14"/>
      <c r="F40" s="14"/>
      <c r="G40" s="14">
        <f>8.34</f>
        <v>8.34</v>
      </c>
      <c r="H40" s="11" t="s">
        <v>20</v>
      </c>
      <c r="I40" s="14">
        <f>278+1213+466</f>
        <v>1957</v>
      </c>
      <c r="J40" s="12">
        <f t="shared" si="5"/>
        <v>42.62</v>
      </c>
      <c r="K40" s="24"/>
    </row>
    <row r="41" s="2" customFormat="1" ht="32" customHeight="1" spans="1:11">
      <c r="A41" s="14">
        <v>4.6</v>
      </c>
      <c r="B41" s="15" t="s">
        <v>41</v>
      </c>
      <c r="C41" s="16">
        <f t="shared" si="3"/>
        <v>8.99</v>
      </c>
      <c r="D41" s="16">
        <f t="shared" si="4"/>
        <v>2.99</v>
      </c>
      <c r="E41" s="14"/>
      <c r="F41" s="14"/>
      <c r="G41" s="14">
        <f>2.37+9.61</f>
        <v>11.98</v>
      </c>
      <c r="H41" s="11" t="s">
        <v>20</v>
      </c>
      <c r="I41" s="14">
        <f>1165+360</f>
        <v>1525</v>
      </c>
      <c r="J41" s="12">
        <f t="shared" si="5"/>
        <v>78.56</v>
      </c>
      <c r="K41" s="24"/>
    </row>
    <row r="42" s="2" customFormat="1" ht="25" customHeight="1" spans="1:11">
      <c r="A42" s="14">
        <v>4.7</v>
      </c>
      <c r="B42" s="15" t="s">
        <v>42</v>
      </c>
      <c r="C42" s="16">
        <f t="shared" si="3"/>
        <v>7.22</v>
      </c>
      <c r="D42" s="16">
        <f t="shared" si="4"/>
        <v>2.4</v>
      </c>
      <c r="E42" s="14"/>
      <c r="F42" s="14"/>
      <c r="G42" s="14">
        <v>9.62</v>
      </c>
      <c r="H42" s="11" t="s">
        <v>20</v>
      </c>
      <c r="I42" s="14">
        <f>1021+256+822</f>
        <v>2099</v>
      </c>
      <c r="J42" s="12">
        <f t="shared" si="5"/>
        <v>45.83</v>
      </c>
      <c r="K42" s="24"/>
    </row>
    <row r="43" s="3" customFormat="1" ht="20" customHeight="1" spans="1:11">
      <c r="A43" s="11">
        <v>4.8</v>
      </c>
      <c r="B43" s="11" t="s">
        <v>49</v>
      </c>
      <c r="C43" s="11">
        <f>G43</f>
        <v>78.94</v>
      </c>
      <c r="D43" s="11"/>
      <c r="E43" s="11"/>
      <c r="F43" s="11"/>
      <c r="G43" s="11">
        <v>78.94</v>
      </c>
      <c r="H43" s="11" t="s">
        <v>44</v>
      </c>
      <c r="I43" s="11">
        <v>241</v>
      </c>
      <c r="J43" s="12">
        <f t="shared" si="5"/>
        <v>3275.52</v>
      </c>
      <c r="K43" s="23"/>
    </row>
    <row r="44" s="3" customFormat="1" ht="20" customHeight="1" spans="1:11">
      <c r="A44" s="8" t="s">
        <v>50</v>
      </c>
      <c r="B44" s="8" t="s">
        <v>51</v>
      </c>
      <c r="C44" s="8">
        <f>SUM(C45:C46)</f>
        <v>271.05</v>
      </c>
      <c r="D44" s="8">
        <f>SUM(D45:D46)</f>
        <v>0</v>
      </c>
      <c r="E44" s="8"/>
      <c r="F44" s="8"/>
      <c r="G44" s="8">
        <f>SUM(G45:G46)</f>
        <v>271.05</v>
      </c>
      <c r="H44" s="8"/>
      <c r="I44" s="8"/>
      <c r="J44" s="9"/>
      <c r="K44" s="22"/>
    </row>
    <row r="45" s="2" customFormat="1" ht="53" customHeight="1" spans="1:11">
      <c r="A45" s="14">
        <v>1</v>
      </c>
      <c r="B45" s="11" t="s">
        <v>52</v>
      </c>
      <c r="C45" s="16">
        <f>G45</f>
        <v>158.12</v>
      </c>
      <c r="D45" s="16"/>
      <c r="E45" s="14"/>
      <c r="F45" s="14"/>
      <c r="G45" s="14">
        <v>158.12</v>
      </c>
      <c r="H45" s="11" t="s">
        <v>20</v>
      </c>
      <c r="I45" s="14">
        <f>960+600</f>
        <v>1560</v>
      </c>
      <c r="J45" s="12">
        <f t="shared" ref="J45:J50" si="6">G45*10000/I45</f>
        <v>1013.59</v>
      </c>
      <c r="K45" s="25" t="s">
        <v>53</v>
      </c>
    </row>
    <row r="46" s="2" customFormat="1" ht="53" customHeight="1" spans="1:11">
      <c r="A46" s="14">
        <v>2</v>
      </c>
      <c r="B46" s="11" t="s">
        <v>54</v>
      </c>
      <c r="C46" s="16">
        <f>G46</f>
        <v>112.93</v>
      </c>
      <c r="D46" s="16"/>
      <c r="E46" s="14"/>
      <c r="F46" s="14"/>
      <c r="G46" s="14">
        <v>112.93</v>
      </c>
      <c r="H46" s="11" t="s">
        <v>20</v>
      </c>
      <c r="I46" s="14">
        <f>1250+450</f>
        <v>1700</v>
      </c>
      <c r="J46" s="12">
        <f t="shared" si="6"/>
        <v>664.29</v>
      </c>
      <c r="K46" s="25" t="s">
        <v>55</v>
      </c>
    </row>
    <row r="47" s="3" customFormat="1" ht="20" customHeight="1" spans="1:11">
      <c r="A47" s="8" t="s">
        <v>56</v>
      </c>
      <c r="B47" s="8" t="s">
        <v>57</v>
      </c>
      <c r="C47" s="9">
        <f>SUM(C48:C50)</f>
        <v>54.92</v>
      </c>
      <c r="D47" s="9">
        <f>SUM(D48:D50)</f>
        <v>0</v>
      </c>
      <c r="E47" s="8"/>
      <c r="F47" s="8"/>
      <c r="G47" s="8">
        <f>SUM(G48:G50)</f>
        <v>54.92</v>
      </c>
      <c r="H47" s="14"/>
      <c r="I47" s="8"/>
      <c r="J47" s="9"/>
      <c r="K47" s="22"/>
    </row>
    <row r="48" s="5" customFormat="1" ht="20" customHeight="1" spans="1:11">
      <c r="A48" s="11">
        <v>1</v>
      </c>
      <c r="B48" s="11" t="s">
        <v>58</v>
      </c>
      <c r="C48" s="11">
        <f>G48</f>
        <v>0.42</v>
      </c>
      <c r="D48" s="11"/>
      <c r="E48" s="11"/>
      <c r="F48" s="12"/>
      <c r="G48" s="12">
        <v>0.42</v>
      </c>
      <c r="H48" s="11" t="s">
        <v>20</v>
      </c>
      <c r="I48" s="11">
        <v>102.41</v>
      </c>
      <c r="J48" s="12">
        <f>G48*10000/I48</f>
        <v>41.01</v>
      </c>
      <c r="K48" s="23"/>
    </row>
    <row r="49" s="2" customFormat="1" ht="20" customHeight="1" spans="1:11">
      <c r="A49" s="11">
        <v>2</v>
      </c>
      <c r="B49" s="11" t="s">
        <v>59</v>
      </c>
      <c r="C49" s="12">
        <f>G49</f>
        <v>43.6</v>
      </c>
      <c r="D49" s="12"/>
      <c r="E49" s="11"/>
      <c r="F49" s="12"/>
      <c r="G49" s="12">
        <v>43.6</v>
      </c>
      <c r="H49" s="11" t="s">
        <v>60</v>
      </c>
      <c r="I49" s="11">
        <v>12</v>
      </c>
      <c r="J49" s="12">
        <f>G49*10000/I49</f>
        <v>36333.33</v>
      </c>
      <c r="K49" s="22"/>
    </row>
    <row r="50" s="4" customFormat="1" ht="20" customHeight="1" spans="1:11">
      <c r="A50" s="11">
        <v>3</v>
      </c>
      <c r="B50" s="15" t="s">
        <v>61</v>
      </c>
      <c r="C50" s="12">
        <v>10.9</v>
      </c>
      <c r="D50" s="11"/>
      <c r="E50" s="11"/>
      <c r="F50" s="11"/>
      <c r="G50" s="12">
        <v>10.9</v>
      </c>
      <c r="H50" s="11" t="s">
        <v>62</v>
      </c>
      <c r="I50" s="11">
        <v>2</v>
      </c>
      <c r="J50" s="12">
        <f t="shared" si="6"/>
        <v>54500</v>
      </c>
      <c r="K50" s="23"/>
    </row>
    <row r="51" s="2" customFormat="1" ht="20" customHeight="1" spans="1:11">
      <c r="A51" s="8" t="s">
        <v>63</v>
      </c>
      <c r="B51" s="8" t="s">
        <v>64</v>
      </c>
      <c r="C51" s="17"/>
      <c r="D51" s="17"/>
      <c r="E51" s="17"/>
      <c r="F51" s="9">
        <f>SUM(F52:F64)</f>
        <v>426.45</v>
      </c>
      <c r="G51" s="9">
        <f>SUM(G52:G64)</f>
        <v>426.45</v>
      </c>
      <c r="H51" s="17"/>
      <c r="I51" s="17"/>
      <c r="J51" s="17"/>
      <c r="K51" s="22">
        <f>G51/G67</f>
        <v>0.0836</v>
      </c>
    </row>
    <row r="52" s="2" customFormat="1" ht="20" customHeight="1" spans="1:11">
      <c r="A52" s="11">
        <v>1</v>
      </c>
      <c r="B52" s="11" t="s">
        <v>65</v>
      </c>
      <c r="C52" s="18"/>
      <c r="D52" s="18"/>
      <c r="E52" s="18"/>
      <c r="F52" s="12">
        <f>G3*1.2%</f>
        <v>52.3</v>
      </c>
      <c r="G52" s="12">
        <f>F52</f>
        <v>52.3</v>
      </c>
      <c r="H52" s="20" t="s">
        <v>66</v>
      </c>
      <c r="I52" s="26"/>
      <c r="J52" s="27"/>
      <c r="K52" s="23"/>
    </row>
    <row r="53" s="2" customFormat="1" ht="20" customHeight="1" spans="1:11">
      <c r="A53" s="11">
        <v>2</v>
      </c>
      <c r="B53" s="11" t="s">
        <v>67</v>
      </c>
      <c r="C53" s="18"/>
      <c r="D53" s="18"/>
      <c r="E53" s="18"/>
      <c r="F53" s="12">
        <f>G3*0.5%</f>
        <v>21.79</v>
      </c>
      <c r="G53" s="12">
        <f t="shared" ref="G53:G66" si="7">F53</f>
        <v>21.79</v>
      </c>
      <c r="H53" s="20" t="s">
        <v>68</v>
      </c>
      <c r="I53" s="26"/>
      <c r="J53" s="27"/>
      <c r="K53" s="23"/>
    </row>
    <row r="54" s="2" customFormat="1" ht="20" customHeight="1" spans="1:11">
      <c r="A54" s="11">
        <v>3</v>
      </c>
      <c r="B54" s="11" t="s">
        <v>69</v>
      </c>
      <c r="C54" s="18"/>
      <c r="D54" s="18"/>
      <c r="E54" s="18"/>
      <c r="F54" s="12">
        <f>G3*3%</f>
        <v>130.75</v>
      </c>
      <c r="G54" s="12">
        <f t="shared" si="7"/>
        <v>130.75</v>
      </c>
      <c r="H54" s="20" t="s">
        <v>70</v>
      </c>
      <c r="I54" s="26"/>
      <c r="J54" s="27"/>
      <c r="K54" s="23"/>
    </row>
    <row r="55" s="2" customFormat="1" ht="20" customHeight="1" spans="1:11">
      <c r="A55" s="11">
        <v>4</v>
      </c>
      <c r="B55" s="11" t="s">
        <v>71</v>
      </c>
      <c r="C55" s="18"/>
      <c r="D55" s="18"/>
      <c r="E55" s="18"/>
      <c r="F55" s="12">
        <f>G3*0.5%</f>
        <v>21.79</v>
      </c>
      <c r="G55" s="12">
        <f t="shared" si="7"/>
        <v>21.79</v>
      </c>
      <c r="H55" s="20" t="s">
        <v>68</v>
      </c>
      <c r="I55" s="26"/>
      <c r="J55" s="27"/>
      <c r="K55" s="23"/>
    </row>
    <row r="56" s="2" customFormat="1" ht="20" customHeight="1" spans="1:11">
      <c r="A56" s="11">
        <v>5</v>
      </c>
      <c r="B56" s="11" t="s">
        <v>72</v>
      </c>
      <c r="C56" s="18"/>
      <c r="D56" s="18"/>
      <c r="E56" s="18"/>
      <c r="F56" s="12">
        <f>F54*6.5%</f>
        <v>8.5</v>
      </c>
      <c r="G56" s="12">
        <f t="shared" si="7"/>
        <v>8.5</v>
      </c>
      <c r="H56" s="20" t="s">
        <v>73</v>
      </c>
      <c r="I56" s="26"/>
      <c r="J56" s="27"/>
      <c r="K56" s="23"/>
    </row>
    <row r="57" s="2" customFormat="1" ht="20" customHeight="1" spans="1:11">
      <c r="A57" s="11">
        <v>6</v>
      </c>
      <c r="B57" s="11" t="s">
        <v>74</v>
      </c>
      <c r="C57" s="18"/>
      <c r="D57" s="18"/>
      <c r="E57" s="18"/>
      <c r="F57" s="12">
        <f>G3*0.5%</f>
        <v>21.79</v>
      </c>
      <c r="G57" s="12">
        <f t="shared" si="7"/>
        <v>21.79</v>
      </c>
      <c r="H57" s="20" t="s">
        <v>68</v>
      </c>
      <c r="I57" s="26"/>
      <c r="J57" s="27"/>
      <c r="K57" s="23"/>
    </row>
    <row r="58" s="2" customFormat="1" ht="20" customHeight="1" spans="1:11">
      <c r="A58" s="11">
        <v>7</v>
      </c>
      <c r="B58" s="11" t="s">
        <v>75</v>
      </c>
      <c r="C58" s="18"/>
      <c r="D58" s="18"/>
      <c r="E58" s="18"/>
      <c r="F58" s="12">
        <f>G3*0.3%</f>
        <v>13.07</v>
      </c>
      <c r="G58" s="12">
        <f t="shared" si="7"/>
        <v>13.07</v>
      </c>
      <c r="H58" s="20" t="s">
        <v>76</v>
      </c>
      <c r="I58" s="26"/>
      <c r="J58" s="27"/>
      <c r="K58" s="23"/>
    </row>
    <row r="59" s="2" customFormat="1" ht="20" customHeight="1" spans="1:11">
      <c r="A59" s="11">
        <v>8</v>
      </c>
      <c r="B59" s="11" t="s">
        <v>77</v>
      </c>
      <c r="C59" s="18"/>
      <c r="D59" s="18"/>
      <c r="E59" s="18"/>
      <c r="F59" s="12">
        <f>G3*0.27%</f>
        <v>11.77</v>
      </c>
      <c r="G59" s="12">
        <f t="shared" si="7"/>
        <v>11.77</v>
      </c>
      <c r="H59" s="20" t="s">
        <v>78</v>
      </c>
      <c r="I59" s="26"/>
      <c r="J59" s="27"/>
      <c r="K59" s="23"/>
    </row>
    <row r="60" s="2" customFormat="1" ht="20" customHeight="1" spans="1:11">
      <c r="A60" s="11">
        <v>9</v>
      </c>
      <c r="B60" s="11" t="s">
        <v>79</v>
      </c>
      <c r="C60" s="18"/>
      <c r="D60" s="18"/>
      <c r="E60" s="18"/>
      <c r="F60" s="12">
        <f>G3*0.27%</f>
        <v>11.77</v>
      </c>
      <c r="G60" s="12">
        <f t="shared" si="7"/>
        <v>11.77</v>
      </c>
      <c r="H60" s="21" t="s">
        <v>78</v>
      </c>
      <c r="I60" s="26"/>
      <c r="J60" s="27"/>
      <c r="K60" s="23"/>
    </row>
    <row r="61" s="2" customFormat="1" ht="20" customHeight="1" spans="1:11">
      <c r="A61" s="11">
        <v>10</v>
      </c>
      <c r="B61" s="11" t="s">
        <v>80</v>
      </c>
      <c r="C61" s="18"/>
      <c r="D61" s="18"/>
      <c r="E61" s="18"/>
      <c r="F61" s="12">
        <f>G3*1.5%</f>
        <v>65.37</v>
      </c>
      <c r="G61" s="12">
        <f t="shared" si="7"/>
        <v>65.37</v>
      </c>
      <c r="H61" s="20" t="s">
        <v>81</v>
      </c>
      <c r="I61" s="26"/>
      <c r="J61" s="27"/>
      <c r="K61" s="23"/>
    </row>
    <row r="62" s="2" customFormat="1" ht="20" customHeight="1" spans="1:11">
      <c r="A62" s="11">
        <v>11</v>
      </c>
      <c r="B62" s="11" t="s">
        <v>82</v>
      </c>
      <c r="C62" s="18"/>
      <c r="D62" s="18"/>
      <c r="E62" s="18"/>
      <c r="F62" s="12">
        <f>G3*0.4%</f>
        <v>17.43</v>
      </c>
      <c r="G62" s="12">
        <f t="shared" si="7"/>
        <v>17.43</v>
      </c>
      <c r="H62" s="20" t="s">
        <v>83</v>
      </c>
      <c r="I62" s="26"/>
      <c r="J62" s="27"/>
      <c r="K62" s="23"/>
    </row>
    <row r="63" s="2" customFormat="1" ht="20" customHeight="1" spans="1:11">
      <c r="A63" s="11">
        <v>12</v>
      </c>
      <c r="B63" s="11" t="s">
        <v>84</v>
      </c>
      <c r="C63" s="18"/>
      <c r="D63" s="18"/>
      <c r="E63" s="18"/>
      <c r="F63" s="12">
        <f>G3*0.35%</f>
        <v>15.25</v>
      </c>
      <c r="G63" s="12">
        <f t="shared" si="7"/>
        <v>15.25</v>
      </c>
      <c r="H63" s="20" t="s">
        <v>85</v>
      </c>
      <c r="I63" s="26"/>
      <c r="J63" s="27"/>
      <c r="K63" s="23"/>
    </row>
    <row r="64" s="2" customFormat="1" ht="20" customHeight="1" spans="1:11">
      <c r="A64" s="11">
        <v>13</v>
      </c>
      <c r="B64" s="11" t="s">
        <v>86</v>
      </c>
      <c r="C64" s="12"/>
      <c r="D64" s="12"/>
      <c r="E64" s="12"/>
      <c r="F64" s="12">
        <f>G3*0.8%</f>
        <v>34.87</v>
      </c>
      <c r="G64" s="12">
        <f t="shared" si="7"/>
        <v>34.87</v>
      </c>
      <c r="H64" s="20" t="s">
        <v>87</v>
      </c>
      <c r="I64" s="26"/>
      <c r="J64" s="27"/>
      <c r="K64" s="23"/>
    </row>
    <row r="65" s="2" customFormat="1" ht="20" customHeight="1" spans="1:11">
      <c r="A65" s="8" t="s">
        <v>88</v>
      </c>
      <c r="B65" s="8" t="s">
        <v>89</v>
      </c>
      <c r="C65" s="9"/>
      <c r="D65" s="9"/>
      <c r="E65" s="9"/>
      <c r="F65" s="9">
        <f>(G51+G3)*5%</f>
        <v>239.24</v>
      </c>
      <c r="G65" s="9">
        <f t="shared" si="7"/>
        <v>239.24</v>
      </c>
      <c r="H65" s="30" t="s">
        <v>90</v>
      </c>
      <c r="I65" s="31"/>
      <c r="J65" s="32"/>
      <c r="K65" s="22">
        <f>G65/G67</f>
        <v>0.0469</v>
      </c>
    </row>
    <row r="66" s="2" customFormat="1" ht="20" customHeight="1" spans="1:11">
      <c r="A66" s="8" t="s">
        <v>91</v>
      </c>
      <c r="B66" s="8" t="s">
        <v>92</v>
      </c>
      <c r="C66" s="9"/>
      <c r="D66" s="9"/>
      <c r="E66" s="9"/>
      <c r="F66" s="9">
        <v>75</v>
      </c>
      <c r="G66" s="9">
        <v>75</v>
      </c>
      <c r="H66" s="30"/>
      <c r="I66" s="31"/>
      <c r="J66" s="32"/>
      <c r="K66" s="22">
        <f>G66/G67</f>
        <v>0.0147</v>
      </c>
    </row>
    <row r="67" s="2" customFormat="1" ht="20" customHeight="1" spans="1:11">
      <c r="A67" s="8" t="s">
        <v>93</v>
      </c>
      <c r="B67" s="8" t="s">
        <v>94</v>
      </c>
      <c r="C67" s="9">
        <f>C65+C51+C3</f>
        <v>3844.6</v>
      </c>
      <c r="D67" s="9">
        <f>D65+D51+D3</f>
        <v>513.71</v>
      </c>
      <c r="E67" s="9"/>
      <c r="F67" s="9">
        <f>F65+F51+F3+F66</f>
        <v>740.69</v>
      </c>
      <c r="G67" s="9">
        <f>G65+G51+G3+G66</f>
        <v>5099</v>
      </c>
      <c r="H67" s="30" t="s">
        <v>95</v>
      </c>
      <c r="I67" s="31"/>
      <c r="J67" s="32"/>
      <c r="K67" s="22">
        <v>1</v>
      </c>
    </row>
    <row r="68" s="2" customFormat="1" ht="20" customHeight="1" spans="1:1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</row>
    <row r="69" ht="20" customHeight="1" spans="1:1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</row>
    <row r="70" ht="20" customHeight="1" spans="1:1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</row>
    <row r="71" ht="20" customHeight="1" spans="1:1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</row>
    <row r="72" ht="20" customHeight="1" spans="1:1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</row>
    <row r="73" ht="20" customHeight="1" spans="1:1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</row>
    <row r="74" ht="20" customHeight="1"/>
    <row r="75" ht="20" customHeight="1"/>
    <row r="76" ht="20" customHeight="1"/>
    <row r="77" ht="20" customHeight="1"/>
    <row r="78" ht="20" customHeight="1"/>
    <row r="79" ht="20" customHeight="1"/>
  </sheetData>
  <mergeCells count="16">
    <mergeCell ref="A1:K1"/>
    <mergeCell ref="H52:J52"/>
    <mergeCell ref="H53:J53"/>
    <mergeCell ref="H54:J54"/>
    <mergeCell ref="H55:J55"/>
    <mergeCell ref="H56:J56"/>
    <mergeCell ref="H57:J57"/>
    <mergeCell ref="H58:J58"/>
    <mergeCell ref="H59:J59"/>
    <mergeCell ref="H60:J60"/>
    <mergeCell ref="H61:J61"/>
    <mergeCell ref="H62:J62"/>
    <mergeCell ref="H63:J63"/>
    <mergeCell ref="H64:J64"/>
    <mergeCell ref="H65:J65"/>
    <mergeCell ref="H67:J67"/>
  </mergeCells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plxspj</cp:lastModifiedBy>
  <dcterms:created xsi:type="dcterms:W3CDTF">2025-09-09T11:14:00Z</dcterms:created>
  <dcterms:modified xsi:type="dcterms:W3CDTF">2026-03-17T10:25:26Z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B1EE295735DC5E66E1B6B869B542CC27_43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