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 activeTab="2"/>
  </bookViews>
  <sheets>
    <sheet name="投资估算总表" sheetId="1" r:id="rId1"/>
    <sheet name="估算表1-平罗县中医医院医养结合综合楼" sheetId="3" r:id="rId2"/>
    <sheet name="估算表2-红崖子乡卫生院医养结合服务中心楼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<sst xmlns="http://schemas.openxmlformats.org/spreadsheetml/2006/main" count="245" uniqueCount="96">
  <si>
    <t>投资估算总表</t>
  </si>
  <si>
    <t>序号</t>
  </si>
  <si>
    <t>工程或费用名称</t>
  </si>
  <si>
    <t xml:space="preserve">  估  算  金  额（万元）</t>
  </si>
  <si>
    <t>土建工程费</t>
  </si>
  <si>
    <t>安装工程费</t>
  </si>
  <si>
    <t>设备购置费</t>
  </si>
  <si>
    <t>其他费用</t>
  </si>
  <si>
    <t>合计</t>
  </si>
  <si>
    <t>一</t>
  </si>
  <si>
    <t>工程费用</t>
  </si>
  <si>
    <t>平罗县中医医院医养结合综合楼</t>
  </si>
  <si>
    <t>红崖子乡卫生院医养结合服务中心楼</t>
  </si>
  <si>
    <t>二</t>
  </si>
  <si>
    <t>工程建设其他费用</t>
  </si>
  <si>
    <t>三</t>
  </si>
  <si>
    <r>
      <t xml:space="preserve"> </t>
    </r>
    <r>
      <rPr>
        <b/>
        <sz val="11"/>
        <rFont val="宋体"/>
        <charset val="134"/>
      </rPr>
      <t>预备费</t>
    </r>
  </si>
  <si>
    <t>四</t>
  </si>
  <si>
    <t>总投资</t>
  </si>
  <si>
    <t>投资比(%)</t>
  </si>
  <si>
    <t>估 算 表</t>
  </si>
  <si>
    <t>工程及费用名称</t>
  </si>
  <si>
    <t>估算价值（万元）</t>
  </si>
  <si>
    <t>技术经济指标</t>
  </si>
  <si>
    <t>建筑工程费</t>
  </si>
  <si>
    <t>其它费用</t>
  </si>
  <si>
    <t>单位</t>
  </si>
  <si>
    <t>数量</t>
  </si>
  <si>
    <t>单位造价(元)</t>
  </si>
  <si>
    <r>
      <t>m</t>
    </r>
    <r>
      <rPr>
        <vertAlign val="superscript"/>
        <sz val="10"/>
        <rFont val="Times New Roman"/>
        <family val="1"/>
        <charset val="0"/>
      </rPr>
      <t>2</t>
    </r>
  </si>
  <si>
    <t>（一）</t>
  </si>
  <si>
    <t>主体工程-地上工程</t>
  </si>
  <si>
    <t>㎡</t>
  </si>
  <si>
    <t>主体工程-地下工程</t>
  </si>
  <si>
    <t>隔震工程</t>
  </si>
  <si>
    <t>室内装饰装修工程</t>
  </si>
  <si>
    <t>室外装饰装修工程(涂料）</t>
  </si>
  <si>
    <t>给排水消防及喷淋工程</t>
  </si>
  <si>
    <t>采暖及通风工程</t>
  </si>
  <si>
    <t>太阳能集热板工程</t>
  </si>
  <si>
    <t>供氧、真空吸引工程</t>
  </si>
  <si>
    <t>床</t>
  </si>
  <si>
    <t>强电工程</t>
  </si>
  <si>
    <t>弱电工程</t>
  </si>
  <si>
    <t>630kVA箱式变压器</t>
  </si>
  <si>
    <t>台</t>
  </si>
  <si>
    <t>医用电梯工程（6层6站）</t>
  </si>
  <si>
    <t>部</t>
  </si>
  <si>
    <t>抗震支架</t>
  </si>
  <si>
    <t>（二）</t>
  </si>
  <si>
    <t>室外配套工程</t>
  </si>
  <si>
    <t>平罗县中医医院医养结合综合楼-室外配套工程</t>
  </si>
  <si>
    <t>硬地工程</t>
  </si>
  <si>
    <t>绿化工程</t>
  </si>
  <si>
    <t>标识标牌</t>
  </si>
  <si>
    <t>场内水外线工程</t>
  </si>
  <si>
    <t>场内暖外线工程</t>
  </si>
  <si>
    <t>场内强弱电外线工程</t>
  </si>
  <si>
    <t>场内高压外线工程</t>
  </si>
  <si>
    <t>m</t>
  </si>
  <si>
    <t>化粪池</t>
  </si>
  <si>
    <t>m³</t>
  </si>
  <si>
    <t>工程监理费</t>
  </si>
  <si>
    <t>万元</t>
  </si>
  <si>
    <t>可研编制费</t>
  </si>
  <si>
    <t>编制清单及招标控制</t>
  </si>
  <si>
    <t>全过程造价跟踪审计</t>
  </si>
  <si>
    <t>竣工决算编制及审查费</t>
  </si>
  <si>
    <t>地质勘察费</t>
  </si>
  <si>
    <t>施工图设计费（含BIM）</t>
  </si>
  <si>
    <t>勘察设计审查费</t>
  </si>
  <si>
    <t>环评费</t>
  </si>
  <si>
    <t>地震评估费</t>
  </si>
  <si>
    <t>水土保持费</t>
  </si>
  <si>
    <t>工程建设质量检测费</t>
  </si>
  <si>
    <t>测绘费</t>
  </si>
  <si>
    <t>人防易地建设费</t>
  </si>
  <si>
    <t>水资源税及排污降水费</t>
  </si>
  <si>
    <t>暖增容费</t>
  </si>
  <si>
    <t>消防检测费</t>
  </si>
  <si>
    <t>项</t>
  </si>
  <si>
    <t>高可靠供电费</t>
  </si>
  <si>
    <t>KVA</t>
  </si>
  <si>
    <t>防辐射预评价费</t>
  </si>
  <si>
    <t>工程测量费</t>
  </si>
  <si>
    <t>预备费</t>
  </si>
  <si>
    <r>
      <t>m</t>
    </r>
    <r>
      <rPr>
        <b/>
        <vertAlign val="superscript"/>
        <sz val="10"/>
        <rFont val="Times New Roman"/>
        <family val="1"/>
        <charset val="0"/>
      </rPr>
      <t>2</t>
    </r>
  </si>
  <si>
    <t>项目总投资</t>
  </si>
  <si>
    <t>主体工程</t>
  </si>
  <si>
    <t>减震工程</t>
  </si>
  <si>
    <t>室外装饰装修工程（涂料）</t>
  </si>
  <si>
    <t>给排水消防工程</t>
  </si>
  <si>
    <t>空气源热泵机组</t>
  </si>
  <si>
    <t>医用电梯工程（2层2站）</t>
  </si>
  <si>
    <t>红崖子乡卫生院医养结合服务中心楼-室外配套工程</t>
  </si>
  <si>
    <t>拆除原有平房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</si>
</sst>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Times New Roman"/>
      <family val="1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Times New Roman"/>
      <family val="1"/>
      <charset val="0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0"/>
      <name val="Times New Roman"/>
      <family val="1"/>
      <charset val="0"/>
    </font>
    <font>
      <vertAlign val="superscript"/>
      <sz val="10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indexed="8"/>
      </bottom>
      <diagonal/>
    </border>
    <border>
      <left/>
      <right style="hair">
        <color auto="1"/>
      </right>
      <top style="hair">
        <color auto="1"/>
      </top>
      <bottom style="double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8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double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1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8" fontId="5" fillId="0" borderId="7" xfId="49" applyNumberFormat="1" applyFont="1" applyFill="1" applyBorder="1" applyAlignment="1">
      <alignment horizontal="center" vertical="center" wrapText="1"/>
    </xf>
    <xf numFmtId="177" fontId="5" fillId="0" borderId="7" xfId="49" applyNumberFormat="1" applyFont="1" applyFill="1" applyBorder="1" applyAlignment="1">
      <alignment horizontal="left" vertical="center" wrapText="1"/>
    </xf>
    <xf numFmtId="177" fontId="5" fillId="0" borderId="7" xfId="49" applyNumberFormat="1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left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0" fontId="5" fillId="0" borderId="7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right" vertical="center" wrapText="1"/>
    </xf>
    <xf numFmtId="177" fontId="5" fillId="0" borderId="3" xfId="0" applyNumberFormat="1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left" vertical="center" wrapText="1"/>
    </xf>
    <xf numFmtId="176" fontId="5" fillId="0" borderId="7" xfId="2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right" vertical="center" wrapText="1"/>
    </xf>
    <xf numFmtId="177" fontId="5" fillId="0" borderId="7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/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left" vertical="center"/>
    </xf>
    <xf numFmtId="176" fontId="3" fillId="0" borderId="7" xfId="0" applyNumberFormat="1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left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left" vertical="center"/>
    </xf>
    <xf numFmtId="176" fontId="9" fillId="0" borderId="12" xfId="0" applyNumberFormat="1" applyFont="1" applyFill="1" applyBorder="1" applyAlignment="1">
      <alignment horizontal="right" vertical="center"/>
    </xf>
    <xf numFmtId="176" fontId="10" fillId="0" borderId="12" xfId="0" applyNumberFormat="1" applyFont="1" applyFill="1" applyBorder="1" applyAlignment="1">
      <alignment horizontal="right" vertical="center"/>
    </xf>
    <xf numFmtId="176" fontId="9" fillId="0" borderId="13" xfId="0" applyNumberFormat="1" applyFont="1" applyFill="1" applyBorder="1" applyAlignment="1">
      <alignment horizontal="right" vertical="center"/>
    </xf>
    <xf numFmtId="179" fontId="10" fillId="0" borderId="11" xfId="0" applyNumberFormat="1" applyFont="1" applyFill="1" applyBorder="1" applyAlignment="1">
      <alignment horizontal="center" vertical="center"/>
    </xf>
    <xf numFmtId="176" fontId="10" fillId="0" borderId="12" xfId="0" applyNumberFormat="1" applyFont="1" applyFill="1" applyBorder="1" applyAlignment="1">
      <alignment horizontal="left" vertical="center"/>
    </xf>
    <xf numFmtId="176" fontId="11" fillId="0" borderId="12" xfId="0" applyNumberFormat="1" applyFont="1" applyFill="1" applyBorder="1" applyAlignment="1">
      <alignment horizontal="left" vertical="center"/>
    </xf>
    <xf numFmtId="179" fontId="9" fillId="0" borderId="12" xfId="0" applyNumberFormat="1" applyFont="1" applyFill="1" applyBorder="1" applyAlignment="1">
      <alignment horizontal="right" vertical="center"/>
    </xf>
    <xf numFmtId="179" fontId="9" fillId="0" borderId="13" xfId="0" applyNumberFormat="1" applyFont="1" applyFill="1" applyBorder="1" applyAlignment="1">
      <alignment horizontal="right" vertical="center"/>
    </xf>
    <xf numFmtId="176" fontId="9" fillId="0" borderId="14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left" vertical="center"/>
    </xf>
    <xf numFmtId="176" fontId="9" fillId="0" borderId="16" xfId="0" applyNumberFormat="1" applyFont="1" applyFill="1" applyBorder="1" applyAlignment="1">
      <alignment horizontal="right" vertical="center"/>
    </xf>
    <xf numFmtId="176" fontId="9" fillId="0" borderId="17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rtam84dqmzik22_3357\msg\file\2026-05\307&#12304;&#20272;&#31639;&#34920;&#12305;&#24179;&#32599;&#21439;&#21439;&#22495;&#21307;&#20849;&#20307;&#21307;&#20859;&#32467;&#21512;&#26381;&#21153;&#33021;&#21147;&#25552;&#21319;&#39033;&#30446;-&#20998;&#34920;--&#25918;&#22823;5%25-&#21021;&#357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1"/>
      <sheetName val="估算表1-平罗县中医医院医养结合综合楼"/>
      <sheetName val="总表2"/>
      <sheetName val="估算表2-红崖子乡卫生院医养结合服务中心楼"/>
    </sheetNames>
    <sheetDataSet>
      <sheetData sheetId="0"/>
      <sheetData sheetId="1">
        <row r="4">
          <cell r="C4">
            <v>2731.475</v>
          </cell>
          <cell r="D4">
            <v>674.488</v>
          </cell>
          <cell r="E4">
            <v>208.212</v>
          </cell>
        </row>
        <row r="6">
          <cell r="G6">
            <v>317.6406625</v>
          </cell>
        </row>
        <row r="8">
          <cell r="G8">
            <v>37.18</v>
          </cell>
        </row>
        <row r="10">
          <cell r="C10">
            <v>2731.475</v>
          </cell>
          <cell r="D10">
            <v>674.488</v>
          </cell>
          <cell r="E10">
            <v>208.212</v>
          </cell>
          <cell r="F10">
            <v>354.8206625</v>
          </cell>
        </row>
      </sheetData>
      <sheetData sheetId="2"/>
      <sheetData sheetId="3">
        <row r="4">
          <cell r="C4">
            <v>398.95</v>
          </cell>
          <cell r="D4">
            <v>110.66</v>
          </cell>
          <cell r="E4">
            <v>69.44</v>
          </cell>
        </row>
        <row r="6">
          <cell r="G6">
            <v>45.186095</v>
          </cell>
        </row>
        <row r="8">
          <cell r="G8">
            <v>5.76</v>
          </cell>
        </row>
        <row r="10">
          <cell r="C10">
            <v>398.95</v>
          </cell>
          <cell r="D10">
            <v>110.66</v>
          </cell>
          <cell r="E10">
            <v>69.44</v>
          </cell>
          <cell r="F10">
            <v>50.946095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E28" sqref="E28"/>
    </sheetView>
  </sheetViews>
  <sheetFormatPr defaultColWidth="10" defaultRowHeight="15.6" outlineLevelCol="6"/>
  <cols>
    <col min="1" max="1" width="5.97222222222222" style="1" customWidth="1"/>
    <col min="2" max="2" width="53.75" style="1" customWidth="1"/>
    <col min="3" max="5" width="12.7777777777778" style="1" customWidth="1"/>
    <col min="6" max="6" width="10.4166666666667" style="1" customWidth="1"/>
    <col min="7" max="7" width="11.5277777777778" style="1" customWidth="1"/>
    <col min="8" max="16384" width="10" style="1"/>
  </cols>
  <sheetData>
    <row r="1" s="1" customFormat="1" ht="25" customHeight="1" spans="1:7">
      <c r="A1" s="52" t="s">
        <v>0</v>
      </c>
      <c r="B1" s="53"/>
      <c r="C1" s="52"/>
      <c r="D1" s="52"/>
      <c r="E1" s="52"/>
      <c r="F1" s="52"/>
      <c r="G1" s="52"/>
    </row>
    <row r="2" s="1" customFormat="1" ht="25" customHeight="1" spans="1:7">
      <c r="A2" s="54" t="s">
        <v>1</v>
      </c>
      <c r="B2" s="55" t="s">
        <v>2</v>
      </c>
      <c r="C2" s="55" t="s">
        <v>3</v>
      </c>
      <c r="D2" s="55"/>
      <c r="E2" s="55"/>
      <c r="F2" s="55"/>
      <c r="G2" s="56"/>
    </row>
    <row r="3" s="1" customFormat="1" ht="25" customHeight="1" spans="1:7">
      <c r="A3" s="57"/>
      <c r="B3" s="58"/>
      <c r="C3" s="58" t="s">
        <v>4</v>
      </c>
      <c r="D3" s="58" t="s">
        <v>5</v>
      </c>
      <c r="E3" s="58" t="s">
        <v>6</v>
      </c>
      <c r="F3" s="58" t="s">
        <v>7</v>
      </c>
      <c r="G3" s="59" t="s">
        <v>8</v>
      </c>
    </row>
    <row r="4" s="1" customFormat="1" ht="25" customHeight="1" spans="1:7">
      <c r="A4" s="57" t="s">
        <v>9</v>
      </c>
      <c r="B4" s="60" t="s">
        <v>10</v>
      </c>
      <c r="C4" s="61">
        <f>SUM(C5:C6)</f>
        <v>3130.425</v>
      </c>
      <c r="D4" s="61">
        <f>SUM(D5:D6)</f>
        <v>785.148</v>
      </c>
      <c r="E4" s="61">
        <f>SUM(E5:E6)</f>
        <v>277.652</v>
      </c>
      <c r="F4" s="62"/>
      <c r="G4" s="63">
        <f t="shared" ref="G4:G16" si="0">SUM(C4:F4)</f>
        <v>4193.225</v>
      </c>
    </row>
    <row r="5" s="1" customFormat="1" ht="25" customHeight="1" spans="1:7">
      <c r="A5" s="64">
        <v>1</v>
      </c>
      <c r="B5" s="65" t="s">
        <v>11</v>
      </c>
      <c r="C5" s="62">
        <f>[1]总表1!C4</f>
        <v>2731.475</v>
      </c>
      <c r="D5" s="62">
        <f>[1]总表1!D4</f>
        <v>674.488</v>
      </c>
      <c r="E5" s="62">
        <f>[1]总表1!E4</f>
        <v>208.212</v>
      </c>
      <c r="F5" s="62"/>
      <c r="G5" s="63">
        <f t="shared" si="0"/>
        <v>3614.175</v>
      </c>
    </row>
    <row r="6" s="1" customFormat="1" ht="25" customHeight="1" spans="1:7">
      <c r="A6" s="64">
        <v>2</v>
      </c>
      <c r="B6" s="65" t="s">
        <v>12</v>
      </c>
      <c r="C6" s="62">
        <f>[1]总表2!C4</f>
        <v>398.95</v>
      </c>
      <c r="D6" s="62">
        <f>[1]总表2!D4</f>
        <v>110.66</v>
      </c>
      <c r="E6" s="62">
        <f>[1]总表2!E4</f>
        <v>69.44</v>
      </c>
      <c r="F6" s="62"/>
      <c r="G6" s="63">
        <f t="shared" si="0"/>
        <v>579.05</v>
      </c>
    </row>
    <row r="7" s="1" customFormat="1" ht="25" customHeight="1" spans="1:7">
      <c r="A7" s="57" t="s">
        <v>13</v>
      </c>
      <c r="B7" s="60" t="s">
        <v>14</v>
      </c>
      <c r="C7" s="62"/>
      <c r="D7" s="62"/>
      <c r="E7" s="62"/>
      <c r="F7" s="61">
        <f>SUM(F8:F9)</f>
        <v>362.8267575</v>
      </c>
      <c r="G7" s="63">
        <f t="shared" si="0"/>
        <v>362.8267575</v>
      </c>
    </row>
    <row r="8" s="1" customFormat="1" ht="25" customHeight="1" spans="1:7">
      <c r="A8" s="64">
        <v>1</v>
      </c>
      <c r="B8" s="65" t="s">
        <v>11</v>
      </c>
      <c r="C8" s="62"/>
      <c r="D8" s="62"/>
      <c r="E8" s="62"/>
      <c r="F8" s="62">
        <f>[1]总表1!G6</f>
        <v>317.6406625</v>
      </c>
      <c r="G8" s="63">
        <f t="shared" si="0"/>
        <v>317.6406625</v>
      </c>
    </row>
    <row r="9" s="1" customFormat="1" ht="25" customHeight="1" spans="1:7">
      <c r="A9" s="64">
        <v>2</v>
      </c>
      <c r="B9" s="65" t="s">
        <v>12</v>
      </c>
      <c r="C9" s="62"/>
      <c r="D9" s="62"/>
      <c r="E9" s="62"/>
      <c r="F9" s="62">
        <f>[1]总表2!G6</f>
        <v>45.186095</v>
      </c>
      <c r="G9" s="63">
        <f t="shared" si="0"/>
        <v>45.186095</v>
      </c>
    </row>
    <row r="10" s="1" customFormat="1" ht="25" customHeight="1" spans="1:7">
      <c r="A10" s="57" t="s">
        <v>15</v>
      </c>
      <c r="B10" s="66" t="s">
        <v>16</v>
      </c>
      <c r="C10" s="62"/>
      <c r="D10" s="62"/>
      <c r="E10" s="62"/>
      <c r="F10" s="61">
        <f>SUM(F11:F12)</f>
        <v>42.94</v>
      </c>
      <c r="G10" s="63">
        <f t="shared" si="0"/>
        <v>42.94</v>
      </c>
    </row>
    <row r="11" s="1" customFormat="1" ht="25" customHeight="1" spans="1:7">
      <c r="A11" s="64">
        <v>1</v>
      </c>
      <c r="B11" s="65" t="s">
        <v>11</v>
      </c>
      <c r="C11" s="62"/>
      <c r="D11" s="62"/>
      <c r="E11" s="62"/>
      <c r="F11" s="62">
        <f>[1]总表1!G8</f>
        <v>37.18</v>
      </c>
      <c r="G11" s="63">
        <f t="shared" si="0"/>
        <v>37.18</v>
      </c>
    </row>
    <row r="12" s="1" customFormat="1" ht="25" customHeight="1" spans="1:7">
      <c r="A12" s="64">
        <v>2</v>
      </c>
      <c r="B12" s="65" t="s">
        <v>12</v>
      </c>
      <c r="C12" s="62"/>
      <c r="D12" s="62"/>
      <c r="E12" s="62"/>
      <c r="F12" s="62">
        <f>[1]总表2!G8</f>
        <v>5.76</v>
      </c>
      <c r="G12" s="63">
        <f t="shared" si="0"/>
        <v>5.76</v>
      </c>
    </row>
    <row r="13" s="1" customFormat="1" ht="25" customHeight="1" spans="1:7">
      <c r="A13" s="57" t="s">
        <v>17</v>
      </c>
      <c r="B13" s="60" t="s">
        <v>18</v>
      </c>
      <c r="C13" s="67">
        <f t="shared" ref="C13:F13" si="1">SUM(C14:C15)</f>
        <v>3130.425</v>
      </c>
      <c r="D13" s="67">
        <f t="shared" si="1"/>
        <v>785.148</v>
      </c>
      <c r="E13" s="67">
        <f t="shared" si="1"/>
        <v>277.652</v>
      </c>
      <c r="F13" s="67">
        <f t="shared" si="1"/>
        <v>405.7667575</v>
      </c>
      <c r="G13" s="68">
        <f t="shared" si="0"/>
        <v>4598.9917575</v>
      </c>
    </row>
    <row r="14" s="1" customFormat="1" ht="25" customHeight="1" spans="1:7">
      <c r="A14" s="64">
        <v>1</v>
      </c>
      <c r="B14" s="65" t="s">
        <v>11</v>
      </c>
      <c r="C14" s="62">
        <f>[1]总表1!C10</f>
        <v>2731.475</v>
      </c>
      <c r="D14" s="62">
        <f>[1]总表1!D10</f>
        <v>674.488</v>
      </c>
      <c r="E14" s="62">
        <f>[1]总表1!E10</f>
        <v>208.212</v>
      </c>
      <c r="F14" s="62">
        <f>[1]总表1!F10</f>
        <v>354.8206625</v>
      </c>
      <c r="G14" s="68">
        <f t="shared" si="0"/>
        <v>3968.9956625</v>
      </c>
    </row>
    <row r="15" s="1" customFormat="1" ht="25" customHeight="1" spans="1:7">
      <c r="A15" s="64">
        <v>2</v>
      </c>
      <c r="B15" s="65" t="s">
        <v>12</v>
      </c>
      <c r="C15" s="62">
        <f>[1]总表2!C10</f>
        <v>398.95</v>
      </c>
      <c r="D15" s="62">
        <f>[1]总表2!D10</f>
        <v>110.66</v>
      </c>
      <c r="E15" s="62">
        <f>[1]总表2!E10</f>
        <v>69.44</v>
      </c>
      <c r="F15" s="62">
        <f>[1]总表2!F10</f>
        <v>50.946095</v>
      </c>
      <c r="G15" s="68">
        <f t="shared" si="0"/>
        <v>629.996095</v>
      </c>
    </row>
    <row r="16" s="1" customFormat="1" ht="25" customHeight="1" spans="1:7">
      <c r="A16" s="69" t="s">
        <v>19</v>
      </c>
      <c r="B16" s="70"/>
      <c r="C16" s="71">
        <f>C13/G13*100</f>
        <v>68.0676366704708</v>
      </c>
      <c r="D16" s="71">
        <f>D13/G13*100</f>
        <v>17.0721767161158</v>
      </c>
      <c r="E16" s="71">
        <f>E13/G13*100</f>
        <v>6.03723630396178</v>
      </c>
      <c r="F16" s="71">
        <f>F13/G13*100</f>
        <v>8.8229503094516</v>
      </c>
      <c r="G16" s="72">
        <f t="shared" si="0"/>
        <v>100</v>
      </c>
    </row>
    <row r="17" s="1" customFormat="1" ht="16.35"/>
  </sheetData>
  <mergeCells count="5">
    <mergeCell ref="A1:G1"/>
    <mergeCell ref="C2:G2"/>
    <mergeCell ref="A16:B16"/>
    <mergeCell ref="A2:A3"/>
    <mergeCell ref="B2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workbookViewId="0">
      <selection activeCell="H63" sqref="H63"/>
    </sheetView>
  </sheetViews>
  <sheetFormatPr defaultColWidth="10" defaultRowHeight="15.6"/>
  <cols>
    <col min="1" max="1" width="7.36111111111111" style="1" customWidth="1"/>
    <col min="2" max="2" width="22.9166666666667" style="1" customWidth="1"/>
    <col min="3" max="10" width="11.8055555555556" style="1" customWidth="1"/>
    <col min="11" max="12" width="10" style="1"/>
    <col min="13" max="13" width="17.7777777777778" style="1"/>
    <col min="14" max="14" width="12.7777777777778" style="1"/>
    <col min="15" max="16384" width="10" style="1"/>
  </cols>
  <sheetData>
    <row r="1" s="1" customFormat="1" ht="25" customHeight="1" spans="1:10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5" customHeight="1" spans="1:10">
      <c r="A2" s="3" t="s">
        <v>1</v>
      </c>
      <c r="B2" s="3" t="s">
        <v>21</v>
      </c>
      <c r="C2" s="4" t="s">
        <v>22</v>
      </c>
      <c r="D2" s="5"/>
      <c r="E2" s="5"/>
      <c r="F2" s="5"/>
      <c r="G2" s="6"/>
      <c r="H2" s="4" t="s">
        <v>23</v>
      </c>
      <c r="I2" s="5"/>
      <c r="J2" s="6"/>
    </row>
    <row r="3" s="1" customFormat="1" ht="25" customHeight="1" spans="1:10">
      <c r="A3" s="7"/>
      <c r="B3" s="7"/>
      <c r="C3" s="8" t="s">
        <v>24</v>
      </c>
      <c r="D3" s="8" t="s">
        <v>5</v>
      </c>
      <c r="E3" s="8" t="s">
        <v>6</v>
      </c>
      <c r="F3" s="8" t="s">
        <v>25</v>
      </c>
      <c r="G3" s="8" t="s">
        <v>8</v>
      </c>
      <c r="H3" s="8" t="s">
        <v>26</v>
      </c>
      <c r="I3" s="8" t="s">
        <v>27</v>
      </c>
      <c r="J3" s="8" t="s">
        <v>28</v>
      </c>
    </row>
    <row r="4" s="1" customFormat="1" ht="25" customHeight="1" spans="1:10">
      <c r="A4" s="8" t="s">
        <v>9</v>
      </c>
      <c r="B4" s="9" t="s">
        <v>24</v>
      </c>
      <c r="C4" s="10">
        <f>C5+C20</f>
        <v>2731.475</v>
      </c>
      <c r="D4" s="10">
        <f>D5+D20</f>
        <v>674.488</v>
      </c>
      <c r="E4" s="10">
        <f>E5+E20</f>
        <v>208.212</v>
      </c>
      <c r="F4" s="10"/>
      <c r="G4" s="11">
        <f>C4+D4+E4+F4</f>
        <v>3614.175</v>
      </c>
      <c r="H4" s="12" t="s">
        <v>29</v>
      </c>
      <c r="I4" s="13">
        <f>I5</f>
        <v>7560</v>
      </c>
      <c r="J4" s="10">
        <f>G4/I4*10000</f>
        <v>4780.65476190476</v>
      </c>
    </row>
    <row r="5" s="1" customFormat="1" ht="25" customHeight="1" spans="1:10">
      <c r="A5" s="8" t="s">
        <v>30</v>
      </c>
      <c r="B5" s="9" t="s">
        <v>11</v>
      </c>
      <c r="C5" s="10">
        <f>SUM(C6:C19)</f>
        <v>2700.52</v>
      </c>
      <c r="D5" s="10">
        <f>SUM(D6:D19)</f>
        <v>483.528</v>
      </c>
      <c r="E5" s="10">
        <f>SUM(E6:E19)</f>
        <v>208.212</v>
      </c>
      <c r="F5" s="10"/>
      <c r="G5" s="11">
        <f>C5+D5+E5</f>
        <v>3392.26</v>
      </c>
      <c r="H5" s="12" t="s">
        <v>29</v>
      </c>
      <c r="I5" s="13">
        <v>7560</v>
      </c>
      <c r="J5" s="10">
        <f>G5/I5*10000</f>
        <v>4487.1164021164</v>
      </c>
    </row>
    <row r="6" s="1" customFormat="1" ht="25" customHeight="1" spans="1:10">
      <c r="A6" s="14">
        <v>1</v>
      </c>
      <c r="B6" s="15" t="s">
        <v>31</v>
      </c>
      <c r="C6" s="16">
        <f t="shared" ref="C6:C10" si="0">G6</f>
        <v>1410.2</v>
      </c>
      <c r="D6" s="16"/>
      <c r="E6" s="16"/>
      <c r="F6" s="16"/>
      <c r="G6" s="16">
        <f t="shared" ref="G6:G19" si="1">I6*J6/10000</f>
        <v>1410.2</v>
      </c>
      <c r="H6" s="16" t="s">
        <v>32</v>
      </c>
      <c r="I6" s="16">
        <v>6410</v>
      </c>
      <c r="J6" s="16">
        <v>2200</v>
      </c>
    </row>
    <row r="7" s="1" customFormat="1" ht="25" customHeight="1" spans="1:10">
      <c r="A7" s="14">
        <v>2</v>
      </c>
      <c r="B7" s="15" t="s">
        <v>33</v>
      </c>
      <c r="C7" s="16">
        <f t="shared" si="0"/>
        <v>368</v>
      </c>
      <c r="D7" s="16"/>
      <c r="E7" s="16"/>
      <c r="F7" s="16"/>
      <c r="G7" s="16">
        <f t="shared" si="1"/>
        <v>368</v>
      </c>
      <c r="H7" s="16" t="s">
        <v>32</v>
      </c>
      <c r="I7" s="16">
        <v>1150</v>
      </c>
      <c r="J7" s="16">
        <v>3200</v>
      </c>
    </row>
    <row r="8" s="1" customFormat="1" ht="25" customHeight="1" spans="1:10">
      <c r="A8" s="14">
        <v>3</v>
      </c>
      <c r="B8" s="15" t="s">
        <v>34</v>
      </c>
      <c r="C8" s="16">
        <f t="shared" si="0"/>
        <v>241.92</v>
      </c>
      <c r="D8" s="16"/>
      <c r="E8" s="16"/>
      <c r="F8" s="16"/>
      <c r="G8" s="16">
        <f t="shared" si="1"/>
        <v>241.92</v>
      </c>
      <c r="H8" s="16" t="s">
        <v>32</v>
      </c>
      <c r="I8" s="16">
        <f>I5</f>
        <v>7560</v>
      </c>
      <c r="J8" s="16">
        <v>320</v>
      </c>
    </row>
    <row r="9" s="1" customFormat="1" ht="25" customHeight="1" spans="1:10">
      <c r="A9" s="14">
        <v>4</v>
      </c>
      <c r="B9" s="15" t="s">
        <v>35</v>
      </c>
      <c r="C9" s="16">
        <f t="shared" si="0"/>
        <v>362.88</v>
      </c>
      <c r="D9" s="16"/>
      <c r="E9" s="16"/>
      <c r="F9" s="16"/>
      <c r="G9" s="16">
        <f t="shared" si="1"/>
        <v>362.88</v>
      </c>
      <c r="H9" s="16" t="s">
        <v>32</v>
      </c>
      <c r="I9" s="16">
        <f>I5</f>
        <v>7560</v>
      </c>
      <c r="J9" s="16">
        <v>480</v>
      </c>
    </row>
    <row r="10" s="1" customFormat="1" ht="25" customHeight="1" spans="1:10">
      <c r="A10" s="14">
        <v>5</v>
      </c>
      <c r="B10" s="15" t="s">
        <v>36</v>
      </c>
      <c r="C10" s="16">
        <f t="shared" si="0"/>
        <v>317.52</v>
      </c>
      <c r="D10" s="16"/>
      <c r="E10" s="16"/>
      <c r="F10" s="16"/>
      <c r="G10" s="16">
        <f t="shared" si="1"/>
        <v>317.52</v>
      </c>
      <c r="H10" s="16" t="s">
        <v>32</v>
      </c>
      <c r="I10" s="16">
        <f t="shared" ref="I10:I12" si="2">I9</f>
        <v>7560</v>
      </c>
      <c r="J10" s="16">
        <v>420</v>
      </c>
    </row>
    <row r="11" s="1" customFormat="1" ht="25" customHeight="1" spans="1:10">
      <c r="A11" s="14">
        <v>6</v>
      </c>
      <c r="B11" s="17" t="s">
        <v>37</v>
      </c>
      <c r="C11" s="16"/>
      <c r="D11" s="16">
        <f t="shared" ref="D11:D16" si="3">G11*0.8</f>
        <v>84.672</v>
      </c>
      <c r="E11" s="16">
        <f t="shared" ref="E11:E16" si="4">G11*0.2</f>
        <v>21.168</v>
      </c>
      <c r="F11" s="16"/>
      <c r="G11" s="16">
        <f t="shared" si="1"/>
        <v>105.84</v>
      </c>
      <c r="H11" s="16" t="s">
        <v>32</v>
      </c>
      <c r="I11" s="16">
        <f t="shared" si="2"/>
        <v>7560</v>
      </c>
      <c r="J11" s="16">
        <v>140</v>
      </c>
    </row>
    <row r="12" s="1" customFormat="1" ht="25" customHeight="1" spans="1:10">
      <c r="A12" s="14">
        <v>7</v>
      </c>
      <c r="B12" s="17" t="s">
        <v>38</v>
      </c>
      <c r="C12" s="16"/>
      <c r="D12" s="16">
        <f t="shared" si="3"/>
        <v>81.648</v>
      </c>
      <c r="E12" s="16">
        <f t="shared" si="4"/>
        <v>20.412</v>
      </c>
      <c r="F12" s="16"/>
      <c r="G12" s="16">
        <f t="shared" si="1"/>
        <v>102.06</v>
      </c>
      <c r="H12" s="16" t="s">
        <v>32</v>
      </c>
      <c r="I12" s="16">
        <f t="shared" si="2"/>
        <v>7560</v>
      </c>
      <c r="J12" s="16">
        <v>135</v>
      </c>
    </row>
    <row r="13" s="1" customFormat="1" ht="25" customHeight="1" spans="1:10">
      <c r="A13" s="14">
        <v>9</v>
      </c>
      <c r="B13" s="17" t="s">
        <v>39</v>
      </c>
      <c r="C13" s="18"/>
      <c r="D13" s="16">
        <f>G13*0.2</f>
        <v>10.8</v>
      </c>
      <c r="E13" s="16">
        <f>G13*0.8</f>
        <v>43.2</v>
      </c>
      <c r="F13" s="19"/>
      <c r="G13" s="16">
        <f t="shared" si="1"/>
        <v>54</v>
      </c>
      <c r="H13" s="16" t="s">
        <v>32</v>
      </c>
      <c r="I13" s="16">
        <v>300</v>
      </c>
      <c r="J13" s="16">
        <v>1800</v>
      </c>
    </row>
    <row r="14" s="1" customFormat="1" ht="25" customHeight="1" spans="1:10">
      <c r="A14" s="14">
        <v>10</v>
      </c>
      <c r="B14" s="17" t="s">
        <v>40</v>
      </c>
      <c r="C14" s="19"/>
      <c r="D14" s="16">
        <f>G14*20%</f>
        <v>6</v>
      </c>
      <c r="E14" s="16">
        <f>G14*80%</f>
        <v>24</v>
      </c>
      <c r="F14" s="19"/>
      <c r="G14" s="16">
        <f t="shared" si="1"/>
        <v>30</v>
      </c>
      <c r="H14" s="16" t="s">
        <v>41</v>
      </c>
      <c r="I14" s="16">
        <v>150</v>
      </c>
      <c r="J14" s="16">
        <v>2000</v>
      </c>
    </row>
    <row r="15" s="1" customFormat="1" ht="25" customHeight="1" spans="1:10">
      <c r="A15" s="14">
        <v>11</v>
      </c>
      <c r="B15" s="17" t="s">
        <v>42</v>
      </c>
      <c r="C15" s="16"/>
      <c r="D15" s="16">
        <f t="shared" si="3"/>
        <v>108.864</v>
      </c>
      <c r="E15" s="16">
        <f t="shared" si="4"/>
        <v>27.216</v>
      </c>
      <c r="F15" s="16"/>
      <c r="G15" s="16">
        <f t="shared" si="1"/>
        <v>136.08</v>
      </c>
      <c r="H15" s="16" t="s">
        <v>32</v>
      </c>
      <c r="I15" s="16">
        <f>I12</f>
        <v>7560</v>
      </c>
      <c r="J15" s="16">
        <v>180</v>
      </c>
    </row>
    <row r="16" s="1" customFormat="1" ht="25" customHeight="1" spans="1:10">
      <c r="A16" s="14">
        <v>12</v>
      </c>
      <c r="B16" s="17" t="s">
        <v>43</v>
      </c>
      <c r="C16" s="16"/>
      <c r="D16" s="16">
        <f t="shared" si="3"/>
        <v>108.864</v>
      </c>
      <c r="E16" s="16">
        <f t="shared" si="4"/>
        <v>27.216</v>
      </c>
      <c r="F16" s="16"/>
      <c r="G16" s="16">
        <f t="shared" si="1"/>
        <v>136.08</v>
      </c>
      <c r="H16" s="16" t="s">
        <v>32</v>
      </c>
      <c r="I16" s="16">
        <f>I15</f>
        <v>7560</v>
      </c>
      <c r="J16" s="16">
        <v>180</v>
      </c>
    </row>
    <row r="17" s="1" customFormat="1" ht="25" customHeight="1" spans="1:10">
      <c r="A17" s="14">
        <v>13</v>
      </c>
      <c r="B17" s="15" t="s">
        <v>44</v>
      </c>
      <c r="C17" s="16"/>
      <c r="D17" s="16"/>
      <c r="E17" s="16">
        <f>G17</f>
        <v>45</v>
      </c>
      <c r="F17" s="16"/>
      <c r="G17" s="23">
        <f t="shared" si="1"/>
        <v>45</v>
      </c>
      <c r="H17" s="20" t="s">
        <v>45</v>
      </c>
      <c r="I17" s="16">
        <v>2</v>
      </c>
      <c r="J17" s="16">
        <v>225000</v>
      </c>
    </row>
    <row r="18" s="1" customFormat="1" ht="25" customHeight="1" spans="1:10">
      <c r="A18" s="14">
        <v>14</v>
      </c>
      <c r="B18" s="17" t="s">
        <v>46</v>
      </c>
      <c r="C18" s="16"/>
      <c r="D18" s="16">
        <f>G18</f>
        <v>60</v>
      </c>
      <c r="E18" s="16"/>
      <c r="F18" s="16"/>
      <c r="G18" s="16">
        <f t="shared" si="1"/>
        <v>60</v>
      </c>
      <c r="H18" s="16" t="s">
        <v>47</v>
      </c>
      <c r="I18" s="16">
        <v>2</v>
      </c>
      <c r="J18" s="16">
        <v>300000</v>
      </c>
    </row>
    <row r="19" s="1" customFormat="1" ht="25" customHeight="1" spans="1:10">
      <c r="A19" s="14">
        <v>15</v>
      </c>
      <c r="B19" s="15" t="s">
        <v>48</v>
      </c>
      <c r="C19" s="16"/>
      <c r="D19" s="16">
        <f>G19</f>
        <v>22.68</v>
      </c>
      <c r="E19" s="16"/>
      <c r="F19" s="16"/>
      <c r="G19" s="16">
        <f t="shared" si="1"/>
        <v>22.68</v>
      </c>
      <c r="H19" s="16" t="str">
        <f>H15</f>
        <v>㎡</v>
      </c>
      <c r="I19" s="16">
        <f>I15</f>
        <v>7560</v>
      </c>
      <c r="J19" s="16">
        <v>30</v>
      </c>
    </row>
    <row r="20" s="1" customFormat="1" ht="25" customHeight="1" spans="1:10">
      <c r="A20" s="8" t="s">
        <v>49</v>
      </c>
      <c r="B20" s="9" t="s">
        <v>50</v>
      </c>
      <c r="C20" s="10">
        <f t="shared" ref="C20:G20" si="5">C21</f>
        <v>30.955</v>
      </c>
      <c r="D20" s="10">
        <f t="shared" si="5"/>
        <v>190.96</v>
      </c>
      <c r="E20" s="10"/>
      <c r="F20" s="10"/>
      <c r="G20" s="11">
        <f t="shared" si="5"/>
        <v>221.915</v>
      </c>
      <c r="H20" s="16"/>
      <c r="I20" s="13">
        <f>I21</f>
        <v>7560</v>
      </c>
      <c r="J20" s="10">
        <f>G20/I20*10000</f>
        <v>293.53835978836</v>
      </c>
    </row>
    <row r="21" s="1" customFormat="1" ht="25" customHeight="1" spans="1:10">
      <c r="A21" s="20">
        <v>1</v>
      </c>
      <c r="B21" s="25" t="s">
        <v>51</v>
      </c>
      <c r="C21" s="24">
        <f t="shared" ref="C21:G21" si="6">SUM(C22:C29)</f>
        <v>30.955</v>
      </c>
      <c r="D21" s="24">
        <f t="shared" si="6"/>
        <v>190.96</v>
      </c>
      <c r="E21" s="24"/>
      <c r="F21" s="24"/>
      <c r="G21" s="24">
        <f t="shared" si="6"/>
        <v>221.915</v>
      </c>
      <c r="H21" s="22" t="s">
        <v>32</v>
      </c>
      <c r="I21" s="22">
        <v>7560</v>
      </c>
      <c r="J21" s="24"/>
    </row>
    <row r="22" s="1" customFormat="1" ht="25" customHeight="1" spans="1:10">
      <c r="A22" s="20">
        <v>1.1</v>
      </c>
      <c r="B22" s="25" t="s">
        <v>52</v>
      </c>
      <c r="C22" s="24">
        <f t="shared" ref="C22:C24" si="7">G22</f>
        <v>18.2</v>
      </c>
      <c r="D22" s="24"/>
      <c r="E22" s="24"/>
      <c r="F22" s="24"/>
      <c r="G22" s="23">
        <f t="shared" ref="G22:G29" si="8">I22*J22/10000</f>
        <v>18.2</v>
      </c>
      <c r="H22" s="22" t="s">
        <v>32</v>
      </c>
      <c r="I22" s="22">
        <v>700</v>
      </c>
      <c r="J22" s="24">
        <v>260</v>
      </c>
    </row>
    <row r="23" s="1" customFormat="1" ht="25" customHeight="1" spans="1:10">
      <c r="A23" s="20">
        <v>1.2</v>
      </c>
      <c r="B23" s="25" t="s">
        <v>53</v>
      </c>
      <c r="C23" s="24">
        <f t="shared" si="7"/>
        <v>1.415</v>
      </c>
      <c r="D23" s="24"/>
      <c r="E23" s="24"/>
      <c r="F23" s="24"/>
      <c r="G23" s="23">
        <f t="shared" si="8"/>
        <v>1.415</v>
      </c>
      <c r="H23" s="22" t="s">
        <v>32</v>
      </c>
      <c r="I23" s="22">
        <v>566</v>
      </c>
      <c r="J23" s="24">
        <v>25</v>
      </c>
    </row>
    <row r="24" s="1" customFormat="1" ht="25" customHeight="1" spans="1:10">
      <c r="A24" s="20">
        <v>1.3</v>
      </c>
      <c r="B24" s="25" t="s">
        <v>54</v>
      </c>
      <c r="C24" s="24">
        <f t="shared" si="7"/>
        <v>11.34</v>
      </c>
      <c r="D24" s="24"/>
      <c r="E24" s="24"/>
      <c r="F24" s="24"/>
      <c r="G24" s="23">
        <f t="shared" si="8"/>
        <v>11.34</v>
      </c>
      <c r="H24" s="22" t="s">
        <v>32</v>
      </c>
      <c r="I24" s="22">
        <f>I21</f>
        <v>7560</v>
      </c>
      <c r="J24" s="24">
        <v>15</v>
      </c>
    </row>
    <row r="25" s="1" customFormat="1" ht="25" customHeight="1" spans="1:10">
      <c r="A25" s="20">
        <v>1.4</v>
      </c>
      <c r="B25" s="21" t="s">
        <v>55</v>
      </c>
      <c r="C25" s="22"/>
      <c r="D25" s="22">
        <f t="shared" ref="D25:D29" si="9">G25</f>
        <v>60.48</v>
      </c>
      <c r="E25" s="22"/>
      <c r="F25" s="22"/>
      <c r="G25" s="23">
        <f t="shared" si="8"/>
        <v>60.48</v>
      </c>
      <c r="H25" s="22" t="s">
        <v>32</v>
      </c>
      <c r="I25" s="22">
        <f>I21</f>
        <v>7560</v>
      </c>
      <c r="J25" s="16">
        <v>80</v>
      </c>
    </row>
    <row r="26" s="1" customFormat="1" ht="25" customHeight="1" spans="1:10">
      <c r="A26" s="20">
        <v>1.5</v>
      </c>
      <c r="B26" s="21" t="s">
        <v>56</v>
      </c>
      <c r="C26" s="22"/>
      <c r="D26" s="22">
        <f t="shared" si="9"/>
        <v>30.24</v>
      </c>
      <c r="E26" s="22"/>
      <c r="F26" s="22"/>
      <c r="G26" s="23">
        <f t="shared" si="8"/>
        <v>30.24</v>
      </c>
      <c r="H26" s="22" t="s">
        <v>32</v>
      </c>
      <c r="I26" s="22">
        <f>I21</f>
        <v>7560</v>
      </c>
      <c r="J26" s="16">
        <v>40</v>
      </c>
    </row>
    <row r="27" s="1" customFormat="1" ht="25" customHeight="1" spans="1:10">
      <c r="A27" s="20">
        <v>1.6</v>
      </c>
      <c r="B27" s="21" t="s">
        <v>57</v>
      </c>
      <c r="C27" s="22"/>
      <c r="D27" s="22">
        <f t="shared" si="9"/>
        <v>68.04</v>
      </c>
      <c r="E27" s="22"/>
      <c r="F27" s="22"/>
      <c r="G27" s="23">
        <f t="shared" si="8"/>
        <v>68.04</v>
      </c>
      <c r="H27" s="22" t="s">
        <v>32</v>
      </c>
      <c r="I27" s="22">
        <f>I21</f>
        <v>7560</v>
      </c>
      <c r="J27" s="16">
        <v>90</v>
      </c>
    </row>
    <row r="28" s="1" customFormat="1" ht="25" customHeight="1" spans="1:10">
      <c r="A28" s="20">
        <v>1.7</v>
      </c>
      <c r="B28" s="21" t="s">
        <v>58</v>
      </c>
      <c r="C28" s="22"/>
      <c r="D28" s="22">
        <f t="shared" si="9"/>
        <v>27.2</v>
      </c>
      <c r="E28" s="22"/>
      <c r="F28" s="22"/>
      <c r="G28" s="23">
        <f t="shared" si="8"/>
        <v>27.2</v>
      </c>
      <c r="H28" s="22" t="s">
        <v>59</v>
      </c>
      <c r="I28" s="22">
        <v>400</v>
      </c>
      <c r="J28" s="16">
        <v>680</v>
      </c>
    </row>
    <row r="29" s="1" customFormat="1" ht="25" customHeight="1" spans="1:10">
      <c r="A29" s="20">
        <v>1.8</v>
      </c>
      <c r="B29" s="25" t="s">
        <v>60</v>
      </c>
      <c r="C29" s="26"/>
      <c r="D29" s="23">
        <f t="shared" si="9"/>
        <v>5</v>
      </c>
      <c r="E29" s="20"/>
      <c r="F29" s="24"/>
      <c r="G29" s="24">
        <f t="shared" si="8"/>
        <v>5</v>
      </c>
      <c r="H29" s="24" t="s">
        <v>61</v>
      </c>
      <c r="I29" s="24">
        <v>50</v>
      </c>
      <c r="J29" s="24">
        <v>1000</v>
      </c>
    </row>
    <row r="30" s="1" customFormat="1" ht="25" customHeight="1" spans="1:10">
      <c r="A30" s="8" t="s">
        <v>13</v>
      </c>
      <c r="B30" s="9" t="s">
        <v>7</v>
      </c>
      <c r="C30" s="27"/>
      <c r="D30" s="11"/>
      <c r="E30" s="8"/>
      <c r="F30" s="10">
        <f>SUM(F31:F50)</f>
        <v>317.6406625</v>
      </c>
      <c r="G30" s="10">
        <f>SUM(G31:G50)</f>
        <v>317.6406625</v>
      </c>
      <c r="H30" s="10"/>
      <c r="I30" s="8"/>
      <c r="J30" s="10"/>
    </row>
    <row r="31" s="1" customFormat="1" ht="25" customHeight="1" spans="1:10">
      <c r="A31" s="20">
        <v>1</v>
      </c>
      <c r="B31" s="25" t="s">
        <v>62</v>
      </c>
      <c r="C31" s="26"/>
      <c r="D31" s="23"/>
      <c r="E31" s="20"/>
      <c r="F31" s="24">
        <f t="shared" ref="F31:F50" si="10">G31</f>
        <v>43.3701</v>
      </c>
      <c r="G31" s="24">
        <f t="shared" ref="G31:G35" si="11">I31*J31</f>
        <v>43.3701</v>
      </c>
      <c r="H31" s="26" t="s">
        <v>63</v>
      </c>
      <c r="I31" s="23">
        <f>G4</f>
        <v>3614.175</v>
      </c>
      <c r="J31" s="28">
        <v>0.012</v>
      </c>
    </row>
    <row r="32" s="1" customFormat="1" ht="25" customHeight="1" spans="1:10">
      <c r="A32" s="20">
        <v>2</v>
      </c>
      <c r="B32" s="21" t="s">
        <v>64</v>
      </c>
      <c r="C32" s="29"/>
      <c r="D32" s="29"/>
      <c r="E32" s="29"/>
      <c r="F32" s="24">
        <f t="shared" si="10"/>
        <v>8.3126025</v>
      </c>
      <c r="G32" s="24">
        <f t="shared" si="11"/>
        <v>8.3126025</v>
      </c>
      <c r="H32" s="22" t="s">
        <v>63</v>
      </c>
      <c r="I32" s="22">
        <f>G4</f>
        <v>3614.175</v>
      </c>
      <c r="J32" s="28">
        <v>0.0023</v>
      </c>
    </row>
    <row r="33" s="1" customFormat="1" ht="25" customHeight="1" spans="1:10">
      <c r="A33" s="20">
        <v>3</v>
      </c>
      <c r="B33" s="30" t="s">
        <v>65</v>
      </c>
      <c r="C33" s="29"/>
      <c r="D33" s="29"/>
      <c r="E33" s="29"/>
      <c r="F33" s="24">
        <f t="shared" si="10"/>
        <v>14.4567</v>
      </c>
      <c r="G33" s="24">
        <f t="shared" si="11"/>
        <v>14.4567</v>
      </c>
      <c r="H33" s="22" t="s">
        <v>63</v>
      </c>
      <c r="I33" s="22">
        <f>I32</f>
        <v>3614.175</v>
      </c>
      <c r="J33" s="28">
        <v>0.004</v>
      </c>
    </row>
    <row r="34" s="1" customFormat="1" ht="25" customHeight="1" spans="1:10">
      <c r="A34" s="20">
        <v>4</v>
      </c>
      <c r="B34" s="30" t="s">
        <v>66</v>
      </c>
      <c r="C34" s="29"/>
      <c r="D34" s="29"/>
      <c r="E34" s="29"/>
      <c r="F34" s="24">
        <f t="shared" si="10"/>
        <v>10.11969</v>
      </c>
      <c r="G34" s="24">
        <f t="shared" si="11"/>
        <v>10.11969</v>
      </c>
      <c r="H34" s="22" t="s">
        <v>63</v>
      </c>
      <c r="I34" s="22">
        <f>I33</f>
        <v>3614.175</v>
      </c>
      <c r="J34" s="28">
        <v>0.0028</v>
      </c>
    </row>
    <row r="35" s="1" customFormat="1" ht="25" customHeight="1" spans="1:10">
      <c r="A35" s="20">
        <v>5</v>
      </c>
      <c r="B35" s="30" t="s">
        <v>67</v>
      </c>
      <c r="C35" s="29"/>
      <c r="D35" s="29"/>
      <c r="E35" s="29"/>
      <c r="F35" s="24">
        <f t="shared" si="10"/>
        <v>6.505515</v>
      </c>
      <c r="G35" s="24">
        <f t="shared" si="11"/>
        <v>6.505515</v>
      </c>
      <c r="H35" s="22" t="s">
        <v>63</v>
      </c>
      <c r="I35" s="22">
        <f t="shared" ref="I35:I39" si="12">I33</f>
        <v>3614.175</v>
      </c>
      <c r="J35" s="28">
        <v>0.0018</v>
      </c>
    </row>
    <row r="36" s="1" customFormat="1" ht="25" customHeight="1" spans="1:10">
      <c r="A36" s="20">
        <v>6</v>
      </c>
      <c r="B36" s="31" t="s">
        <v>68</v>
      </c>
      <c r="C36" s="29"/>
      <c r="D36" s="29"/>
      <c r="E36" s="29"/>
      <c r="F36" s="24">
        <f t="shared" si="10"/>
        <v>1.72368</v>
      </c>
      <c r="G36" s="24">
        <f t="shared" ref="G36:G41" si="13">I36*J36/10000</f>
        <v>1.72368</v>
      </c>
      <c r="H36" s="22" t="s">
        <v>32</v>
      </c>
      <c r="I36" s="22">
        <f>I40</f>
        <v>7560</v>
      </c>
      <c r="J36" s="32">
        <v>2.28</v>
      </c>
    </row>
    <row r="37" s="1" customFormat="1" ht="25" customHeight="1" spans="1:10">
      <c r="A37" s="20">
        <v>7</v>
      </c>
      <c r="B37" s="21" t="s">
        <v>69</v>
      </c>
      <c r="C37" s="33"/>
      <c r="D37" s="33"/>
      <c r="E37" s="33"/>
      <c r="F37" s="24">
        <f t="shared" si="10"/>
        <v>90.354375</v>
      </c>
      <c r="G37" s="24">
        <f t="shared" ref="G37:G40" si="14">I37*J37</f>
        <v>90.354375</v>
      </c>
      <c r="H37" s="22" t="s">
        <v>63</v>
      </c>
      <c r="I37" s="22">
        <f t="shared" si="12"/>
        <v>3614.175</v>
      </c>
      <c r="J37" s="28">
        <v>0.025</v>
      </c>
    </row>
    <row r="38" s="1" customFormat="1" ht="25" customHeight="1" spans="1:10">
      <c r="A38" s="20">
        <v>8</v>
      </c>
      <c r="B38" s="21" t="s">
        <v>70</v>
      </c>
      <c r="C38" s="29"/>
      <c r="D38" s="29"/>
      <c r="E38" s="29"/>
      <c r="F38" s="24">
        <f t="shared" si="10"/>
        <v>3.45492</v>
      </c>
      <c r="G38" s="24">
        <f t="shared" si="13"/>
        <v>3.45492</v>
      </c>
      <c r="H38" s="22" t="str">
        <f>H40</f>
        <v>㎡</v>
      </c>
      <c r="I38" s="22">
        <f>I40</f>
        <v>7560</v>
      </c>
      <c r="J38" s="32">
        <v>4.57</v>
      </c>
    </row>
    <row r="39" s="1" customFormat="1" ht="25" customHeight="1" spans="1:10">
      <c r="A39" s="20">
        <v>9</v>
      </c>
      <c r="B39" s="34" t="s">
        <v>71</v>
      </c>
      <c r="C39" s="29"/>
      <c r="D39" s="29"/>
      <c r="E39" s="21"/>
      <c r="F39" s="24">
        <f t="shared" si="10"/>
        <v>1.8070875</v>
      </c>
      <c r="G39" s="24">
        <f t="shared" si="14"/>
        <v>1.8070875</v>
      </c>
      <c r="H39" s="22" t="s">
        <v>63</v>
      </c>
      <c r="I39" s="22">
        <f t="shared" si="12"/>
        <v>3614.175</v>
      </c>
      <c r="J39" s="28">
        <v>0.0005</v>
      </c>
    </row>
    <row r="40" s="1" customFormat="1" ht="25" customHeight="1" spans="1:10">
      <c r="A40" s="20">
        <v>10</v>
      </c>
      <c r="B40" s="34" t="s">
        <v>72</v>
      </c>
      <c r="C40" s="29"/>
      <c r="D40" s="29"/>
      <c r="E40" s="29"/>
      <c r="F40" s="24">
        <f t="shared" si="10"/>
        <v>3.024</v>
      </c>
      <c r="G40" s="24">
        <f t="shared" si="14"/>
        <v>3.024</v>
      </c>
      <c r="H40" s="22" t="s">
        <v>32</v>
      </c>
      <c r="I40" s="22">
        <f>I4</f>
        <v>7560</v>
      </c>
      <c r="J40" s="28">
        <v>0.0004</v>
      </c>
    </row>
    <row r="41" s="1" customFormat="1" ht="25" customHeight="1" spans="1:10">
      <c r="A41" s="20">
        <v>11</v>
      </c>
      <c r="B41" s="36" t="s">
        <v>73</v>
      </c>
      <c r="C41" s="22"/>
      <c r="D41" s="22"/>
      <c r="E41" s="22"/>
      <c r="F41" s="24">
        <f t="shared" si="10"/>
        <v>1.72368</v>
      </c>
      <c r="G41" s="24">
        <f t="shared" si="13"/>
        <v>1.72368</v>
      </c>
      <c r="H41" s="22" t="s">
        <v>32</v>
      </c>
      <c r="I41" s="22">
        <f t="shared" ref="I41:I45" si="15">I40</f>
        <v>7560</v>
      </c>
      <c r="J41" s="32">
        <v>2.28</v>
      </c>
    </row>
    <row r="42" s="1" customFormat="1" ht="25" customHeight="1" spans="1:10">
      <c r="A42" s="20">
        <v>12</v>
      </c>
      <c r="B42" s="36" t="s">
        <v>74</v>
      </c>
      <c r="C42" s="22"/>
      <c r="D42" s="22"/>
      <c r="E42" s="22"/>
      <c r="F42" s="24">
        <f t="shared" si="10"/>
        <v>27.1063125</v>
      </c>
      <c r="G42" s="22">
        <f>I42*J42</f>
        <v>27.1063125</v>
      </c>
      <c r="H42" s="22" t="str">
        <f>H39</f>
        <v>万元</v>
      </c>
      <c r="I42" s="22">
        <f>I39</f>
        <v>3614.175</v>
      </c>
      <c r="J42" s="28">
        <v>0.0075</v>
      </c>
    </row>
    <row r="43" s="1" customFormat="1" ht="25" customHeight="1" spans="1:10">
      <c r="A43" s="20">
        <v>13</v>
      </c>
      <c r="B43" s="37" t="s">
        <v>75</v>
      </c>
      <c r="C43" s="38"/>
      <c r="D43" s="38"/>
      <c r="E43" s="39"/>
      <c r="F43" s="24">
        <f t="shared" si="10"/>
        <v>1.512</v>
      </c>
      <c r="G43" s="24">
        <f t="shared" ref="G43:G50" si="16">I43*J43/10000</f>
        <v>1.512</v>
      </c>
      <c r="H43" s="22" t="s">
        <v>32</v>
      </c>
      <c r="I43" s="22">
        <f>I38</f>
        <v>7560</v>
      </c>
      <c r="J43" s="32">
        <v>2</v>
      </c>
    </row>
    <row r="44" s="1" customFormat="1" ht="25" customHeight="1" spans="1:10">
      <c r="A44" s="20">
        <v>14</v>
      </c>
      <c r="B44" s="37" t="s">
        <v>76</v>
      </c>
      <c r="C44" s="38"/>
      <c r="D44" s="38"/>
      <c r="E44" s="39"/>
      <c r="F44" s="24">
        <f t="shared" si="10"/>
        <v>22.68</v>
      </c>
      <c r="G44" s="24">
        <f t="shared" si="16"/>
        <v>22.68</v>
      </c>
      <c r="H44" s="22" t="s">
        <v>32</v>
      </c>
      <c r="I44" s="22">
        <f t="shared" si="15"/>
        <v>7560</v>
      </c>
      <c r="J44" s="32">
        <v>30</v>
      </c>
    </row>
    <row r="45" s="1" customFormat="1" ht="25" customHeight="1" spans="1:10">
      <c r="A45" s="20">
        <v>15</v>
      </c>
      <c r="B45" s="37" t="s">
        <v>77</v>
      </c>
      <c r="C45" s="37"/>
      <c r="D45" s="37"/>
      <c r="E45" s="37"/>
      <c r="F45" s="24">
        <f t="shared" si="10"/>
        <v>30.24</v>
      </c>
      <c r="G45" s="24">
        <f t="shared" si="16"/>
        <v>30.24</v>
      </c>
      <c r="H45" s="22" t="s">
        <v>32</v>
      </c>
      <c r="I45" s="22">
        <f t="shared" si="15"/>
        <v>7560</v>
      </c>
      <c r="J45" s="32">
        <v>40</v>
      </c>
    </row>
    <row r="46" s="1" customFormat="1" ht="25" customHeight="1" spans="1:10">
      <c r="A46" s="20">
        <v>16</v>
      </c>
      <c r="B46" s="37" t="s">
        <v>78</v>
      </c>
      <c r="C46" s="37"/>
      <c r="D46" s="37"/>
      <c r="E46" s="37"/>
      <c r="F46" s="24">
        <f t="shared" si="10"/>
        <v>30.24</v>
      </c>
      <c r="G46" s="24">
        <f t="shared" si="16"/>
        <v>30.24</v>
      </c>
      <c r="H46" s="22" t="s">
        <v>32</v>
      </c>
      <c r="I46" s="22">
        <f>I5</f>
        <v>7560</v>
      </c>
      <c r="J46" s="32">
        <v>40</v>
      </c>
    </row>
    <row r="47" s="1" customFormat="1" ht="25" customHeight="1" spans="1:10">
      <c r="A47" s="20">
        <v>17</v>
      </c>
      <c r="B47" s="37" t="s">
        <v>79</v>
      </c>
      <c r="C47" s="37"/>
      <c r="D47" s="37"/>
      <c r="E47" s="37"/>
      <c r="F47" s="24">
        <f t="shared" si="10"/>
        <v>2</v>
      </c>
      <c r="G47" s="40">
        <f t="shared" si="16"/>
        <v>2</v>
      </c>
      <c r="H47" s="22" t="s">
        <v>80</v>
      </c>
      <c r="I47" s="22">
        <v>1</v>
      </c>
      <c r="J47" s="32">
        <v>20000</v>
      </c>
    </row>
    <row r="48" s="1" customFormat="1" ht="25" customHeight="1" spans="1:10">
      <c r="A48" s="20">
        <v>18</v>
      </c>
      <c r="B48" s="37" t="s">
        <v>81</v>
      </c>
      <c r="C48" s="37"/>
      <c r="D48" s="37"/>
      <c r="E48" s="37"/>
      <c r="F48" s="24">
        <f t="shared" si="10"/>
        <v>13.23</v>
      </c>
      <c r="G48" s="44">
        <f t="shared" si="16"/>
        <v>13.23</v>
      </c>
      <c r="H48" s="22" t="s">
        <v>82</v>
      </c>
      <c r="I48" s="22">
        <v>1260</v>
      </c>
      <c r="J48" s="32">
        <v>105</v>
      </c>
    </row>
    <row r="49" s="1" customFormat="1" ht="25" customHeight="1" spans="1:14">
      <c r="A49" s="20">
        <v>19</v>
      </c>
      <c r="B49" s="41" t="s">
        <v>83</v>
      </c>
      <c r="C49" s="42"/>
      <c r="D49" s="43"/>
      <c r="E49" s="44"/>
      <c r="F49" s="24">
        <f t="shared" si="10"/>
        <v>2</v>
      </c>
      <c r="G49" s="40">
        <f t="shared" si="16"/>
        <v>2</v>
      </c>
      <c r="H49" s="20" t="s">
        <v>80</v>
      </c>
      <c r="I49" s="22">
        <v>1</v>
      </c>
      <c r="J49" s="24">
        <v>20000</v>
      </c>
    </row>
    <row r="50" s="1" customFormat="1" ht="25" customHeight="1" spans="1:14">
      <c r="A50" s="20">
        <v>20</v>
      </c>
      <c r="B50" s="41" t="s">
        <v>84</v>
      </c>
      <c r="C50" s="42"/>
      <c r="D50" s="43"/>
      <c r="E50" s="44"/>
      <c r="F50" s="24">
        <f t="shared" si="10"/>
        <v>3.78</v>
      </c>
      <c r="G50" s="40">
        <f t="shared" si="16"/>
        <v>3.78</v>
      </c>
      <c r="H50" s="20" t="s">
        <v>32</v>
      </c>
      <c r="I50" s="22">
        <f>I4</f>
        <v>7560</v>
      </c>
      <c r="J50" s="24">
        <v>5</v>
      </c>
    </row>
    <row r="51" s="1" customFormat="1" ht="25" customHeight="1" spans="1:14">
      <c r="A51" s="8" t="s">
        <v>15</v>
      </c>
      <c r="B51" s="9" t="s">
        <v>85</v>
      </c>
      <c r="C51" s="27"/>
      <c r="D51" s="11"/>
      <c r="E51" s="8"/>
      <c r="F51" s="10">
        <f>F52</f>
        <v>37.18</v>
      </c>
      <c r="G51" s="10">
        <f>G52</f>
        <v>37.18</v>
      </c>
      <c r="H51" s="45" t="s">
        <v>86</v>
      </c>
      <c r="I51" s="13">
        <f>I40</f>
        <v>7560</v>
      </c>
      <c r="J51" s="10">
        <f>G51/I51*10000</f>
        <v>49.1798941798942</v>
      </c>
    </row>
    <row r="52" s="1" customFormat="1" ht="25" customHeight="1" spans="1:14">
      <c r="A52" s="8">
        <v>1</v>
      </c>
      <c r="B52" s="25" t="s">
        <v>85</v>
      </c>
      <c r="C52" s="26"/>
      <c r="D52" s="20"/>
      <c r="E52" s="20"/>
      <c r="F52" s="24">
        <f>G52</f>
        <v>37.18</v>
      </c>
      <c r="G52" s="24">
        <f>37.38-0.2</f>
        <v>37.18</v>
      </c>
      <c r="H52" s="26" t="s">
        <v>63</v>
      </c>
      <c r="I52" s="24">
        <f>G30+G4</f>
        <v>3931.8156625</v>
      </c>
      <c r="J52" s="46">
        <f>G52/I52</f>
        <v>0.00945619103016633</v>
      </c>
      <c r="M52" s="35">
        <f>G4+G30+G51</f>
        <v>3968.9956625</v>
      </c>
    </row>
    <row r="53" s="1" customFormat="1" ht="25" customHeight="1" spans="1:14">
      <c r="A53" s="8" t="s">
        <v>17</v>
      </c>
      <c r="B53" s="47" t="s">
        <v>87</v>
      </c>
      <c r="C53" s="48">
        <f>C4</f>
        <v>2731.475</v>
      </c>
      <c r="D53" s="48">
        <f>D4</f>
        <v>674.488</v>
      </c>
      <c r="E53" s="48">
        <f>E4</f>
        <v>208.212</v>
      </c>
      <c r="F53" s="48">
        <f>F51+F30</f>
        <v>354.8206625</v>
      </c>
      <c r="G53" s="49">
        <f>C53+D53+E53+F53</f>
        <v>3968.9956625</v>
      </c>
      <c r="H53" s="50" t="s">
        <v>32</v>
      </c>
      <c r="I53" s="50">
        <f>I51</f>
        <v>7560</v>
      </c>
      <c r="J53" s="51">
        <f>G53/I53*10000</f>
        <v>5249.99426256614</v>
      </c>
      <c r="N53" s="1">
        <f>3780*1.05</f>
        <v>3969</v>
      </c>
    </row>
    <row r="56" s="1" customFormat="1" spans="1:14">
      <c r="H56" s="35"/>
    </row>
  </sheetData>
  <mergeCells count="5">
    <mergeCell ref="A1:J1"/>
    <mergeCell ref="C2:G2"/>
    <mergeCell ref="H2:J2"/>
    <mergeCell ref="A2:A3"/>
    <mergeCell ref="B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workbookViewId="0">
      <selection activeCell="I18" sqref="I18"/>
    </sheetView>
  </sheetViews>
  <sheetFormatPr defaultColWidth="10" defaultRowHeight="25" customHeight="1"/>
  <cols>
    <col min="1" max="1" width="7.36111111111111" style="1" customWidth="1"/>
    <col min="2" max="2" width="22.9166666666667" style="1" customWidth="1"/>
    <col min="3" max="10" width="11.8055555555556" style="1" customWidth="1"/>
    <col min="11" max="11" width="10" style="1"/>
    <col min="12" max="12" width="16.5277777777778" style="1"/>
    <col min="13" max="16384" width="10" style="1"/>
  </cols>
  <sheetData>
    <row r="1" s="1" customFormat="1" customHeight="1" spans="1:10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 t="s">
        <v>21</v>
      </c>
      <c r="C2" s="4" t="s">
        <v>22</v>
      </c>
      <c r="D2" s="5"/>
      <c r="E2" s="5"/>
      <c r="F2" s="5"/>
      <c r="G2" s="6"/>
      <c r="H2" s="4" t="s">
        <v>23</v>
      </c>
      <c r="I2" s="5"/>
      <c r="J2" s="6"/>
    </row>
    <row r="3" s="1" customFormat="1" customHeight="1" spans="1:10">
      <c r="A3" s="7"/>
      <c r="B3" s="7"/>
      <c r="C3" s="8" t="s">
        <v>24</v>
      </c>
      <c r="D3" s="8" t="s">
        <v>5</v>
      </c>
      <c r="E3" s="8" t="s">
        <v>6</v>
      </c>
      <c r="F3" s="8" t="s">
        <v>25</v>
      </c>
      <c r="G3" s="8" t="s">
        <v>8</v>
      </c>
      <c r="H3" s="8" t="s">
        <v>26</v>
      </c>
      <c r="I3" s="8" t="s">
        <v>27</v>
      </c>
      <c r="J3" s="8" t="s">
        <v>28</v>
      </c>
    </row>
    <row r="4" s="1" customFormat="1" customHeight="1" spans="1:10">
      <c r="A4" s="8" t="s">
        <v>9</v>
      </c>
      <c r="B4" s="9" t="s">
        <v>24</v>
      </c>
      <c r="C4" s="10">
        <f>C5+C19</f>
        <v>398.95</v>
      </c>
      <c r="D4" s="10">
        <f>D5+D19</f>
        <v>110.66</v>
      </c>
      <c r="E4" s="10">
        <f>E5+E19</f>
        <v>69.44</v>
      </c>
      <c r="F4" s="10"/>
      <c r="G4" s="11">
        <f>C4+D4+E4+F4</f>
        <v>579.05</v>
      </c>
      <c r="H4" s="12" t="s">
        <v>29</v>
      </c>
      <c r="I4" s="13">
        <f>I5</f>
        <v>1200</v>
      </c>
      <c r="J4" s="10">
        <f>G4/I4*10000</f>
        <v>4825.41666666667</v>
      </c>
    </row>
    <row r="5" s="1" customFormat="1" customHeight="1" spans="1:10">
      <c r="A5" s="8" t="s">
        <v>30</v>
      </c>
      <c r="B5" s="9" t="s">
        <v>12</v>
      </c>
      <c r="C5" s="10">
        <f>SUM(C6:C18)</f>
        <v>381.6</v>
      </c>
      <c r="D5" s="10">
        <f>SUM(D6:D18)</f>
        <v>81.76</v>
      </c>
      <c r="E5" s="10">
        <f>SUM(E6:E18)</f>
        <v>69.44</v>
      </c>
      <c r="F5" s="10"/>
      <c r="G5" s="11">
        <f>C5+D5+E5</f>
        <v>532.8</v>
      </c>
      <c r="H5" s="12" t="s">
        <v>29</v>
      </c>
      <c r="I5" s="13">
        <v>1200</v>
      </c>
      <c r="J5" s="10">
        <f>G5/I5*10000</f>
        <v>4440</v>
      </c>
    </row>
    <row r="6" s="1" customFormat="1" customHeight="1" spans="1:10">
      <c r="A6" s="14">
        <v>1</v>
      </c>
      <c r="B6" s="15" t="s">
        <v>88</v>
      </c>
      <c r="C6" s="16">
        <f t="shared" ref="C6:C9" si="0">G6</f>
        <v>240</v>
      </c>
      <c r="D6" s="16"/>
      <c r="E6" s="16"/>
      <c r="F6" s="16"/>
      <c r="G6" s="16">
        <f t="shared" ref="G6:G11" si="1">I6*J6/10000</f>
        <v>240</v>
      </c>
      <c r="H6" s="16" t="s">
        <v>32</v>
      </c>
      <c r="I6" s="16">
        <f t="shared" ref="I6:I11" si="2">I5</f>
        <v>1200</v>
      </c>
      <c r="J6" s="16">
        <v>2000</v>
      </c>
    </row>
    <row r="7" s="1" customFormat="1" customHeight="1" spans="1:10">
      <c r="A7" s="14">
        <v>2</v>
      </c>
      <c r="B7" s="15" t="s">
        <v>89</v>
      </c>
      <c r="C7" s="16">
        <f t="shared" si="0"/>
        <v>33.6</v>
      </c>
      <c r="D7" s="16"/>
      <c r="E7" s="16"/>
      <c r="F7" s="16"/>
      <c r="G7" s="16">
        <f t="shared" si="1"/>
        <v>33.6</v>
      </c>
      <c r="H7" s="16" t="s">
        <v>32</v>
      </c>
      <c r="I7" s="16">
        <f>I5</f>
        <v>1200</v>
      </c>
      <c r="J7" s="16">
        <v>280</v>
      </c>
    </row>
    <row r="8" s="1" customFormat="1" customHeight="1" spans="1:10">
      <c r="A8" s="14">
        <v>3</v>
      </c>
      <c r="B8" s="15" t="s">
        <v>35</v>
      </c>
      <c r="C8" s="16">
        <f t="shared" si="0"/>
        <v>56.4</v>
      </c>
      <c r="D8" s="16"/>
      <c r="E8" s="16"/>
      <c r="F8" s="16"/>
      <c r="G8" s="16">
        <f t="shared" si="1"/>
        <v>56.4</v>
      </c>
      <c r="H8" s="16" t="s">
        <v>32</v>
      </c>
      <c r="I8" s="16">
        <f>I5</f>
        <v>1200</v>
      </c>
      <c r="J8" s="16">
        <v>470</v>
      </c>
    </row>
    <row r="9" s="1" customFormat="1" customHeight="1" spans="1:10">
      <c r="A9" s="14">
        <v>4</v>
      </c>
      <c r="B9" s="15" t="s">
        <v>90</v>
      </c>
      <c r="C9" s="16">
        <f t="shared" si="0"/>
        <v>51.6</v>
      </c>
      <c r="D9" s="16"/>
      <c r="E9" s="16"/>
      <c r="F9" s="16"/>
      <c r="G9" s="16">
        <f t="shared" si="1"/>
        <v>51.6</v>
      </c>
      <c r="H9" s="16" t="s">
        <v>32</v>
      </c>
      <c r="I9" s="16">
        <f t="shared" si="2"/>
        <v>1200</v>
      </c>
      <c r="J9" s="16">
        <v>430</v>
      </c>
    </row>
    <row r="10" s="1" customFormat="1" customHeight="1" spans="1:10">
      <c r="A10" s="14">
        <v>5</v>
      </c>
      <c r="B10" s="17" t="s">
        <v>91</v>
      </c>
      <c r="C10" s="16"/>
      <c r="D10" s="16">
        <f t="shared" ref="D10:D16" si="3">G10*0.8</f>
        <v>9.6</v>
      </c>
      <c r="E10" s="16">
        <f t="shared" ref="E10:E16" si="4">G10*0.2</f>
        <v>2.4</v>
      </c>
      <c r="F10" s="16"/>
      <c r="G10" s="16">
        <f t="shared" si="1"/>
        <v>12</v>
      </c>
      <c r="H10" s="16" t="s">
        <v>32</v>
      </c>
      <c r="I10" s="16">
        <f t="shared" si="2"/>
        <v>1200</v>
      </c>
      <c r="J10" s="16">
        <v>100</v>
      </c>
    </row>
    <row r="11" s="1" customFormat="1" customHeight="1" spans="1:10">
      <c r="A11" s="14">
        <v>6</v>
      </c>
      <c r="B11" s="17" t="s">
        <v>38</v>
      </c>
      <c r="C11" s="16"/>
      <c r="D11" s="16">
        <f t="shared" si="3"/>
        <v>12.48</v>
      </c>
      <c r="E11" s="16">
        <f t="shared" si="4"/>
        <v>3.12</v>
      </c>
      <c r="F11" s="16"/>
      <c r="G11" s="16">
        <f t="shared" si="1"/>
        <v>15.6</v>
      </c>
      <c r="H11" s="16" t="s">
        <v>32</v>
      </c>
      <c r="I11" s="16">
        <f t="shared" si="2"/>
        <v>1200</v>
      </c>
      <c r="J11" s="16">
        <v>130</v>
      </c>
    </row>
    <row r="12" s="1" customFormat="1" customHeight="1" spans="1:10">
      <c r="A12" s="14">
        <v>8</v>
      </c>
      <c r="B12" s="17" t="s">
        <v>39</v>
      </c>
      <c r="C12" s="18"/>
      <c r="D12" s="16">
        <f>I12*J12*20%/10000</f>
        <v>2.4</v>
      </c>
      <c r="E12" s="16">
        <f>I12*J12*80%/10000</f>
        <v>9.6</v>
      </c>
      <c r="F12" s="19"/>
      <c r="G12" s="16">
        <f>D12+E12</f>
        <v>12</v>
      </c>
      <c r="H12" s="16" t="s">
        <v>32</v>
      </c>
      <c r="I12" s="16">
        <v>75</v>
      </c>
      <c r="J12" s="16">
        <v>1600</v>
      </c>
    </row>
    <row r="13" s="1" customFormat="1" customHeight="1" spans="1:10">
      <c r="A13" s="14">
        <v>9</v>
      </c>
      <c r="B13" s="17" t="s">
        <v>92</v>
      </c>
      <c r="C13" s="19"/>
      <c r="D13" s="16"/>
      <c r="E13" s="16">
        <f>G13</f>
        <v>42</v>
      </c>
      <c r="F13" s="19"/>
      <c r="G13" s="16">
        <f t="shared" ref="G13:G18" si="5">I13*J13/10000</f>
        <v>42</v>
      </c>
      <c r="H13" s="16" t="s">
        <v>45</v>
      </c>
      <c r="I13" s="16">
        <v>2</v>
      </c>
      <c r="J13" s="16">
        <v>210000</v>
      </c>
    </row>
    <row r="14" s="1" customFormat="1" customHeight="1" spans="1:10">
      <c r="A14" s="14">
        <v>10</v>
      </c>
      <c r="B14" s="17" t="s">
        <v>40</v>
      </c>
      <c r="C14" s="19"/>
      <c r="D14" s="16">
        <f>G14*20%</f>
        <v>1.04</v>
      </c>
      <c r="E14" s="16">
        <f>G14*80%</f>
        <v>4.16</v>
      </c>
      <c r="F14" s="19"/>
      <c r="G14" s="16">
        <f t="shared" si="5"/>
        <v>5.2</v>
      </c>
      <c r="H14" s="16" t="s">
        <v>41</v>
      </c>
      <c r="I14" s="16">
        <v>26</v>
      </c>
      <c r="J14" s="16">
        <v>2000</v>
      </c>
    </row>
    <row r="15" s="1" customFormat="1" customHeight="1" spans="1:10">
      <c r="A15" s="14">
        <v>11</v>
      </c>
      <c r="B15" s="17" t="s">
        <v>42</v>
      </c>
      <c r="C15" s="16"/>
      <c r="D15" s="16">
        <f t="shared" si="3"/>
        <v>15.36</v>
      </c>
      <c r="E15" s="16">
        <f t="shared" si="4"/>
        <v>3.84</v>
      </c>
      <c r="F15" s="16"/>
      <c r="G15" s="16">
        <f t="shared" si="5"/>
        <v>19.2</v>
      </c>
      <c r="H15" s="16" t="s">
        <v>32</v>
      </c>
      <c r="I15" s="16">
        <f>I11</f>
        <v>1200</v>
      </c>
      <c r="J15" s="16">
        <v>160</v>
      </c>
    </row>
    <row r="16" s="1" customFormat="1" customHeight="1" spans="1:10">
      <c r="A16" s="14">
        <v>12</v>
      </c>
      <c r="B16" s="17" t="s">
        <v>43</v>
      </c>
      <c r="C16" s="16"/>
      <c r="D16" s="16">
        <f t="shared" si="3"/>
        <v>17.28</v>
      </c>
      <c r="E16" s="16">
        <f t="shared" si="4"/>
        <v>4.32</v>
      </c>
      <c r="F16" s="16"/>
      <c r="G16" s="16">
        <f t="shared" si="5"/>
        <v>21.6</v>
      </c>
      <c r="H16" s="16" t="s">
        <v>32</v>
      </c>
      <c r="I16" s="16">
        <f>I15</f>
        <v>1200</v>
      </c>
      <c r="J16" s="16">
        <v>180</v>
      </c>
    </row>
    <row r="17" s="1" customFormat="1" customHeight="1" spans="1:10">
      <c r="A17" s="14">
        <v>13</v>
      </c>
      <c r="B17" s="17" t="s">
        <v>93</v>
      </c>
      <c r="C17" s="16"/>
      <c r="D17" s="16">
        <f>G17</f>
        <v>20</v>
      </c>
      <c r="E17" s="16"/>
      <c r="F17" s="16"/>
      <c r="G17" s="16">
        <f t="shared" si="5"/>
        <v>20</v>
      </c>
      <c r="H17" s="16" t="s">
        <v>47</v>
      </c>
      <c r="I17" s="16">
        <v>1</v>
      </c>
      <c r="J17" s="16">
        <v>200000</v>
      </c>
    </row>
    <row r="18" s="1" customFormat="1" customHeight="1" spans="1:10">
      <c r="A18" s="14">
        <v>14</v>
      </c>
      <c r="B18" s="15" t="s">
        <v>48</v>
      </c>
      <c r="C18" s="16"/>
      <c r="D18" s="16">
        <f>G18</f>
        <v>3.6</v>
      </c>
      <c r="E18" s="16"/>
      <c r="F18" s="16"/>
      <c r="G18" s="16">
        <f t="shared" si="5"/>
        <v>3.6</v>
      </c>
      <c r="H18" s="16" t="str">
        <f>H15</f>
        <v>㎡</v>
      </c>
      <c r="I18" s="16">
        <f>I15</f>
        <v>1200</v>
      </c>
      <c r="J18" s="16">
        <v>30</v>
      </c>
    </row>
    <row r="19" s="1" customFormat="1" customHeight="1" spans="1:10">
      <c r="A19" s="8" t="s">
        <v>49</v>
      </c>
      <c r="B19" s="9" t="s">
        <v>50</v>
      </c>
      <c r="C19" s="10">
        <f t="shared" ref="C19:G19" si="6">C20</f>
        <v>17.35</v>
      </c>
      <c r="D19" s="10">
        <f t="shared" si="6"/>
        <v>28.9</v>
      </c>
      <c r="E19" s="10"/>
      <c r="F19" s="10"/>
      <c r="G19" s="11">
        <f t="shared" si="6"/>
        <v>46.25</v>
      </c>
      <c r="H19" s="13" t="s">
        <v>32</v>
      </c>
      <c r="I19" s="13">
        <f>I20</f>
        <v>1200</v>
      </c>
      <c r="J19" s="10">
        <f>G19/I19*10000</f>
        <v>385.416666666667</v>
      </c>
    </row>
    <row r="20" s="1" customFormat="1" customHeight="1" spans="1:10">
      <c r="A20" s="20">
        <v>1</v>
      </c>
      <c r="B20" s="21" t="s">
        <v>94</v>
      </c>
      <c r="C20" s="22">
        <f t="shared" ref="C20:G20" si="7">SUM(C21:C27)</f>
        <v>17.35</v>
      </c>
      <c r="D20" s="22">
        <f t="shared" si="7"/>
        <v>28.9</v>
      </c>
      <c r="E20" s="22"/>
      <c r="F20" s="22"/>
      <c r="G20" s="23">
        <f t="shared" si="7"/>
        <v>46.25</v>
      </c>
      <c r="H20" s="22" t="s">
        <v>32</v>
      </c>
      <c r="I20" s="22">
        <v>1200</v>
      </c>
      <c r="J20" s="24">
        <f>G20/I20*10000</f>
        <v>385.416666666667</v>
      </c>
    </row>
    <row r="21" s="1" customFormat="1" customHeight="1" spans="1:10">
      <c r="A21" s="20">
        <v>1.1</v>
      </c>
      <c r="B21" s="21" t="s">
        <v>95</v>
      </c>
      <c r="C21" s="22">
        <f t="shared" ref="C21:C23" si="8">G21</f>
        <v>2.55</v>
      </c>
      <c r="D21" s="22"/>
      <c r="E21" s="22"/>
      <c r="F21" s="22"/>
      <c r="G21" s="23">
        <v>2.55</v>
      </c>
      <c r="H21" s="22" t="s">
        <v>32</v>
      </c>
      <c r="I21" s="22">
        <v>511</v>
      </c>
      <c r="J21" s="16">
        <v>50</v>
      </c>
    </row>
    <row r="22" s="1" customFormat="1" customHeight="1" spans="1:10">
      <c r="A22" s="20">
        <v>1.2</v>
      </c>
      <c r="B22" s="25" t="s">
        <v>52</v>
      </c>
      <c r="C22" s="24">
        <f t="shared" si="8"/>
        <v>13</v>
      </c>
      <c r="D22" s="24"/>
      <c r="E22" s="24"/>
      <c r="F22" s="24"/>
      <c r="G22" s="23">
        <f t="shared" ref="G22:G27" si="9">I22*J22/10000</f>
        <v>13</v>
      </c>
      <c r="H22" s="22" t="s">
        <v>32</v>
      </c>
      <c r="I22" s="22">
        <v>500</v>
      </c>
      <c r="J22" s="24">
        <v>260</v>
      </c>
    </row>
    <row r="23" s="1" customFormat="1" customHeight="1" spans="1:10">
      <c r="A23" s="20">
        <v>1.3</v>
      </c>
      <c r="B23" s="25" t="s">
        <v>54</v>
      </c>
      <c r="C23" s="24">
        <f t="shared" si="8"/>
        <v>1.8</v>
      </c>
      <c r="D23" s="24"/>
      <c r="E23" s="24"/>
      <c r="F23" s="24"/>
      <c r="G23" s="23">
        <f t="shared" si="9"/>
        <v>1.8</v>
      </c>
      <c r="H23" s="22" t="s">
        <v>32</v>
      </c>
      <c r="I23" s="22">
        <f>I20</f>
        <v>1200</v>
      </c>
      <c r="J23" s="24">
        <v>15</v>
      </c>
    </row>
    <row r="24" s="1" customFormat="1" customHeight="1" spans="1:10">
      <c r="A24" s="20">
        <v>1.4</v>
      </c>
      <c r="B24" s="21" t="s">
        <v>55</v>
      </c>
      <c r="C24" s="22"/>
      <c r="D24" s="22">
        <f t="shared" ref="D24:D27" si="10">G24</f>
        <v>10.8</v>
      </c>
      <c r="E24" s="22"/>
      <c r="F24" s="22"/>
      <c r="G24" s="23">
        <f t="shared" si="9"/>
        <v>10.8</v>
      </c>
      <c r="H24" s="22" t="s">
        <v>32</v>
      </c>
      <c r="I24" s="22">
        <f>I20</f>
        <v>1200</v>
      </c>
      <c r="J24" s="16">
        <v>90</v>
      </c>
    </row>
    <row r="25" s="1" customFormat="1" customHeight="1" spans="1:10">
      <c r="A25" s="20">
        <v>1.5</v>
      </c>
      <c r="B25" s="21" t="s">
        <v>56</v>
      </c>
      <c r="C25" s="22"/>
      <c r="D25" s="22">
        <f t="shared" si="10"/>
        <v>4.8</v>
      </c>
      <c r="E25" s="22"/>
      <c r="F25" s="22"/>
      <c r="G25" s="23">
        <f t="shared" si="9"/>
        <v>4.8</v>
      </c>
      <c r="H25" s="22" t="s">
        <v>32</v>
      </c>
      <c r="I25" s="22">
        <f>I24</f>
        <v>1200</v>
      </c>
      <c r="J25" s="16">
        <v>40</v>
      </c>
    </row>
    <row r="26" s="1" customFormat="1" customHeight="1" spans="1:10">
      <c r="A26" s="20">
        <v>1.6</v>
      </c>
      <c r="B26" s="21" t="s">
        <v>57</v>
      </c>
      <c r="C26" s="22"/>
      <c r="D26" s="22">
        <f t="shared" si="10"/>
        <v>10.8</v>
      </c>
      <c r="E26" s="22"/>
      <c r="F26" s="22"/>
      <c r="G26" s="23">
        <f t="shared" si="9"/>
        <v>10.8</v>
      </c>
      <c r="H26" s="22" t="s">
        <v>32</v>
      </c>
      <c r="I26" s="22">
        <f>I20</f>
        <v>1200</v>
      </c>
      <c r="J26" s="16">
        <v>90</v>
      </c>
    </row>
    <row r="27" s="1" customFormat="1" customHeight="1" spans="1:10">
      <c r="A27" s="20">
        <v>1.7</v>
      </c>
      <c r="B27" s="25" t="s">
        <v>60</v>
      </c>
      <c r="C27" s="26"/>
      <c r="D27" s="23">
        <f t="shared" si="10"/>
        <v>2.5</v>
      </c>
      <c r="E27" s="20"/>
      <c r="F27" s="24"/>
      <c r="G27" s="24">
        <f t="shared" si="9"/>
        <v>2.5</v>
      </c>
      <c r="H27" s="24" t="s">
        <v>61</v>
      </c>
      <c r="I27" s="24">
        <v>25</v>
      </c>
      <c r="J27" s="24">
        <v>1000</v>
      </c>
    </row>
    <row r="28" s="1" customFormat="1" customHeight="1" spans="1:10">
      <c r="A28" s="8" t="s">
        <v>13</v>
      </c>
      <c r="B28" s="9" t="s">
        <v>7</v>
      </c>
      <c r="C28" s="27"/>
      <c r="D28" s="11"/>
      <c r="E28" s="8"/>
      <c r="F28" s="10">
        <f>SUM(F29:F45)</f>
        <v>45.186095</v>
      </c>
      <c r="G28" s="10">
        <f>SUM(G29:G45)</f>
        <v>45.186095</v>
      </c>
      <c r="H28" s="10"/>
      <c r="I28" s="8"/>
      <c r="J28" s="10"/>
    </row>
    <row r="29" s="1" customFormat="1" customHeight="1" spans="1:10">
      <c r="A29" s="20">
        <v>1</v>
      </c>
      <c r="B29" s="25" t="s">
        <v>62</v>
      </c>
      <c r="C29" s="26"/>
      <c r="D29" s="23"/>
      <c r="E29" s="20"/>
      <c r="F29" s="24">
        <f t="shared" ref="F29:F45" si="11">G29</f>
        <v>6.9486</v>
      </c>
      <c r="G29" s="24">
        <f t="shared" ref="G29:G33" si="12">I29*J29</f>
        <v>6.9486</v>
      </c>
      <c r="H29" s="26" t="s">
        <v>63</v>
      </c>
      <c r="I29" s="23">
        <f>G4</f>
        <v>579.05</v>
      </c>
      <c r="J29" s="28">
        <v>0.012</v>
      </c>
    </row>
    <row r="30" s="1" customFormat="1" customHeight="1" spans="1:10">
      <c r="A30" s="20">
        <v>2</v>
      </c>
      <c r="B30" s="21" t="s">
        <v>64</v>
      </c>
      <c r="C30" s="29"/>
      <c r="D30" s="29"/>
      <c r="E30" s="29"/>
      <c r="F30" s="24">
        <f t="shared" si="11"/>
        <v>1.331815</v>
      </c>
      <c r="G30" s="24">
        <f t="shared" si="12"/>
        <v>1.331815</v>
      </c>
      <c r="H30" s="22" t="s">
        <v>63</v>
      </c>
      <c r="I30" s="22">
        <f>G4</f>
        <v>579.05</v>
      </c>
      <c r="J30" s="28">
        <v>0.0023</v>
      </c>
    </row>
    <row r="31" s="1" customFormat="1" customHeight="1" spans="1:10">
      <c r="A31" s="20">
        <v>3</v>
      </c>
      <c r="B31" s="30" t="s">
        <v>65</v>
      </c>
      <c r="C31" s="29"/>
      <c r="D31" s="29"/>
      <c r="E31" s="29"/>
      <c r="F31" s="24">
        <f t="shared" si="11"/>
        <v>2.3162</v>
      </c>
      <c r="G31" s="24">
        <f t="shared" si="12"/>
        <v>2.3162</v>
      </c>
      <c r="H31" s="22" t="s">
        <v>63</v>
      </c>
      <c r="I31" s="22">
        <f>I30</f>
        <v>579.05</v>
      </c>
      <c r="J31" s="28">
        <v>0.004</v>
      </c>
    </row>
    <row r="32" s="1" customFormat="1" customHeight="1" spans="1:10">
      <c r="A32" s="20">
        <v>4</v>
      </c>
      <c r="B32" s="30" t="s">
        <v>66</v>
      </c>
      <c r="C32" s="29"/>
      <c r="D32" s="29"/>
      <c r="E32" s="29"/>
      <c r="F32" s="24">
        <f t="shared" si="11"/>
        <v>1.62134</v>
      </c>
      <c r="G32" s="24">
        <f t="shared" si="12"/>
        <v>1.62134</v>
      </c>
      <c r="H32" s="22" t="s">
        <v>63</v>
      </c>
      <c r="I32" s="22">
        <f>I31</f>
        <v>579.05</v>
      </c>
      <c r="J32" s="28">
        <v>0.0028</v>
      </c>
    </row>
    <row r="33" s="1" customFormat="1" customHeight="1" spans="1:14">
      <c r="A33" s="20">
        <v>5</v>
      </c>
      <c r="B33" s="30" t="s">
        <v>67</v>
      </c>
      <c r="C33" s="29"/>
      <c r="D33" s="29"/>
      <c r="E33" s="29"/>
      <c r="F33" s="24">
        <f t="shared" si="11"/>
        <v>1.04229</v>
      </c>
      <c r="G33" s="24">
        <f t="shared" si="12"/>
        <v>1.04229</v>
      </c>
      <c r="H33" s="22" t="s">
        <v>63</v>
      </c>
      <c r="I33" s="22">
        <f t="shared" ref="I33:I37" si="13">I31</f>
        <v>579.05</v>
      </c>
      <c r="J33" s="28">
        <v>0.0018</v>
      </c>
    </row>
    <row r="34" s="1" customFormat="1" customHeight="1" spans="1:14">
      <c r="A34" s="20">
        <v>6</v>
      </c>
      <c r="B34" s="31" t="s">
        <v>68</v>
      </c>
      <c r="C34" s="29"/>
      <c r="D34" s="29"/>
      <c r="E34" s="29"/>
      <c r="F34" s="24">
        <f t="shared" si="11"/>
        <v>0.2736</v>
      </c>
      <c r="G34" s="24">
        <f>I34*J34/10000</f>
        <v>0.2736</v>
      </c>
      <c r="H34" s="22" t="s">
        <v>32</v>
      </c>
      <c r="I34" s="22">
        <f>I38</f>
        <v>1200</v>
      </c>
      <c r="J34" s="32">
        <v>2.28</v>
      </c>
    </row>
    <row r="35" s="1" customFormat="1" customHeight="1" spans="1:14">
      <c r="A35" s="20">
        <v>7</v>
      </c>
      <c r="B35" s="21" t="s">
        <v>69</v>
      </c>
      <c r="C35" s="33"/>
      <c r="D35" s="33"/>
      <c r="E35" s="33"/>
      <c r="F35" s="24">
        <f t="shared" si="11"/>
        <v>14.47625</v>
      </c>
      <c r="G35" s="24">
        <f t="shared" ref="G35:G38" si="14">I35*J35</f>
        <v>14.47625</v>
      </c>
      <c r="H35" s="22" t="s">
        <v>63</v>
      </c>
      <c r="I35" s="22">
        <f t="shared" si="13"/>
        <v>579.05</v>
      </c>
      <c r="J35" s="28">
        <v>0.025</v>
      </c>
    </row>
    <row r="36" s="1" customFormat="1" customHeight="1" spans="1:14">
      <c r="A36" s="20">
        <v>8</v>
      </c>
      <c r="B36" s="21" t="s">
        <v>70</v>
      </c>
      <c r="C36" s="29"/>
      <c r="D36" s="29"/>
      <c r="E36" s="29"/>
      <c r="F36" s="24">
        <f t="shared" si="11"/>
        <v>0.55</v>
      </c>
      <c r="G36" s="24">
        <v>0.55</v>
      </c>
      <c r="H36" s="22" t="str">
        <f>H38</f>
        <v>㎡</v>
      </c>
      <c r="I36" s="22">
        <f>I38</f>
        <v>1200</v>
      </c>
      <c r="J36" s="32">
        <v>4.57</v>
      </c>
    </row>
    <row r="37" s="1" customFormat="1" customHeight="1" spans="1:14">
      <c r="A37" s="20">
        <v>9</v>
      </c>
      <c r="B37" s="34" t="s">
        <v>71</v>
      </c>
      <c r="C37" s="29"/>
      <c r="D37" s="29"/>
      <c r="E37" s="21"/>
      <c r="F37" s="24">
        <f t="shared" si="11"/>
        <v>0.289525</v>
      </c>
      <c r="G37" s="24">
        <f t="shared" si="14"/>
        <v>0.289525</v>
      </c>
      <c r="H37" s="22" t="s">
        <v>63</v>
      </c>
      <c r="I37" s="22">
        <f t="shared" si="13"/>
        <v>579.05</v>
      </c>
      <c r="J37" s="28">
        <v>0.0005</v>
      </c>
      <c r="L37" s="35"/>
    </row>
    <row r="38" s="1" customFormat="1" customHeight="1" spans="1:14">
      <c r="A38" s="20">
        <v>10</v>
      </c>
      <c r="B38" s="34" t="s">
        <v>72</v>
      </c>
      <c r="C38" s="29"/>
      <c r="D38" s="29"/>
      <c r="E38" s="29"/>
      <c r="F38" s="24">
        <f t="shared" si="11"/>
        <v>0.48</v>
      </c>
      <c r="G38" s="24">
        <f t="shared" si="14"/>
        <v>0.48</v>
      </c>
      <c r="H38" s="22" t="s">
        <v>32</v>
      </c>
      <c r="I38" s="22">
        <f>I4</f>
        <v>1200</v>
      </c>
      <c r="J38" s="28">
        <v>0.0004</v>
      </c>
    </row>
    <row r="39" s="1" customFormat="1" customHeight="1" spans="1:14">
      <c r="A39" s="20">
        <v>11</v>
      </c>
      <c r="B39" s="36" t="s">
        <v>73</v>
      </c>
      <c r="C39" s="22"/>
      <c r="D39" s="22"/>
      <c r="E39" s="22"/>
      <c r="F39" s="24">
        <f t="shared" si="11"/>
        <v>0.2736</v>
      </c>
      <c r="G39" s="24">
        <f t="shared" ref="G39:G45" si="15">I39*J39/10000</f>
        <v>0.2736</v>
      </c>
      <c r="H39" s="22" t="s">
        <v>32</v>
      </c>
      <c r="I39" s="22">
        <f t="shared" ref="I39:I43" si="16">I38</f>
        <v>1200</v>
      </c>
      <c r="J39" s="32">
        <v>2.28</v>
      </c>
    </row>
    <row r="40" s="1" customFormat="1" customHeight="1" spans="1:14">
      <c r="A40" s="20">
        <v>12</v>
      </c>
      <c r="B40" s="36" t="s">
        <v>74</v>
      </c>
      <c r="C40" s="22"/>
      <c r="D40" s="22"/>
      <c r="E40" s="22"/>
      <c r="F40" s="24">
        <f t="shared" si="11"/>
        <v>4.342875</v>
      </c>
      <c r="G40" s="24">
        <f>I40*J40</f>
        <v>4.342875</v>
      </c>
      <c r="H40" s="22" t="str">
        <f>H37</f>
        <v>万元</v>
      </c>
      <c r="I40" s="22">
        <f>I37</f>
        <v>579.05</v>
      </c>
      <c r="J40" s="28">
        <v>0.0075</v>
      </c>
    </row>
    <row r="41" s="1" customFormat="1" customHeight="1" spans="1:14">
      <c r="A41" s="20">
        <v>13</v>
      </c>
      <c r="B41" s="37" t="s">
        <v>75</v>
      </c>
      <c r="C41" s="38"/>
      <c r="D41" s="38"/>
      <c r="E41" s="39"/>
      <c r="F41" s="24">
        <f t="shared" si="11"/>
        <v>0.24</v>
      </c>
      <c r="G41" s="24">
        <f t="shared" si="15"/>
        <v>0.24</v>
      </c>
      <c r="H41" s="22" t="s">
        <v>32</v>
      </c>
      <c r="I41" s="22">
        <f>I36</f>
        <v>1200</v>
      </c>
      <c r="J41" s="32">
        <v>2</v>
      </c>
    </row>
    <row r="42" s="1" customFormat="1" customHeight="1" spans="1:14">
      <c r="A42" s="20">
        <v>14</v>
      </c>
      <c r="B42" s="37" t="s">
        <v>76</v>
      </c>
      <c r="C42" s="38"/>
      <c r="D42" s="38"/>
      <c r="E42" s="39"/>
      <c r="F42" s="24">
        <f t="shared" si="11"/>
        <v>3.6</v>
      </c>
      <c r="G42" s="24">
        <f t="shared" si="15"/>
        <v>3.6</v>
      </c>
      <c r="H42" s="22" t="s">
        <v>32</v>
      </c>
      <c r="I42" s="22">
        <f t="shared" si="16"/>
        <v>1200</v>
      </c>
      <c r="J42" s="32">
        <v>30</v>
      </c>
    </row>
    <row r="43" s="1" customFormat="1" customHeight="1" spans="1:14">
      <c r="A43" s="20">
        <v>15</v>
      </c>
      <c r="B43" s="37" t="s">
        <v>77</v>
      </c>
      <c r="C43" s="37"/>
      <c r="D43" s="37"/>
      <c r="E43" s="37"/>
      <c r="F43" s="24">
        <f t="shared" si="11"/>
        <v>4.8</v>
      </c>
      <c r="G43" s="24">
        <f t="shared" si="15"/>
        <v>4.8</v>
      </c>
      <c r="H43" s="22" t="s">
        <v>32</v>
      </c>
      <c r="I43" s="22">
        <f t="shared" si="16"/>
        <v>1200</v>
      </c>
      <c r="J43" s="32">
        <v>40</v>
      </c>
    </row>
    <row r="44" s="1" customFormat="1" customHeight="1" spans="1:14">
      <c r="A44" s="20">
        <v>16</v>
      </c>
      <c r="B44" s="37" t="s">
        <v>79</v>
      </c>
      <c r="C44" s="37"/>
      <c r="D44" s="37"/>
      <c r="E44" s="37"/>
      <c r="F44" s="24">
        <f t="shared" si="11"/>
        <v>2</v>
      </c>
      <c r="G44" s="40">
        <f t="shared" si="15"/>
        <v>2</v>
      </c>
      <c r="H44" s="22" t="s">
        <v>80</v>
      </c>
      <c r="I44" s="22">
        <v>1</v>
      </c>
      <c r="J44" s="32">
        <v>20000</v>
      </c>
    </row>
    <row r="45" s="1" customFormat="1" customHeight="1" spans="1:14">
      <c r="A45" s="20">
        <v>17</v>
      </c>
      <c r="B45" s="41" t="s">
        <v>84</v>
      </c>
      <c r="C45" s="42"/>
      <c r="D45" s="43"/>
      <c r="E45" s="44"/>
      <c r="F45" s="24">
        <f t="shared" si="11"/>
        <v>0.6</v>
      </c>
      <c r="G45" s="40">
        <f t="shared" si="15"/>
        <v>0.6</v>
      </c>
      <c r="H45" s="20" t="s">
        <v>32</v>
      </c>
      <c r="I45" s="22">
        <f>I4</f>
        <v>1200</v>
      </c>
      <c r="J45" s="24">
        <v>5</v>
      </c>
    </row>
    <row r="46" s="1" customFormat="1" customHeight="1" spans="1:14">
      <c r="A46" s="8" t="s">
        <v>15</v>
      </c>
      <c r="B46" s="9" t="s">
        <v>85</v>
      </c>
      <c r="C46" s="27"/>
      <c r="D46" s="11"/>
      <c r="E46" s="8"/>
      <c r="F46" s="10">
        <f>F47</f>
        <v>5.76</v>
      </c>
      <c r="G46" s="10">
        <f>G47</f>
        <v>5.76</v>
      </c>
      <c r="H46" s="45" t="s">
        <v>86</v>
      </c>
      <c r="I46" s="13">
        <f>I38</f>
        <v>1200</v>
      </c>
      <c r="J46" s="10">
        <f>G46/I46*10000</f>
        <v>48</v>
      </c>
    </row>
    <row r="47" s="1" customFormat="1" customHeight="1" spans="1:14">
      <c r="A47" s="8">
        <v>1</v>
      </c>
      <c r="B47" s="25" t="s">
        <v>85</v>
      </c>
      <c r="C47" s="26"/>
      <c r="D47" s="20"/>
      <c r="E47" s="20"/>
      <c r="F47" s="24">
        <f>G47</f>
        <v>5.76</v>
      </c>
      <c r="G47" s="24">
        <f>6.17-0.41</f>
        <v>5.76</v>
      </c>
      <c r="H47" s="26" t="s">
        <v>63</v>
      </c>
      <c r="I47" s="24">
        <f>G28+G4</f>
        <v>624.236095</v>
      </c>
      <c r="J47" s="46">
        <f>G47/I47</f>
        <v>0.00922727802210796</v>
      </c>
      <c r="L47" s="35"/>
    </row>
    <row r="48" s="1" customFormat="1" customHeight="1" spans="1:14">
      <c r="A48" s="8" t="s">
        <v>17</v>
      </c>
      <c r="B48" s="47" t="s">
        <v>87</v>
      </c>
      <c r="C48" s="48">
        <f>C4</f>
        <v>398.95</v>
      </c>
      <c r="D48" s="48">
        <f>D4</f>
        <v>110.66</v>
      </c>
      <c r="E48" s="48">
        <f>E4</f>
        <v>69.44</v>
      </c>
      <c r="F48" s="48">
        <f>F46+F28</f>
        <v>50.946095</v>
      </c>
      <c r="G48" s="49">
        <f>C48+D48+E48+F48</f>
        <v>629.996095</v>
      </c>
      <c r="H48" s="50" t="s">
        <v>32</v>
      </c>
      <c r="I48" s="50">
        <f>I46</f>
        <v>1200</v>
      </c>
      <c r="J48" s="51">
        <f>G48/I48*10000</f>
        <v>5249.96745833333</v>
      </c>
      <c r="N48" s="1">
        <f>600*1.05</f>
        <v>630</v>
      </c>
    </row>
  </sheetData>
  <mergeCells count="5">
    <mergeCell ref="A1:J1"/>
    <mergeCell ref="C2:G2"/>
    <mergeCell ref="H2:J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投资估算总表</vt:lpstr>
      <vt:lpstr>估算表1-平罗县中医医院医养结合综合楼</vt:lpstr>
      <vt:lpstr>估算表2-红崖子乡卫生院医养结合服务中心楼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dcterms:created xsi:type="dcterms:W3CDTF">2026-05-22T03:27:57Z</dcterms:created>
  <dcterms:modified xsi:type="dcterms:W3CDTF">2026-05-22T03:32:12Z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C1C73212760A463EA66B790864B77B05_11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