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42" activeTab="1"/>
  </bookViews>
  <sheets>
    <sheet name="估算概表" sheetId="10" r:id="rId1"/>
    <sheet name="宁夏石嘴山市平罗县公共实训基地建设项目" sheetId="6" r:id="rId2"/>
    <sheet name="方案一" sheetId="16" state="hidden" r:id="rId3"/>
    <sheet name="三层框架结构" sheetId="15" state="hidden" r:id="rId4"/>
    <sheet name="宁夏师范学院风雨操场项目 (3)" sheetId="14" state="hidden" r:id="rId5"/>
    <sheet name="成本测算" sheetId="13" state="hidden" r:id="rId6"/>
    <sheet name="标准运动场项目 (3)" sheetId="12" state="hidden" r:id="rId7"/>
    <sheet name="宁夏师范学院风雨操场项目 (2)" sheetId="9" state="hidden" r:id="rId8"/>
    <sheet name="标准运动场项目 (2)" sheetId="8" state="hidden" r:id="rId9"/>
  </sheets>
  <definedNames>
    <definedName name="_xlnm.Print_Area" localSheetId="2">方案一!$A$1:$K$40</definedName>
    <definedName name="_xlnm.Print_Area" localSheetId="4">'宁夏师范学院风雨操场项目 (3)'!$A$1:$K$59</definedName>
    <definedName name="_xlnm.Print_Area" localSheetId="1">宁夏石嘴山市平罗县公共实训基地建设项目!$A$1:$K$57</definedName>
    <definedName name="_xlnm.Print_Area" localSheetId="3">三层框架结构!$A$1:$K$56</definedName>
    <definedName name="_xlnm.Print_Titles" localSheetId="8">'标准运动场项目 (2)'!$1:$4</definedName>
    <definedName name="_xlnm.Print_Titles" localSheetId="6">'标准运动场项目 (3)'!$1:$4</definedName>
    <definedName name="_xlnm.Print_Titles" localSheetId="2">方案一!$1:$4</definedName>
    <definedName name="_xlnm.Print_Titles" localSheetId="7">'宁夏师范学院风雨操场项目 (2)'!$1:$4</definedName>
    <definedName name="_xlnm.Print_Titles" localSheetId="4">'宁夏师范学院风雨操场项目 (3)'!$1:$4</definedName>
    <definedName name="_xlnm.Print_Titles" localSheetId="1">宁夏石嘴山市平罗县公共实训基地建设项目!$1:$4</definedName>
    <definedName name="_xlnm.Print_Titles" localSheetId="3">三层框架结构!$1:$4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<sst xmlns="http://schemas.openxmlformats.org/spreadsheetml/2006/main" count="972" uniqueCount="322">
  <si>
    <t>总概算表</t>
  </si>
  <si>
    <t>序号</t>
  </si>
  <si>
    <t>工程或费用名称</t>
  </si>
  <si>
    <t xml:space="preserve">  概  算  金  额（万元）</t>
  </si>
  <si>
    <t>投资比(%)</t>
  </si>
  <si>
    <t>建筑工程费</t>
  </si>
  <si>
    <t>设备购置费</t>
  </si>
  <si>
    <t>安装工程费</t>
  </si>
  <si>
    <t>其他费用</t>
  </si>
  <si>
    <t>合计</t>
  </si>
  <si>
    <t>一</t>
  </si>
  <si>
    <t>工程费用</t>
  </si>
  <si>
    <t>二</t>
  </si>
  <si>
    <t>工程建设其他费用</t>
  </si>
  <si>
    <t>三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</si>
  <si>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预备费</t>
    </r>
  </si>
  <si>
    <t>六</t>
  </si>
  <si>
    <t>项目总投资</t>
  </si>
  <si>
    <t>综合概算表</t>
  </si>
  <si>
    <t>工程项目：宁夏石嘴山市平罗县公共实训基地建设项目</t>
  </si>
  <si>
    <t>项目名称</t>
  </si>
  <si>
    <t>概算价值（万元）</t>
  </si>
  <si>
    <t>技术经济指标（元）</t>
  </si>
  <si>
    <t>占投资额（%）</t>
  </si>
  <si>
    <t>单位</t>
  </si>
  <si>
    <t>数量</t>
  </si>
  <si>
    <t>单位价值</t>
  </si>
  <si>
    <t>㎡</t>
  </si>
  <si>
    <t>（一）</t>
  </si>
  <si>
    <t>公共实训综合楼</t>
  </si>
  <si>
    <t>土建及装修工程</t>
  </si>
  <si>
    <t>给排水及消防喷淋工程</t>
  </si>
  <si>
    <t>采暖及通风工程</t>
  </si>
  <si>
    <t>电气工程</t>
  </si>
  <si>
    <t>电梯工程（4层4站）</t>
  </si>
  <si>
    <t>部</t>
  </si>
  <si>
    <t>（二）</t>
  </si>
  <si>
    <t>实训车间</t>
  </si>
  <si>
    <t>土建及装修工程工程（钢结构）</t>
  </si>
  <si>
    <t>给排水及消防工程</t>
  </si>
  <si>
    <t>（三）</t>
  </si>
  <si>
    <t>室外配套工程</t>
  </si>
  <si>
    <t>花岗岩铺装</t>
  </si>
  <si>
    <t>透水砖铺装</t>
  </si>
  <si>
    <t>围墙</t>
  </si>
  <si>
    <t>m</t>
  </si>
  <si>
    <t>绿化工程</t>
  </si>
  <si>
    <t>电动伸缩门</t>
  </si>
  <si>
    <t>水外线工程</t>
  </si>
  <si>
    <t>暖外线工程</t>
  </si>
  <si>
    <t>电外线工程</t>
  </si>
  <si>
    <t>自行车棚</t>
  </si>
  <si>
    <t>5米道闸（含门禁、人脸识别等）</t>
  </si>
  <si>
    <t>项</t>
  </si>
  <si>
    <t>门卫岗亭</t>
  </si>
  <si>
    <t>室外天然气管道</t>
  </si>
  <si>
    <t>万元</t>
  </si>
  <si>
    <t>工程建设管理费</t>
  </si>
  <si>
    <t>工程监理费</t>
  </si>
  <si>
    <t>地质勘察费</t>
  </si>
  <si>
    <t>前期咨询费</t>
  </si>
  <si>
    <t>工程设计费</t>
  </si>
  <si>
    <t>BIM设计费</t>
  </si>
  <si>
    <t>工程招标代理服务费</t>
  </si>
  <si>
    <t>编制清单及招标控制价</t>
  </si>
  <si>
    <t>施工阶段全过程造价控制费（审核竣工结算)</t>
  </si>
  <si>
    <t>竣工决算编审费</t>
  </si>
  <si>
    <t>勘察设计审查费</t>
  </si>
  <si>
    <t>人防易地建设费</t>
  </si>
  <si>
    <t>环境影响咨询评价费</t>
  </si>
  <si>
    <t>环境检测费</t>
  </si>
  <si>
    <t>节能评审费</t>
  </si>
  <si>
    <t>绩效评价报告编制费</t>
  </si>
  <si>
    <t>建设工程质量检测试验费</t>
  </si>
  <si>
    <t>燃气接口费</t>
  </si>
  <si>
    <t>社会风险评估</t>
  </si>
  <si>
    <t>绿建收费</t>
  </si>
  <si>
    <t>交通影响评价费</t>
  </si>
  <si>
    <t>安全评价费</t>
  </si>
  <si>
    <t>档案归档管理及数字化经费</t>
  </si>
  <si>
    <t>建筑智能化监测费</t>
  </si>
  <si>
    <t>实训设备费</t>
  </si>
  <si>
    <t>预备费</t>
  </si>
  <si>
    <t>四</t>
  </si>
  <si>
    <t>投资估算综合表</t>
  </si>
  <si>
    <t>工程项目：北方民族大学研究生宿舍项目--（方案一）</t>
  </si>
  <si>
    <t>估算价值（万元）</t>
  </si>
  <si>
    <t>三层框架结构</t>
  </si>
  <si>
    <t>建筑及装饰装修工程</t>
  </si>
  <si>
    <t>无障碍客梯（5层5站）</t>
  </si>
  <si>
    <t>强弱电工程</t>
  </si>
  <si>
    <t>抗震支架</t>
  </si>
  <si>
    <t>（四）</t>
  </si>
  <si>
    <t>室外附属工程</t>
  </si>
  <si>
    <t>室外沥青路硬化</t>
  </si>
  <si>
    <t>室外仿石材透水砖铺装</t>
  </si>
  <si>
    <t>室外化粪池</t>
  </si>
  <si>
    <t>座</t>
  </si>
  <si>
    <t>水外网工程</t>
  </si>
  <si>
    <t>暖外网工程</t>
  </si>
  <si>
    <t>电外网工程</t>
  </si>
  <si>
    <t>建设管理费</t>
  </si>
  <si>
    <t>平方米</t>
  </si>
  <si>
    <t>施工图及BIM审查费</t>
  </si>
  <si>
    <t>全过程造价跟踪审计费</t>
  </si>
  <si>
    <t>可行性研究报告编制费</t>
  </si>
  <si>
    <t>项目建议书编制费</t>
  </si>
  <si>
    <t>竣工结算审核费</t>
  </si>
  <si>
    <t>节能评价费</t>
  </si>
  <si>
    <t>环境影响咨询评价</t>
  </si>
  <si>
    <t>水土保持方案编制费</t>
  </si>
  <si>
    <t>消防检测费</t>
  </si>
  <si>
    <t>1#宿舍</t>
  </si>
  <si>
    <t>客梯（15层15站）</t>
  </si>
  <si>
    <t>太阳能集热系统</t>
  </si>
  <si>
    <t>套</t>
  </si>
  <si>
    <t>2#宿舍</t>
  </si>
  <si>
    <t>地下车库（含人防地下室）</t>
  </si>
  <si>
    <t>建筑与装饰装修工程</t>
  </si>
  <si>
    <t>采暖及通风防排烟工程</t>
  </si>
  <si>
    <t>消防水泵房设备</t>
  </si>
  <si>
    <t>变配电室设备</t>
  </si>
  <si>
    <t>投   资  估  算  表</t>
  </si>
  <si>
    <t>工程项目：宁夏师范学院“升大创博”重点建设项目（一期）——风雨操场项目</t>
  </si>
  <si>
    <t>风雨操场</t>
  </si>
  <si>
    <t>装饰</t>
  </si>
  <si>
    <t>建筑</t>
  </si>
  <si>
    <t>给排水及消防、喷淋工程</t>
  </si>
  <si>
    <t>强电工程</t>
  </si>
  <si>
    <t>弱电工程</t>
  </si>
  <si>
    <t>抗震支架工程</t>
  </si>
  <si>
    <t>货梯</t>
  </si>
  <si>
    <t>无障碍客梯</t>
  </si>
  <si>
    <t>太阳能光伏系统</t>
  </si>
  <si>
    <t>KW</t>
  </si>
  <si>
    <t>场地挖填土方工程</t>
  </si>
  <si>
    <t>m³</t>
  </si>
  <si>
    <t>硬化广场</t>
  </si>
  <si>
    <t>混凝土道路</t>
  </si>
  <si>
    <t>停车位</t>
  </si>
  <si>
    <t>钢丝网骨架DN100</t>
  </si>
  <si>
    <t>钢筋混凝土排水管道DN300</t>
  </si>
  <si>
    <t>地下式室外消火栓(SA100/65)</t>
  </si>
  <si>
    <t>个</t>
  </si>
  <si>
    <t>矩形钢筋混凝土给水阀门井（1.4m*1.4m）</t>
  </si>
  <si>
    <t>雨水口</t>
  </si>
  <si>
    <t>化粪池（75m³）</t>
  </si>
  <si>
    <t>矩形钢筋混凝土排水检查井（1m*1m）</t>
  </si>
  <si>
    <t>直埋保温管DN200</t>
  </si>
  <si>
    <t>钢筋混凝土检查井1.5m*1.5m</t>
  </si>
  <si>
    <t>钢筋混凝土补偿器井（2m*2m）</t>
  </si>
  <si>
    <t>电缆</t>
  </si>
  <si>
    <t>电井</t>
  </si>
  <si>
    <t>路灯</t>
  </si>
  <si>
    <t>盏</t>
  </si>
  <si>
    <t>400KVA箱变</t>
  </si>
  <si>
    <t>台</t>
  </si>
  <si>
    <t>2.场地地震安全评价费是否计入</t>
  </si>
  <si>
    <t>项目建设管理费</t>
  </si>
  <si>
    <t>勘察测量费</t>
  </si>
  <si>
    <t>施工图审查费</t>
  </si>
  <si>
    <t>全过程跟踪审计费</t>
  </si>
  <si>
    <t>可行性研究报告编制及评价费</t>
  </si>
  <si>
    <t>项目建议书编制及评审费</t>
  </si>
  <si>
    <t>编制竣工决算费</t>
  </si>
  <si>
    <t>审核竣工结算费</t>
  </si>
  <si>
    <t>三通一平费</t>
  </si>
  <si>
    <t>风雨操场成本测算表</t>
  </si>
  <si>
    <t>建筑面积</t>
  </si>
  <si>
    <t>每平米工程含量</t>
  </si>
  <si>
    <t>工程量</t>
  </si>
  <si>
    <t>单方造价（元）</t>
  </si>
  <si>
    <t>总造价（万元）</t>
  </si>
  <si>
    <t>单方建筑面积造价（元/平米）</t>
  </si>
  <si>
    <t>备注</t>
  </si>
  <si>
    <t>建筑工程</t>
  </si>
  <si>
    <t>3:7灰土夯填2米</t>
  </si>
  <si>
    <t>素土回填2米</t>
  </si>
  <si>
    <t>基础处理打桩</t>
  </si>
  <si>
    <t>根</t>
  </si>
  <si>
    <t>土方工程</t>
  </si>
  <si>
    <t>混凝土</t>
  </si>
  <si>
    <t>砌体工程</t>
  </si>
  <si>
    <t>玻璃幕墙</t>
  </si>
  <si>
    <t>钢材</t>
  </si>
  <si>
    <t>t</t>
  </si>
  <si>
    <t>模板</t>
  </si>
  <si>
    <t>钢结构顶子</t>
  </si>
  <si>
    <t>铝镁锰板</t>
  </si>
  <si>
    <t>室外大台阶</t>
  </si>
  <si>
    <t>措施项目垂直运输脚手架、大型机械</t>
  </si>
  <si>
    <t>装饰与装修工程</t>
  </si>
  <si>
    <t>门窗</t>
  </si>
  <si>
    <t>楼地面</t>
  </si>
  <si>
    <t>天棚吊顶</t>
  </si>
  <si>
    <t>内墙面</t>
  </si>
  <si>
    <t>外墙面（穿孔铝板装饰）</t>
  </si>
  <si>
    <t>外墙保温</t>
  </si>
  <si>
    <t>外墙真石漆</t>
  </si>
  <si>
    <t>安装工程</t>
  </si>
  <si>
    <t>采暖及通风、防排烟工程</t>
  </si>
  <si>
    <t>空调工程</t>
  </si>
  <si>
    <t>强弱电及消防工程</t>
  </si>
  <si>
    <t>变配电室</t>
  </si>
  <si>
    <t>水</t>
  </si>
  <si>
    <t>太阳能集热器</t>
  </si>
  <si>
    <t>吨</t>
  </si>
  <si>
    <t>工程项目：宁夏师范学院“升大创博”重点建设项目（一期）-田径运动场项目</t>
  </si>
  <si>
    <t>指标</t>
  </si>
  <si>
    <t>看台</t>
  </si>
  <si>
    <t>土建及装饰装修工程（含减隔震）</t>
  </si>
  <si>
    <t>给排水工程、消防及喷淋工程</t>
  </si>
  <si>
    <t>采暖工程</t>
  </si>
  <si>
    <t>通风排烟系统</t>
  </si>
  <si>
    <t>变配电设备</t>
  </si>
  <si>
    <t>附属工程</t>
  </si>
  <si>
    <t>硬质铺装</t>
  </si>
  <si>
    <t>水外线</t>
  </si>
  <si>
    <t>暖外线</t>
  </si>
  <si>
    <t>电外线</t>
  </si>
  <si>
    <t>塑胶铺装</t>
  </si>
  <si>
    <t>球场围栏</t>
  </si>
  <si>
    <t>室外高杆灯</t>
  </si>
  <si>
    <t>看台膜结构遮阳雨棚</t>
  </si>
  <si>
    <t>室外看台座椅</t>
  </si>
  <si>
    <t>球场人工草坪</t>
  </si>
  <si>
    <t>铅球、跳远场地沙坑</t>
  </si>
  <si>
    <t>器械</t>
  </si>
  <si>
    <t>清单及控制价编制费</t>
  </si>
  <si>
    <t>施工阶段全过程造价控制</t>
  </si>
  <si>
    <t>审核竣工决算</t>
  </si>
  <si>
    <t>一次调整</t>
  </si>
  <si>
    <t>二次调整</t>
  </si>
  <si>
    <t>三次调整</t>
  </si>
  <si>
    <t>编制竣工决算</t>
  </si>
  <si>
    <t>施工图设计费</t>
  </si>
  <si>
    <t>招标服务费</t>
  </si>
  <si>
    <t>水土保持设施验收费</t>
  </si>
  <si>
    <t>工程项目：宁夏师范学院风雨操场项目</t>
  </si>
  <si>
    <t>建筑主体工程（含减隔震）</t>
  </si>
  <si>
    <t>室内外装饰装修工程</t>
  </si>
  <si>
    <t>给排水、消防、喷淋工程</t>
  </si>
  <si>
    <t>室内变电所</t>
  </si>
  <si>
    <t>高压柜</t>
  </si>
  <si>
    <t>KYN28</t>
  </si>
  <si>
    <t>9面</t>
  </si>
  <si>
    <t>电梯工程</t>
  </si>
  <si>
    <t>变压器</t>
  </si>
  <si>
    <t>2台</t>
  </si>
  <si>
    <t>400KWA</t>
  </si>
  <si>
    <t>太阳能光伏板</t>
  </si>
  <si>
    <t>低压柜</t>
  </si>
  <si>
    <t>15面</t>
  </si>
  <si>
    <t>铺砖道路</t>
  </si>
  <si>
    <t>沥青混凝土道路</t>
  </si>
  <si>
    <t>绿化种植及种植土换填</t>
  </si>
  <si>
    <t>外网采暖管道</t>
  </si>
  <si>
    <t>DN200</t>
  </si>
  <si>
    <t>170米</t>
  </si>
  <si>
    <t>1.5深度</t>
  </si>
  <si>
    <t>绿化喷灌工程</t>
  </si>
  <si>
    <t>DN150</t>
  </si>
  <si>
    <t>80米</t>
  </si>
  <si>
    <t>化粪池</t>
  </si>
  <si>
    <t>固定支墩</t>
  </si>
  <si>
    <t>庭院灯</t>
  </si>
  <si>
    <t>阀门检查井1.8*1.6*1.8</t>
  </si>
  <si>
    <t>PE给水塑料管DN150安装</t>
  </si>
  <si>
    <t>消防管道球墨铸铁管DN150安装</t>
  </si>
  <si>
    <t>室外消火栓</t>
  </si>
  <si>
    <t>钢筋混凝土排水管DN300安装</t>
  </si>
  <si>
    <t>钢筋混凝土雨水管DN300安装</t>
  </si>
  <si>
    <t>雨水检查井（井径1m）</t>
  </si>
  <si>
    <t>排水检查井（井径1m）</t>
  </si>
  <si>
    <t>消防阀门井（井径1m）</t>
  </si>
  <si>
    <t>给水阀门井
（井径1m）</t>
  </si>
  <si>
    <t>补偿器DN200</t>
  </si>
  <si>
    <t xml:space="preserve">个 </t>
  </si>
  <si>
    <t>水表井（井径1m）</t>
  </si>
  <si>
    <t>管道垫层</t>
  </si>
  <si>
    <t>管道及井土方</t>
  </si>
  <si>
    <t>外网采暖管道DN200安装</t>
  </si>
  <si>
    <t>外网采暖管道DN150安装</t>
  </si>
  <si>
    <t>热计量DN100带数据远传功能</t>
  </si>
  <si>
    <t>外网采暖土方工程</t>
  </si>
  <si>
    <t>砂垫层</t>
  </si>
  <si>
    <t>面</t>
  </si>
  <si>
    <t>400KVA变压器</t>
  </si>
  <si>
    <t>YJV10-3*95</t>
  </si>
  <si>
    <t>电缆保护管SC150</t>
  </si>
  <si>
    <t>弱电检查井</t>
  </si>
  <si>
    <t>直通井</t>
  </si>
  <si>
    <t>三通井</t>
  </si>
  <si>
    <t>线管及井土方工程</t>
  </si>
  <si>
    <t>成品活动看台可伸缩座椅</t>
  </si>
  <si>
    <t>成品活动看台固定座椅</t>
  </si>
  <si>
    <t>（五）</t>
  </si>
  <si>
    <t>教学体育设施用品及开办费</t>
  </si>
  <si>
    <t>可研编制及评审费</t>
  </si>
  <si>
    <t>设计费</t>
  </si>
  <si>
    <t>工程保险费</t>
  </si>
  <si>
    <t>2元/㎡</t>
  </si>
  <si>
    <t>水资源费</t>
  </si>
  <si>
    <t>交通评价费</t>
  </si>
  <si>
    <t>高可靠供电费</t>
  </si>
  <si>
    <t>KWA</t>
  </si>
  <si>
    <t>工程项目：宁夏师范学院标准运动场项目</t>
  </si>
  <si>
    <t>土建及装饰装修工程</t>
  </si>
  <si>
    <t>给排水、消防工程</t>
  </si>
  <si>
    <t>看台防护栏杆</t>
  </si>
  <si>
    <t>高杆灯4个</t>
  </si>
  <si>
    <t>污水检查井</t>
  </si>
  <si>
    <t>成品足球架</t>
  </si>
  <si>
    <t>室外高杆灯（25m高）</t>
  </si>
  <si>
    <t>可伸缩终点裁判台</t>
  </si>
  <si>
    <t>膜结构遮阳雨棚</t>
  </si>
  <si>
    <t>塑胶跑道</t>
  </si>
  <si>
    <t>混凝土基层</t>
  </si>
  <si>
    <t>人工草坪</t>
  </si>
  <si>
    <t>铺装</t>
  </si>
  <si>
    <t>运动场内环沟</t>
  </si>
  <si>
    <t>跳远、三级跳区域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</si>
</sst>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.0_);[Red]\(0.0\)"/>
    <numFmt numFmtId="180" formatCode="0.0_ "/>
    <numFmt numFmtId="181" formatCode="0_ "/>
    <numFmt numFmtId="182" formatCode="0.0;[Red]0.0"/>
    <numFmt numFmtId="183" formatCode="0.00;[Red]0.00"/>
    <numFmt numFmtId="184" formatCode="0;[Red]0"/>
    <numFmt numFmtId="185" formatCode="0.0%"/>
  </numFmts>
  <fonts count="52">
    <font>
      <sz val="10"/>
      <color theme="1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22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b/>
      <sz val="14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28"/>
      <name val="宋体"/>
      <charset val="134"/>
    </font>
    <font>
      <b/>
      <sz val="14"/>
      <color rgb="FFFF0000"/>
      <name val="宋体"/>
      <charset val="134"/>
    </font>
    <font>
      <b/>
      <sz val="10"/>
      <color theme="1"/>
      <name val="Arial"/>
      <charset val="134"/>
    </font>
    <font>
      <sz val="20"/>
      <color theme="1"/>
      <name val="宋体"/>
      <charset val="134"/>
    </font>
    <font>
      <sz val="20"/>
      <color theme="1"/>
      <name val="Arial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24"/>
      <name val="宋体"/>
      <charset val="134"/>
    </font>
    <font>
      <sz val="14"/>
      <color theme="1"/>
      <name val="宋体"/>
      <charset val="134"/>
    </font>
    <font>
      <sz val="12"/>
      <color rgb="FFFF0000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2"/>
      <color rgb="FF000000"/>
      <name val="宋体"/>
      <charset val="134"/>
    </font>
    <font>
      <sz val="16"/>
      <color rgb="FF000000"/>
      <name val="宋体"/>
      <charset val="134"/>
    </font>
    <font>
      <sz val="14.05"/>
      <color rgb="FF000000"/>
      <name val="Times New Roman"/>
      <charset val="134"/>
    </font>
    <font>
      <sz val="16"/>
      <name val="宋体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sz val="24"/>
      <name val="宋体"/>
      <charset val="134"/>
    </font>
    <font>
      <sz val="12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6" borderId="1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19" applyNumberFormat="0" applyAlignment="0" applyProtection="0">
      <alignment vertical="center"/>
    </xf>
    <xf numFmtId="0" fontId="41" fillId="8" borderId="20" applyNumberFormat="0" applyAlignment="0" applyProtection="0">
      <alignment vertical="center"/>
    </xf>
    <xf numFmtId="0" fontId="42" fillId="8" borderId="19" applyNumberFormat="0" applyAlignment="0" applyProtection="0">
      <alignment vertical="center"/>
    </xf>
    <xf numFmtId="0" fontId="43" fillId="9" borderId="21" applyNumberFormat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326">
    <xf numFmtId="0" fontId="0" fillId="0" borderId="0" xfId="0"/>
    <xf numFmtId="176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77" fontId="3" fillId="2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10" fontId="5" fillId="0" borderId="6" xfId="0" applyNumberFormat="1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left" vertical="center"/>
    </xf>
    <xf numFmtId="179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179" fontId="3" fillId="0" borderId="5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right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76" fontId="5" fillId="3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Border="1" applyAlignment="1">
      <alignment horizontal="right" vertical="center"/>
    </xf>
    <xf numFmtId="10" fontId="5" fillId="0" borderId="6" xfId="0" applyNumberFormat="1" applyFont="1" applyBorder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0" fontId="5" fillId="0" borderId="1" xfId="0" applyNumberFormat="1" applyFont="1" applyBorder="1" applyAlignment="1">
      <alignment horizontal="right" vertical="center"/>
    </xf>
    <xf numFmtId="10" fontId="8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176" fontId="5" fillId="0" borderId="8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10" fontId="5" fillId="0" borderId="9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3" xfId="0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left" vertical="center" wrapText="1"/>
    </xf>
    <xf numFmtId="10" fontId="5" fillId="0" borderId="6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left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177" fontId="5" fillId="0" borderId="1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80" fontId="3" fillId="0" borderId="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right" vertical="center"/>
    </xf>
    <xf numFmtId="181" fontId="5" fillId="0" borderId="5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left" vertical="center"/>
    </xf>
    <xf numFmtId="177" fontId="3" fillId="2" borderId="6" xfId="0" applyNumberFormat="1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center"/>
    </xf>
    <xf numFmtId="177" fontId="12" fillId="2" borderId="6" xfId="0" applyNumberFormat="1" applyFont="1" applyFill="1" applyBorder="1" applyAlignment="1">
      <alignment horizontal="right" vertical="center"/>
    </xf>
    <xf numFmtId="177" fontId="12" fillId="0" borderId="0" xfId="0" applyNumberFormat="1" applyFont="1" applyAlignment="1">
      <alignment horizontal="center" vertical="center"/>
    </xf>
    <xf numFmtId="177" fontId="12" fillId="0" borderId="0" xfId="0" applyNumberFormat="1" applyFont="1" applyAlignment="1">
      <alignment horizontal="left" vertical="center"/>
    </xf>
    <xf numFmtId="176" fontId="8" fillId="0" borderId="1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0" fontId="5" fillId="2" borderId="6" xfId="0" applyNumberFormat="1" applyFont="1" applyFill="1" applyBorder="1" applyAlignment="1">
      <alignment horizontal="right" vertical="center"/>
    </xf>
    <xf numFmtId="176" fontId="1" fillId="2" borderId="0" xfId="0" applyNumberFormat="1" applyFont="1" applyFill="1" applyAlignment="1">
      <alignment vertical="center"/>
    </xf>
    <xf numFmtId="179" fontId="7" fillId="2" borderId="13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9" fontId="3" fillId="2" borderId="5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76" fontId="1" fillId="0" borderId="0" xfId="0" applyNumberFormat="1" applyFont="1" applyAlignment="1">
      <alignment horizontal="left" vertical="center"/>
    </xf>
    <xf numFmtId="0" fontId="13" fillId="0" borderId="0" xfId="0" applyFont="1"/>
    <xf numFmtId="0" fontId="0" fillId="4" borderId="0" xfId="0" applyFill="1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/>
    <xf numFmtId="176" fontId="16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76" fontId="16" fillId="4" borderId="1" xfId="0" applyNumberFormat="1" applyFon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0" fillId="4" borderId="1" xfId="0" applyNumberFormat="1" applyFill="1" applyBorder="1"/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/>
    <xf numFmtId="0" fontId="13" fillId="0" borderId="1" xfId="0" applyFont="1" applyBorder="1" applyAlignment="1">
      <alignment horizontal="center" vertical="center"/>
    </xf>
    <xf numFmtId="176" fontId="16" fillId="5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81" fontId="5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81" fontId="3" fillId="0" borderId="1" xfId="0" applyNumberFormat="1" applyFont="1" applyBorder="1" applyAlignment="1">
      <alignment horizontal="right" vertical="center"/>
    </xf>
    <xf numFmtId="10" fontId="2" fillId="0" borderId="0" xfId="0" applyNumberFormat="1" applyFont="1" applyAlignment="1">
      <alignment horizontal="center" vertical="center"/>
    </xf>
    <xf numFmtId="181" fontId="3" fillId="2" borderId="1" xfId="0" applyNumberFormat="1" applyFont="1" applyFill="1" applyBorder="1" applyAlignment="1">
      <alignment horizontal="right" vertical="center"/>
    </xf>
    <xf numFmtId="177" fontId="3" fillId="2" borderId="12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center" vertical="center"/>
    </xf>
    <xf numFmtId="181" fontId="6" fillId="2" borderId="1" xfId="0" applyNumberFormat="1" applyFont="1" applyFill="1" applyBorder="1" applyAlignment="1">
      <alignment horizontal="right" vertical="center"/>
    </xf>
    <xf numFmtId="178" fontId="5" fillId="2" borderId="5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177" fontId="5" fillId="2" borderId="10" xfId="0" applyNumberFormat="1" applyFont="1" applyFill="1" applyBorder="1" applyAlignment="1">
      <alignment horizontal="center" vertical="center"/>
    </xf>
    <xf numFmtId="177" fontId="5" fillId="2" borderId="11" xfId="0" applyNumberFormat="1" applyFont="1" applyFill="1" applyBorder="1" applyAlignment="1">
      <alignment horizontal="center" vertical="center"/>
    </xf>
    <xf numFmtId="181" fontId="5" fillId="2" borderId="1" xfId="0" applyNumberFormat="1" applyFont="1" applyFill="1" applyBorder="1" applyAlignment="1">
      <alignment horizontal="right" vertical="center"/>
    </xf>
    <xf numFmtId="182" fontId="3" fillId="2" borderId="5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left" vertical="center"/>
    </xf>
    <xf numFmtId="177" fontId="5" fillId="2" borderId="0" xfId="0" applyNumberFormat="1" applyFont="1" applyFill="1" applyAlignment="1">
      <alignment horizontal="center" vertical="center"/>
    </xf>
    <xf numFmtId="177" fontId="5" fillId="2" borderId="0" xfId="0" applyNumberFormat="1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7" fontId="8" fillId="2" borderId="0" xfId="0" applyNumberFormat="1" applyFont="1" applyFill="1" applyAlignment="1">
      <alignment horizontal="left" vertical="center"/>
    </xf>
    <xf numFmtId="183" fontId="3" fillId="2" borderId="1" xfId="0" applyNumberFormat="1" applyFont="1" applyFill="1" applyBorder="1" applyAlignment="1">
      <alignment horizontal="right" vertical="center"/>
    </xf>
    <xf numFmtId="184" fontId="3" fillId="2" borderId="1" xfId="0" applyNumberFormat="1" applyFont="1" applyFill="1" applyBorder="1" applyAlignment="1">
      <alignment horizontal="right" vertical="center"/>
    </xf>
    <xf numFmtId="183" fontId="5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176" fontId="1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176" fontId="5" fillId="0" borderId="0" xfId="0" applyNumberFormat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right" vertical="center"/>
    </xf>
    <xf numFmtId="183" fontId="5" fillId="0" borderId="1" xfId="0" applyNumberFormat="1" applyFont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8" fontId="3" fillId="2" borderId="5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183" fontId="3" fillId="0" borderId="1" xfId="0" applyNumberFormat="1" applyFont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7" fontId="19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77" fontId="7" fillId="0" borderId="1" xfId="0" applyNumberFormat="1" applyFont="1" applyBorder="1" applyAlignment="1">
      <alignment horizontal="right" vertical="center"/>
    </xf>
    <xf numFmtId="183" fontId="7" fillId="2" borderId="1" xfId="0" applyNumberFormat="1" applyFont="1" applyFill="1" applyBorder="1" applyAlignment="1">
      <alignment horizontal="right" vertical="center"/>
    </xf>
    <xf numFmtId="177" fontId="3" fillId="0" borderId="0" xfId="0" applyNumberFormat="1" applyFont="1" applyAlignment="1">
      <alignment vertical="center"/>
    </xf>
    <xf numFmtId="177" fontId="8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76" fontId="2" fillId="2" borderId="0" xfId="0" applyNumberFormat="1" applyFont="1" applyFill="1" applyAlignment="1">
      <alignment horizontal="center" vertical="center"/>
    </xf>
    <xf numFmtId="180" fontId="2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176" fontId="18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vertical="center"/>
    </xf>
    <xf numFmtId="180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80" fontId="5" fillId="2" borderId="0" xfId="0" applyNumberFormat="1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vertical="center"/>
    </xf>
    <xf numFmtId="180" fontId="5" fillId="2" borderId="0" xfId="0" applyNumberFormat="1" applyFont="1" applyFill="1" applyAlignment="1">
      <alignment vertical="center"/>
    </xf>
    <xf numFmtId="176" fontId="5" fillId="2" borderId="5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22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180" fontId="3" fillId="2" borderId="0" xfId="0" applyNumberFormat="1" applyFont="1" applyFill="1" applyAlignment="1">
      <alignment vertical="center"/>
    </xf>
    <xf numFmtId="177" fontId="19" fillId="2" borderId="1" xfId="0" applyNumberFormat="1" applyFont="1" applyFill="1" applyBorder="1" applyAlignment="1">
      <alignment horizontal="left" vertical="center"/>
    </xf>
    <xf numFmtId="176" fontId="19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horizontal="left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0" fontId="7" fillId="2" borderId="6" xfId="0" applyNumberFormat="1" applyFont="1" applyFill="1" applyBorder="1" applyAlignment="1">
      <alignment horizontal="center" vertical="center"/>
    </xf>
    <xf numFmtId="177" fontId="19" fillId="2" borderId="0" xfId="0" applyNumberFormat="1" applyFont="1" applyFill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83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183" fontId="19" fillId="2" borderId="1" xfId="0" applyNumberFormat="1" applyFont="1" applyFill="1" applyBorder="1" applyAlignment="1">
      <alignment horizontal="center" vertical="center"/>
    </xf>
    <xf numFmtId="10" fontId="19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176" fontId="6" fillId="2" borderId="8" xfId="0" applyNumberFormat="1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23" fillId="2" borderId="0" xfId="0" applyNumberFormat="1" applyFont="1" applyFill="1" applyAlignment="1">
      <alignment horizontal="center" vertical="center" wrapText="1"/>
    </xf>
    <xf numFmtId="183" fontId="2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right" vertical="center"/>
    </xf>
    <xf numFmtId="176" fontId="20" fillId="2" borderId="0" xfId="0" applyNumberFormat="1" applyFont="1" applyFill="1" applyAlignment="1">
      <alignment horizontal="center" vertical="center"/>
    </xf>
    <xf numFmtId="176" fontId="23" fillId="2" borderId="0" xfId="0" applyNumberFormat="1" applyFont="1" applyFill="1" applyAlignment="1">
      <alignment horizontal="center" vertical="center"/>
    </xf>
    <xf numFmtId="176" fontId="24" fillId="2" borderId="0" xfId="0" applyNumberFormat="1" applyFont="1" applyFill="1" applyAlignment="1">
      <alignment horizontal="right" vertical="center"/>
    </xf>
    <xf numFmtId="176" fontId="3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center"/>
    </xf>
    <xf numFmtId="176" fontId="26" fillId="2" borderId="0" xfId="0" applyNumberFormat="1" applyFont="1" applyFill="1" applyAlignment="1">
      <alignment vertical="center"/>
    </xf>
    <xf numFmtId="177" fontId="27" fillId="0" borderId="0" xfId="0" applyNumberFormat="1" applyFont="1" applyAlignment="1">
      <alignment horizontal="center" wrapText="1"/>
    </xf>
    <xf numFmtId="177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wrapText="1"/>
    </xf>
    <xf numFmtId="177" fontId="28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178" fontId="2" fillId="0" borderId="0" xfId="0" applyNumberFormat="1" applyFont="1" applyAlignment="1">
      <alignment horizontal="left" wrapText="1"/>
    </xf>
    <xf numFmtId="178" fontId="2" fillId="0" borderId="2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178" fontId="2" fillId="0" borderId="5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77" fontId="30" fillId="0" borderId="1" xfId="0" applyNumberFormat="1" applyFont="1" applyBorder="1" applyAlignment="1">
      <alignment horizontal="left" vertical="center" wrapText="1"/>
    </xf>
    <xf numFmtId="185" fontId="2" fillId="0" borderId="6" xfId="0" applyNumberFormat="1" applyFont="1" applyBorder="1" applyAlignment="1">
      <alignment horizontal="center" vertical="center" wrapText="1"/>
    </xf>
    <xf numFmtId="177" fontId="2" fillId="0" borderId="14" xfId="0" applyNumberFormat="1" applyFont="1" applyBorder="1" applyAlignment="1">
      <alignment horizontal="center" vertical="center" wrapText="1"/>
    </xf>
    <xf numFmtId="177" fontId="2" fillId="0" borderId="15" xfId="0" applyNumberFormat="1" applyFont="1" applyBorder="1" applyAlignment="1">
      <alignment horizontal="center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177" fontId="2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view="pageBreakPreview" zoomScaleNormal="100" workbookViewId="0">
      <selection activeCell="A1" sqref="A1:H9"/>
    </sheetView>
  </sheetViews>
  <sheetFormatPr defaultColWidth="23.5714285714286" defaultRowHeight="33.95" customHeight="1" outlineLevelCol="7"/>
  <cols>
    <col min="1" max="1" width="10.2857142857143" style="304" customWidth="1"/>
    <col min="2" max="2" width="20.5714285714286" style="304" customWidth="1"/>
    <col min="3" max="8" width="18.7142857142857" style="304" customWidth="1"/>
    <col min="9" max="16384" width="23.5714285714286" style="304"/>
  </cols>
  <sheetData>
    <row r="1" customHeight="1" spans="1:8">
      <c r="A1" s="305" t="s">
        <v>0</v>
      </c>
      <c r="B1" s="305"/>
      <c r="C1" s="305"/>
      <c r="D1" s="305"/>
      <c r="E1" s="305"/>
      <c r="F1" s="305"/>
      <c r="G1" s="305"/>
      <c r="H1" s="305"/>
    </row>
    <row r="2" s="300" customFormat="1" ht="35.1" customHeight="1" spans="1:8">
      <c r="A2" s="306" t="str">
        <f>宁夏石嘴山市平罗县公共实训基地建设项目!A2</f>
        <v>工程项目：宁夏石嘴山市平罗县公共实训基地建设项目</v>
      </c>
      <c r="B2" s="306"/>
      <c r="C2" s="306"/>
      <c r="D2" s="306"/>
      <c r="E2" s="306"/>
      <c r="F2" s="306"/>
      <c r="G2" s="306"/>
      <c r="H2" s="306"/>
    </row>
    <row r="3" s="300" customFormat="1" ht="50.1" customHeight="1" spans="1:8">
      <c r="A3" s="307" t="s">
        <v>1</v>
      </c>
      <c r="B3" s="308" t="s">
        <v>2</v>
      </c>
      <c r="C3" s="309" t="s">
        <v>3</v>
      </c>
      <c r="D3" s="309"/>
      <c r="E3" s="309"/>
      <c r="F3" s="309"/>
      <c r="G3" s="309"/>
      <c r="H3" s="310" t="s">
        <v>4</v>
      </c>
    </row>
    <row r="4" s="301" customFormat="1" ht="50.1" customHeight="1" spans="1:8">
      <c r="A4" s="311"/>
      <c r="B4" s="312"/>
      <c r="C4" s="313" t="s">
        <v>5</v>
      </c>
      <c r="D4" s="313" t="s">
        <v>6</v>
      </c>
      <c r="E4" s="313" t="s">
        <v>7</v>
      </c>
      <c r="F4" s="313" t="s">
        <v>8</v>
      </c>
      <c r="G4" s="313" t="s">
        <v>9</v>
      </c>
      <c r="H4" s="314"/>
    </row>
    <row r="5" s="302" customFormat="1" ht="54.95" customHeight="1" spans="1:8">
      <c r="A5" s="311" t="s">
        <v>10</v>
      </c>
      <c r="B5" s="315" t="s">
        <v>11</v>
      </c>
      <c r="C5" s="312">
        <f>宁夏石嘴山市平罗县公共实训基地建设项目!C5</f>
        <v>1902.069722</v>
      </c>
      <c r="D5" s="312">
        <f>宁夏石嘴山市平罗县公共实训基地建设项目!D5</f>
        <v>30</v>
      </c>
      <c r="E5" s="312">
        <f>宁夏石嘴山市平罗县公共实训基地建设项目!E5</f>
        <v>915.187205</v>
      </c>
      <c r="F5" s="312"/>
      <c r="G5" s="312">
        <f>C5+D5+E5+F5</f>
        <v>2847.256927</v>
      </c>
      <c r="H5" s="314">
        <f>G5/G8</f>
        <v>0.785233995537116</v>
      </c>
    </row>
    <row r="6" s="302" customFormat="1" ht="54.95" customHeight="1" spans="1:8">
      <c r="A6" s="316" t="s">
        <v>12</v>
      </c>
      <c r="B6" s="315" t="s">
        <v>13</v>
      </c>
      <c r="C6" s="312"/>
      <c r="D6" s="312"/>
      <c r="F6" s="312">
        <f>宁夏石嘴山市平罗县公共实训基地建设项目!G30</f>
        <v>606.0745375333</v>
      </c>
      <c r="G6" s="312">
        <f>F6</f>
        <v>606.0745375333</v>
      </c>
      <c r="H6" s="314">
        <f>G6/G8</f>
        <v>0.167146956843836</v>
      </c>
    </row>
    <row r="7" s="302" customFormat="1" ht="54.95" customHeight="1" spans="1:8">
      <c r="A7" s="317" t="s">
        <v>14</v>
      </c>
      <c r="B7" s="318" t="s">
        <v>15</v>
      </c>
      <c r="C7" s="312"/>
      <c r="D7" s="312"/>
      <c r="E7" s="312"/>
      <c r="F7" s="312">
        <f>宁夏石嘴山市平罗县公共实训基地建设项目!G56</f>
        <v>172.666573226665</v>
      </c>
      <c r="G7" s="312">
        <f>F7</f>
        <v>172.666573226665</v>
      </c>
      <c r="H7" s="314">
        <f>G7/G8</f>
        <v>0.0476190476190476</v>
      </c>
    </row>
    <row r="8" s="300" customFormat="1" ht="54.95" customHeight="1" spans="1:8">
      <c r="A8" s="317" t="s">
        <v>16</v>
      </c>
      <c r="B8" s="315" t="s">
        <v>17</v>
      </c>
      <c r="C8" s="312">
        <f>C5+C6+C7</f>
        <v>1902.069722</v>
      </c>
      <c r="D8" s="312">
        <f>D5+D6+D7</f>
        <v>30</v>
      </c>
      <c r="E8" s="312">
        <f>E5+E6+E7</f>
        <v>915.187205</v>
      </c>
      <c r="F8" s="312">
        <f>F5+F6+F7</f>
        <v>778.741110759965</v>
      </c>
      <c r="G8" s="312">
        <f>G5+G6+G7</f>
        <v>3625.99803775996</v>
      </c>
      <c r="H8" s="319">
        <f>G8/G8</f>
        <v>1</v>
      </c>
    </row>
    <row r="9" s="300" customFormat="1" ht="54.95" customHeight="1" spans="1:8">
      <c r="A9" s="320" t="s">
        <v>4</v>
      </c>
      <c r="B9" s="321"/>
      <c r="C9" s="322">
        <f>C8/G8</f>
        <v>0.524564465339601</v>
      </c>
      <c r="D9" s="322">
        <f>D8/G8</f>
        <v>0.00827358417946997</v>
      </c>
      <c r="E9" s="322">
        <f>E8/G8</f>
        <v>0.252395946018045</v>
      </c>
      <c r="F9" s="322">
        <f>F8/G8</f>
        <v>0.214766004462884</v>
      </c>
      <c r="G9" s="322">
        <f>SUM(C9:F9)</f>
        <v>1</v>
      </c>
      <c r="H9" s="323"/>
    </row>
    <row r="10" s="303" customFormat="1" customHeight="1" spans="1:8">
      <c r="A10" s="324"/>
      <c r="B10" s="325"/>
      <c r="C10" s="325"/>
      <c r="D10" s="325"/>
      <c r="E10" s="304"/>
      <c r="F10" s="325"/>
      <c r="G10" s="325"/>
      <c r="H10" s="325"/>
    </row>
  </sheetData>
  <sheetProtection formatCells="0" formatColumns="0" formatRows="0" insertRows="0" insertColumns="0" insertHyperlinks="0" deleteColumns="0" deleteRows="0" sort="0" autoFilter="0" pivotTables="0"/>
  <mergeCells count="7">
    <mergeCell ref="A1:H1"/>
    <mergeCell ref="A2:H2"/>
    <mergeCell ref="C3:G3"/>
    <mergeCell ref="A9:B9"/>
    <mergeCell ref="A3:A4"/>
    <mergeCell ref="B3:B4"/>
    <mergeCell ref="H3:H4"/>
  </mergeCells>
  <pageMargins left="0.75" right="0.75" top="1" bottom="1" header="0.5" footer="0.5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7"/>
  <sheetViews>
    <sheetView tabSelected="1" view="pageBreakPreview" zoomScale="70" zoomScaleNormal="100" workbookViewId="0">
      <pane ySplit="4" topLeftCell="A42" activePane="bottomLeft" state="frozen"/>
      <selection/>
      <selection pane="bottomLeft" activeCell="B55" sqref="B55"/>
    </sheetView>
  </sheetViews>
  <sheetFormatPr defaultColWidth="10.2857142857143" defaultRowHeight="27.95" customHeight="1"/>
  <cols>
    <col min="1" max="1" width="12.7142857142857" style="219" customWidth="1"/>
    <col min="2" max="2" width="42.7142857142857" style="220" customWidth="1"/>
    <col min="3" max="3" width="26.7142857142857" style="221" customWidth="1"/>
    <col min="4" max="4" width="17.4285714285714" style="221" customWidth="1"/>
    <col min="5" max="5" width="20.2857142857143" style="221" customWidth="1"/>
    <col min="6" max="6" width="15.1428571428571" style="221" customWidth="1"/>
    <col min="7" max="7" width="20.8571428571429" style="221" customWidth="1"/>
    <col min="8" max="8" width="20.7142857142857" style="219" customWidth="1"/>
    <col min="9" max="9" width="20.1428571428571" style="219"/>
    <col min="10" max="10" width="20.2857142857143" style="219"/>
    <col min="11" max="11" width="19.7142857142857" style="219" customWidth="1"/>
    <col min="12" max="12" width="17.4285714285714" style="220" customWidth="1"/>
    <col min="13" max="13" width="33.4285714285714" style="220" customWidth="1"/>
    <col min="14" max="14" width="22" style="222"/>
    <col min="15" max="15" width="15.7142857142857" style="220" customWidth="1"/>
    <col min="16" max="16" width="27.7142857142857" style="220" customWidth="1"/>
    <col min="17" max="17" width="10.4285714285714" style="220"/>
    <col min="18" max="18" width="24.5714285714286" style="220" customWidth="1"/>
    <col min="19" max="19" width="15.5714285714286" style="220" customWidth="1"/>
    <col min="20" max="16384" width="10.2857142857143" style="220"/>
  </cols>
  <sheetData>
    <row r="1" ht="42" customHeight="1" spans="1:14">
      <c r="A1" s="223" t="s">
        <v>18</v>
      </c>
      <c r="B1" s="223"/>
      <c r="C1" s="224"/>
      <c r="D1" s="224"/>
      <c r="E1" s="224"/>
      <c r="F1" s="224"/>
      <c r="G1" s="224"/>
      <c r="H1" s="223"/>
      <c r="I1" s="223"/>
      <c r="J1" s="223"/>
      <c r="K1" s="223"/>
      <c r="M1" s="225"/>
      <c r="N1" s="226"/>
    </row>
    <row r="2" customHeight="1" spans="1:14">
      <c r="A2" s="227" t="s">
        <v>19</v>
      </c>
      <c r="B2" s="227"/>
      <c r="C2" s="228"/>
      <c r="D2" s="228"/>
      <c r="E2" s="228"/>
      <c r="F2" s="228"/>
      <c r="G2" s="228"/>
      <c r="H2" s="229"/>
      <c r="I2" s="229"/>
      <c r="J2" s="229"/>
      <c r="K2" s="229"/>
      <c r="M2" s="225"/>
    </row>
    <row r="3" s="203" customFormat="1" ht="35.1" customHeight="1" spans="1:14">
      <c r="A3" s="230" t="s">
        <v>1</v>
      </c>
      <c r="B3" s="231" t="s">
        <v>20</v>
      </c>
      <c r="C3" s="232" t="s">
        <v>21</v>
      </c>
      <c r="D3" s="232"/>
      <c r="E3" s="232"/>
      <c r="F3" s="232"/>
      <c r="G3" s="232"/>
      <c r="H3" s="233" t="s">
        <v>22</v>
      </c>
      <c r="I3" s="233"/>
      <c r="J3" s="233"/>
      <c r="K3" s="234" t="s">
        <v>23</v>
      </c>
      <c r="M3" s="235"/>
      <c r="N3" s="236"/>
    </row>
    <row r="4" s="203" customFormat="1" ht="35.1" customHeight="1" spans="1:14">
      <c r="A4" s="237"/>
      <c r="B4" s="238"/>
      <c r="C4" s="239" t="s">
        <v>5</v>
      </c>
      <c r="D4" s="239" t="s">
        <v>6</v>
      </c>
      <c r="E4" s="239" t="s">
        <v>7</v>
      </c>
      <c r="F4" s="239" t="s">
        <v>8</v>
      </c>
      <c r="G4" s="121" t="s">
        <v>9</v>
      </c>
      <c r="H4" s="173" t="s">
        <v>24</v>
      </c>
      <c r="I4" s="173" t="s">
        <v>25</v>
      </c>
      <c r="J4" s="238" t="s">
        <v>26</v>
      </c>
      <c r="K4" s="240"/>
      <c r="L4" s="241">
        <f>G5-G11-G27-G28-G26-G29</f>
        <v>2758.556927</v>
      </c>
      <c r="M4" s="242">
        <f>L4*10000</f>
        <v>27585569.27</v>
      </c>
      <c r="N4" s="243"/>
    </row>
    <row r="5" s="217" customFormat="1" ht="26" customHeight="1" spans="1:14">
      <c r="A5" s="244" t="s">
        <v>10</v>
      </c>
      <c r="B5" s="121" t="s">
        <v>11</v>
      </c>
      <c r="C5" s="121">
        <f>C6+C12+C17</f>
        <v>1902.069722</v>
      </c>
      <c r="D5" s="121">
        <f>D6+D12+D17</f>
        <v>30</v>
      </c>
      <c r="E5" s="121">
        <f>E6+E12+E17</f>
        <v>915.187205</v>
      </c>
      <c r="F5" s="121">
        <f>F6+F12+F17</f>
        <v>0</v>
      </c>
      <c r="G5" s="121">
        <f>G6+G12+G17</f>
        <v>2847.256927</v>
      </c>
      <c r="H5" s="245" t="s">
        <v>27</v>
      </c>
      <c r="I5" s="121">
        <f>I6+I12</f>
        <v>5410</v>
      </c>
      <c r="J5" s="121"/>
      <c r="K5" s="246">
        <f>G5/G57</f>
        <v>0.785233995537116</v>
      </c>
      <c r="N5" s="243"/>
    </row>
    <row r="6" s="217" customFormat="1" ht="26" customHeight="1" spans="1:14">
      <c r="A6" s="162" t="s">
        <v>28</v>
      </c>
      <c r="B6" s="163" t="s">
        <v>29</v>
      </c>
      <c r="C6" s="245">
        <f>SUM(C7:C11)</f>
        <v>1563.35736</v>
      </c>
      <c r="D6" s="245">
        <f>SUM(D7:D11)</f>
        <v>30</v>
      </c>
      <c r="E6" s="245">
        <f>SUM(E7:E11)</f>
        <v>676.827034</v>
      </c>
      <c r="F6" s="245">
        <f>SUM(F7:F11)</f>
        <v>0</v>
      </c>
      <c r="G6" s="245">
        <f>SUM(G7:G11)</f>
        <v>2270.184394</v>
      </c>
      <c r="H6" s="245" t="s">
        <v>27</v>
      </c>
      <c r="I6" s="247">
        <v>5010</v>
      </c>
      <c r="J6" s="245"/>
      <c r="K6" s="248"/>
    </row>
    <row r="7" s="218" customFormat="1" ht="29" customHeight="1" spans="1:14">
      <c r="A7" s="205">
        <v>1</v>
      </c>
      <c r="B7" s="3" t="s">
        <v>30</v>
      </c>
      <c r="C7" s="39">
        <f>15633573.6/10000</f>
        <v>1563.35736</v>
      </c>
      <c r="D7" s="39"/>
      <c r="E7" s="39"/>
      <c r="F7" s="39"/>
      <c r="G7" s="39">
        <f>SUM(C7:F7)</f>
        <v>1563.35736</v>
      </c>
      <c r="H7" s="39" t="s">
        <v>27</v>
      </c>
      <c r="I7" s="249">
        <f>I6</f>
        <v>5010</v>
      </c>
      <c r="J7" s="39">
        <f>G7/I7*10000</f>
        <v>3120.47377245509</v>
      </c>
      <c r="K7" s="250"/>
      <c r="M7" s="251"/>
      <c r="N7" s="252"/>
    </row>
    <row r="8" s="218" customFormat="1" ht="29" customHeight="1" spans="1:14">
      <c r="A8" s="205">
        <v>2</v>
      </c>
      <c r="B8" s="3" t="s">
        <v>31</v>
      </c>
      <c r="C8" s="39"/>
      <c r="D8" s="39"/>
      <c r="E8" s="39">
        <f>1317426.13/10000</f>
        <v>131.742613</v>
      </c>
      <c r="F8" s="39"/>
      <c r="G8" s="39">
        <f>SUM(C8:F8)</f>
        <v>131.742613</v>
      </c>
      <c r="H8" s="39" t="s">
        <v>27</v>
      </c>
      <c r="I8" s="249">
        <f>I6</f>
        <v>5010</v>
      </c>
      <c r="J8" s="39">
        <f>G8/I8*10000</f>
        <v>262.95930738523</v>
      </c>
      <c r="K8" s="250"/>
      <c r="N8" s="252"/>
    </row>
    <row r="9" s="218" customFormat="1" ht="29" customHeight="1" spans="1:14">
      <c r="A9" s="205">
        <v>3</v>
      </c>
      <c r="B9" s="3" t="s">
        <v>32</v>
      </c>
      <c r="C9" s="39"/>
      <c r="D9" s="39"/>
      <c r="E9" s="39">
        <f>2611015.98/10000</f>
        <v>261.101598</v>
      </c>
      <c r="F9" s="39"/>
      <c r="G9" s="39">
        <f>SUM(C9:F9)</f>
        <v>261.101598</v>
      </c>
      <c r="H9" s="39" t="s">
        <v>27</v>
      </c>
      <c r="I9" s="249">
        <f>I8</f>
        <v>5010</v>
      </c>
      <c r="J9" s="39">
        <f>G9/I9*10000</f>
        <v>521.160874251497</v>
      </c>
      <c r="K9" s="250"/>
      <c r="N9" s="252"/>
    </row>
    <row r="10" s="218" customFormat="1" ht="29" customHeight="1" spans="1:14">
      <c r="A10" s="205">
        <v>4</v>
      </c>
      <c r="B10" s="253" t="s">
        <v>33</v>
      </c>
      <c r="C10" s="39"/>
      <c r="D10" s="39"/>
      <c r="E10" s="39">
        <f>2839828.23/10000</f>
        <v>283.982823</v>
      </c>
      <c r="F10" s="39"/>
      <c r="G10" s="39">
        <f>SUM(C10:F10)</f>
        <v>283.982823</v>
      </c>
      <c r="H10" s="39" t="s">
        <v>27</v>
      </c>
      <c r="I10" s="249">
        <f>I9</f>
        <v>5010</v>
      </c>
      <c r="J10" s="39">
        <f>G10/I10*10000</f>
        <v>566.831982035928</v>
      </c>
      <c r="K10" s="250"/>
      <c r="N10" s="252"/>
    </row>
    <row r="11" s="218" customFormat="1" ht="29" customHeight="1" spans="1:14">
      <c r="A11" s="205">
        <v>5</v>
      </c>
      <c r="B11" s="253" t="s">
        <v>34</v>
      </c>
      <c r="C11" s="39"/>
      <c r="D11" s="254">
        <v>30</v>
      </c>
      <c r="E11" s="255"/>
      <c r="F11" s="255"/>
      <c r="G11" s="39">
        <f>SUM(C11:F11)</f>
        <v>30</v>
      </c>
      <c r="H11" s="256" t="s">
        <v>35</v>
      </c>
      <c r="I11" s="254">
        <v>1</v>
      </c>
      <c r="J11" s="254">
        <v>300000</v>
      </c>
      <c r="K11" s="250"/>
      <c r="N11" s="252"/>
    </row>
    <row r="12" s="217" customFormat="1" ht="27" customHeight="1" spans="1:14">
      <c r="A12" s="162" t="s">
        <v>36</v>
      </c>
      <c r="B12" s="163" t="s">
        <v>37</v>
      </c>
      <c r="C12" s="245">
        <f>SUM(C13:C16)</f>
        <v>153.072575</v>
      </c>
      <c r="D12" s="245">
        <f>SUM(D13:D16)</f>
        <v>0</v>
      </c>
      <c r="E12" s="245">
        <f>SUM(E13:E16)</f>
        <v>36.372095</v>
      </c>
      <c r="F12" s="245">
        <f>SUM(F13:F16)</f>
        <v>0</v>
      </c>
      <c r="G12" s="245">
        <f>SUM(G13:G16)</f>
        <v>189.44467</v>
      </c>
      <c r="H12" s="245" t="s">
        <v>27</v>
      </c>
      <c r="I12" s="247">
        <v>400</v>
      </c>
      <c r="J12" s="245"/>
      <c r="K12" s="248"/>
      <c r="N12" s="243"/>
    </row>
    <row r="13" s="218" customFormat="1" ht="27" customHeight="1" spans="1:14">
      <c r="A13" s="205">
        <v>1</v>
      </c>
      <c r="B13" s="3" t="s">
        <v>38</v>
      </c>
      <c r="C13" s="39">
        <f>1530725.75/10000</f>
        <v>153.072575</v>
      </c>
      <c r="D13" s="39"/>
      <c r="E13" s="39"/>
      <c r="F13" s="39"/>
      <c r="G13" s="39">
        <f>SUM(C13:F13)</f>
        <v>153.072575</v>
      </c>
      <c r="H13" s="39" t="s">
        <v>27</v>
      </c>
      <c r="I13" s="249">
        <f>I12</f>
        <v>400</v>
      </c>
      <c r="J13" s="39">
        <f>G13/I13*10000</f>
        <v>3826.814375</v>
      </c>
      <c r="K13" s="250"/>
      <c r="N13" s="252"/>
    </row>
    <row r="14" s="218" customFormat="1" ht="27" customHeight="1" spans="1:14">
      <c r="A14" s="205">
        <v>2</v>
      </c>
      <c r="B14" s="31" t="s">
        <v>39</v>
      </c>
      <c r="C14" s="39"/>
      <c r="D14" s="39"/>
      <c r="E14" s="39">
        <f>6821.57/10000</f>
        <v>0.682157</v>
      </c>
      <c r="F14" s="39"/>
      <c r="G14" s="39">
        <f>SUM(C14:F14)</f>
        <v>0.682157</v>
      </c>
      <c r="H14" s="39" t="s">
        <v>27</v>
      </c>
      <c r="I14" s="249">
        <f>I13</f>
        <v>400</v>
      </c>
      <c r="J14" s="39">
        <f>G14/I14*10000</f>
        <v>17.053925</v>
      </c>
      <c r="K14" s="250"/>
      <c r="N14" s="252"/>
    </row>
    <row r="15" s="218" customFormat="1" ht="27" customHeight="1" spans="1:14">
      <c r="A15" s="205">
        <v>3</v>
      </c>
      <c r="B15" s="257" t="s">
        <v>32</v>
      </c>
      <c r="C15" s="39"/>
      <c r="D15" s="39"/>
      <c r="E15" s="39">
        <f>71778.56/10000</f>
        <v>7.177856</v>
      </c>
      <c r="F15" s="39"/>
      <c r="G15" s="39">
        <f>SUM(C15:F15)</f>
        <v>7.177856</v>
      </c>
      <c r="H15" s="39" t="s">
        <v>27</v>
      </c>
      <c r="I15" s="249">
        <f>I14</f>
        <v>400</v>
      </c>
      <c r="J15" s="39">
        <f>G15/I15*10000</f>
        <v>179.4464</v>
      </c>
      <c r="K15" s="250"/>
      <c r="N15" s="252"/>
    </row>
    <row r="16" s="217" customFormat="1" ht="27" customHeight="1" spans="1:14">
      <c r="A16" s="205">
        <v>4</v>
      </c>
      <c r="B16" s="31" t="s">
        <v>33</v>
      </c>
      <c r="C16" s="39"/>
      <c r="D16" s="39"/>
      <c r="E16" s="39">
        <f>285120.82/10000</f>
        <v>28.512082</v>
      </c>
      <c r="F16" s="39"/>
      <c r="G16" s="39">
        <f>SUM(C16:F16)</f>
        <v>28.512082</v>
      </c>
      <c r="H16" s="39" t="s">
        <v>27</v>
      </c>
      <c r="I16" s="249">
        <f>I15</f>
        <v>400</v>
      </c>
      <c r="J16" s="39">
        <f>G16/I16*10000</f>
        <v>712.80205</v>
      </c>
      <c r="K16" s="248"/>
      <c r="N16" s="243"/>
    </row>
    <row r="17" s="217" customFormat="1" ht="27" customHeight="1" spans="1:19">
      <c r="A17" s="162" t="s">
        <v>40</v>
      </c>
      <c r="B17" s="258" t="s">
        <v>41</v>
      </c>
      <c r="C17" s="259">
        <f>SUM(C18:C29)</f>
        <v>185.639787</v>
      </c>
      <c r="D17" s="259">
        <f>SUM(D18:D29)</f>
        <v>0</v>
      </c>
      <c r="E17" s="259">
        <f>SUM(E18:E29)</f>
        <v>201.988076</v>
      </c>
      <c r="F17" s="259">
        <f>SUM(F18:F29)</f>
        <v>0</v>
      </c>
      <c r="G17" s="259">
        <f>SUM(G18:G29)</f>
        <v>387.627863</v>
      </c>
      <c r="H17" s="259"/>
      <c r="I17" s="259"/>
      <c r="J17" s="259"/>
      <c r="K17" s="248"/>
      <c r="N17" s="243"/>
    </row>
    <row r="18" s="217" customFormat="1" ht="27" customHeight="1" spans="1:19">
      <c r="A18" s="205">
        <v>1</v>
      </c>
      <c r="B18" s="260" t="s">
        <v>42</v>
      </c>
      <c r="C18" s="261">
        <f>211939.91/10000</f>
        <v>21.193991</v>
      </c>
      <c r="D18" s="261"/>
      <c r="E18" s="261"/>
      <c r="F18" s="261"/>
      <c r="G18" s="261">
        <f t="shared" ref="G18:G29" si="0">SUM(C18:F18)</f>
        <v>21.193991</v>
      </c>
      <c r="H18" s="39" t="s">
        <v>27</v>
      </c>
      <c r="I18" s="261">
        <v>465</v>
      </c>
      <c r="J18" s="261">
        <f t="shared" ref="J18:J25" si="1">G18/I18*10000</f>
        <v>455.784752688172</v>
      </c>
      <c r="K18" s="248"/>
      <c r="N18" s="243"/>
    </row>
    <row r="19" s="217" customFormat="1" ht="27" customHeight="1" spans="1:19">
      <c r="A19" s="205">
        <v>2</v>
      </c>
      <c r="B19" s="260" t="s">
        <v>43</v>
      </c>
      <c r="C19" s="261">
        <f>291982.02/10000</f>
        <v>29.198202</v>
      </c>
      <c r="D19" s="261"/>
      <c r="E19" s="261"/>
      <c r="F19" s="261"/>
      <c r="G19" s="261">
        <f t="shared" si="0"/>
        <v>29.198202</v>
      </c>
      <c r="H19" s="39" t="s">
        <v>27</v>
      </c>
      <c r="I19" s="261">
        <v>1180</v>
      </c>
      <c r="J19" s="261">
        <f t="shared" si="1"/>
        <v>247.442389830509</v>
      </c>
      <c r="K19" s="248"/>
      <c r="N19" s="243"/>
    </row>
    <row r="20" s="217" customFormat="1" ht="27" customHeight="1" spans="1:19">
      <c r="A20" s="205">
        <v>3</v>
      </c>
      <c r="B20" s="260" t="s">
        <v>44</v>
      </c>
      <c r="C20" s="261">
        <f>370818/10000</f>
        <v>37.0818</v>
      </c>
      <c r="D20" s="261"/>
      <c r="E20" s="261"/>
      <c r="F20" s="261"/>
      <c r="G20" s="261">
        <f t="shared" si="0"/>
        <v>37.0818</v>
      </c>
      <c r="H20" s="39" t="s">
        <v>45</v>
      </c>
      <c r="I20" s="261">
        <v>270</v>
      </c>
      <c r="J20" s="261">
        <f t="shared" si="1"/>
        <v>1373.4</v>
      </c>
      <c r="K20" s="248"/>
      <c r="N20" s="243"/>
    </row>
    <row r="21" s="217" customFormat="1" ht="27" customHeight="1" spans="1:19">
      <c r="A21" s="205">
        <v>4</v>
      </c>
      <c r="B21" s="260" t="s">
        <v>46</v>
      </c>
      <c r="C21" s="261">
        <f>374056.94/10000</f>
        <v>37.405694</v>
      </c>
      <c r="D21" s="261"/>
      <c r="E21" s="261"/>
      <c r="F21" s="261"/>
      <c r="G21" s="261">
        <f t="shared" si="0"/>
        <v>37.405694</v>
      </c>
      <c r="H21" s="39" t="s">
        <v>27</v>
      </c>
      <c r="I21" s="261">
        <v>1334</v>
      </c>
      <c r="J21" s="261">
        <f t="shared" si="1"/>
        <v>280.402503748126</v>
      </c>
      <c r="K21" s="248"/>
      <c r="N21" s="243"/>
    </row>
    <row r="22" s="217" customFormat="1" ht="27" customHeight="1" spans="1:19">
      <c r="A22" s="205">
        <v>5</v>
      </c>
      <c r="B22" s="260" t="s">
        <v>47</v>
      </c>
      <c r="C22" s="261">
        <f>20601/10000</f>
        <v>2.0601</v>
      </c>
      <c r="D22" s="261"/>
      <c r="E22" s="261"/>
      <c r="F22" s="261"/>
      <c r="G22" s="261">
        <f t="shared" si="0"/>
        <v>2.0601</v>
      </c>
      <c r="H22" s="39" t="s">
        <v>45</v>
      </c>
      <c r="I22" s="261">
        <v>6</v>
      </c>
      <c r="J22" s="261">
        <f t="shared" si="1"/>
        <v>3433.5</v>
      </c>
      <c r="K22" s="248"/>
      <c r="N22" s="252"/>
    </row>
    <row r="23" s="217" customFormat="1" ht="27" customHeight="1" spans="1:19">
      <c r="A23" s="205">
        <v>6</v>
      </c>
      <c r="B23" s="260" t="s">
        <v>48</v>
      </c>
      <c r="C23" s="261"/>
      <c r="D23" s="261"/>
      <c r="E23" s="261">
        <f>717286.26/10000</f>
        <v>71.728626</v>
      </c>
      <c r="F23" s="261"/>
      <c r="G23" s="261">
        <f t="shared" si="0"/>
        <v>71.728626</v>
      </c>
      <c r="H23" s="261" t="s">
        <v>27</v>
      </c>
      <c r="I23" s="261">
        <f>I5</f>
        <v>5410</v>
      </c>
      <c r="J23" s="261">
        <f t="shared" si="1"/>
        <v>132.585260628466</v>
      </c>
      <c r="K23" s="248"/>
      <c r="N23" s="252"/>
    </row>
    <row r="24" s="217" customFormat="1" ht="27" customHeight="1" spans="1:19">
      <c r="A24" s="205">
        <v>7</v>
      </c>
      <c r="B24" s="260" t="s">
        <v>49</v>
      </c>
      <c r="C24" s="261"/>
      <c r="D24" s="262"/>
      <c r="E24" s="261">
        <f>726308.22/10000</f>
        <v>72.630822</v>
      </c>
      <c r="F24" s="261"/>
      <c r="G24" s="261">
        <f t="shared" si="0"/>
        <v>72.630822</v>
      </c>
      <c r="H24" s="261" t="s">
        <v>27</v>
      </c>
      <c r="I24" s="261">
        <f t="shared" ref="I24:I25" si="2">I23</f>
        <v>5410</v>
      </c>
      <c r="J24" s="261">
        <f t="shared" si="1"/>
        <v>134.252905730129</v>
      </c>
      <c r="K24" s="248"/>
      <c r="N24" s="243"/>
    </row>
    <row r="25" s="217" customFormat="1" ht="27" customHeight="1" spans="1:19">
      <c r="A25" s="205">
        <v>8</v>
      </c>
      <c r="B25" s="260" t="s">
        <v>50</v>
      </c>
      <c r="C25" s="261"/>
      <c r="D25" s="261"/>
      <c r="E25" s="261">
        <f>576286.28/10000</f>
        <v>57.628628</v>
      </c>
      <c r="F25" s="261"/>
      <c r="G25" s="261">
        <f t="shared" si="0"/>
        <v>57.628628</v>
      </c>
      <c r="H25" s="261" t="s">
        <v>27</v>
      </c>
      <c r="I25" s="261">
        <f t="shared" si="2"/>
        <v>5410</v>
      </c>
      <c r="J25" s="261">
        <f t="shared" si="1"/>
        <v>106.522417744917</v>
      </c>
      <c r="K25" s="248"/>
      <c r="N25" s="252"/>
    </row>
    <row r="26" s="217" customFormat="1" ht="27" customHeight="1" spans="1:19">
      <c r="A26" s="205">
        <v>9</v>
      </c>
      <c r="B26" s="260" t="s">
        <v>51</v>
      </c>
      <c r="C26" s="261">
        <f>I26*J26/10000</f>
        <v>13.5</v>
      </c>
      <c r="D26" s="261"/>
      <c r="E26" s="261"/>
      <c r="F26" s="261"/>
      <c r="G26" s="261">
        <f t="shared" si="0"/>
        <v>13.5</v>
      </c>
      <c r="H26" s="261" t="s">
        <v>27</v>
      </c>
      <c r="I26" s="261">
        <f>15*6</f>
        <v>90</v>
      </c>
      <c r="J26" s="261">
        <v>1500</v>
      </c>
      <c r="K26" s="248"/>
      <c r="N26" s="252"/>
    </row>
    <row r="27" s="217" customFormat="1" ht="27" customHeight="1" spans="1:19">
      <c r="A27" s="205">
        <v>10</v>
      </c>
      <c r="B27" s="260" t="s">
        <v>52</v>
      </c>
      <c r="C27" s="261">
        <v>5.2</v>
      </c>
      <c r="D27" s="261"/>
      <c r="E27" s="261"/>
      <c r="F27" s="261"/>
      <c r="G27" s="261">
        <f t="shared" si="0"/>
        <v>5.2</v>
      </c>
      <c r="H27" s="39" t="s">
        <v>53</v>
      </c>
      <c r="I27" s="261">
        <v>1</v>
      </c>
      <c r="J27" s="261"/>
      <c r="K27" s="248"/>
      <c r="N27" s="252"/>
    </row>
    <row r="28" s="217" customFormat="1" ht="27" customHeight="1" spans="1:19">
      <c r="A28" s="205">
        <v>11</v>
      </c>
      <c r="B28" s="260" t="s">
        <v>54</v>
      </c>
      <c r="C28" s="261">
        <f>I28*J28/10000</f>
        <v>10</v>
      </c>
      <c r="D28" s="261"/>
      <c r="E28" s="261"/>
      <c r="F28" s="261"/>
      <c r="G28" s="261">
        <f t="shared" si="0"/>
        <v>10</v>
      </c>
      <c r="H28" s="39" t="s">
        <v>53</v>
      </c>
      <c r="I28" s="261">
        <v>2</v>
      </c>
      <c r="J28" s="261">
        <v>50000</v>
      </c>
      <c r="K28" s="248"/>
      <c r="N28" s="243"/>
    </row>
    <row r="29" s="183" customFormat="1" ht="27" customHeight="1" spans="1:19">
      <c r="A29" s="205">
        <v>12</v>
      </c>
      <c r="B29" s="263" t="s">
        <v>55</v>
      </c>
      <c r="C29" s="264">
        <v>30</v>
      </c>
      <c r="D29" s="264"/>
      <c r="E29" s="264"/>
      <c r="F29" s="264"/>
      <c r="G29" s="261">
        <f t="shared" si="0"/>
        <v>30</v>
      </c>
      <c r="H29" s="265" t="s">
        <v>53</v>
      </c>
      <c r="I29" s="41">
        <v>1</v>
      </c>
      <c r="J29" s="41"/>
      <c r="K29" s="266"/>
      <c r="L29" s="208"/>
      <c r="M29" s="208"/>
      <c r="N29" s="252"/>
      <c r="O29" s="267"/>
      <c r="P29" s="208"/>
      <c r="Q29" s="208"/>
      <c r="R29" s="208"/>
      <c r="S29" s="208"/>
    </row>
    <row r="30" s="182" customFormat="1" ht="27" customHeight="1" spans="1:19">
      <c r="A30" s="268" t="s">
        <v>12</v>
      </c>
      <c r="B30" s="269" t="s">
        <v>13</v>
      </c>
      <c r="C30" s="270"/>
      <c r="D30" s="270"/>
      <c r="E30" s="270"/>
      <c r="F30" s="270">
        <f>SUM(F31:F55)</f>
        <v>606.0745375333</v>
      </c>
      <c r="G30" s="270">
        <f>SUM(G31:G55)</f>
        <v>606.0745375333</v>
      </c>
      <c r="H30" s="271" t="s">
        <v>56</v>
      </c>
      <c r="I30" s="160"/>
      <c r="J30" s="160"/>
      <c r="K30" s="246">
        <f>G30/G57</f>
        <v>0.167146956843836</v>
      </c>
      <c r="L30" s="203"/>
      <c r="M30" s="203"/>
      <c r="N30" s="243"/>
      <c r="O30" s="215"/>
      <c r="P30" s="203"/>
      <c r="Q30" s="203"/>
      <c r="R30" s="203"/>
      <c r="S30" s="203"/>
    </row>
    <row r="31" s="183" customFormat="1" ht="27" customHeight="1" spans="1:19">
      <c r="A31" s="272">
        <v>1</v>
      </c>
      <c r="B31" s="273" t="s">
        <v>57</v>
      </c>
      <c r="C31" s="264"/>
      <c r="D31" s="264"/>
      <c r="E31" s="264"/>
      <c r="F31" s="264">
        <v>15</v>
      </c>
      <c r="G31" s="264">
        <f t="shared" ref="G31:G36" si="3">F31</f>
        <v>15</v>
      </c>
      <c r="H31" s="265" t="s">
        <v>56</v>
      </c>
      <c r="I31" s="274">
        <f>G5</f>
        <v>2847.256927</v>
      </c>
      <c r="J31" s="275">
        <f>G31/I31</f>
        <v>0.00526822846851573</v>
      </c>
      <c r="K31" s="276"/>
      <c r="L31" s="208"/>
      <c r="M31" s="208"/>
      <c r="N31" s="252"/>
      <c r="O31" s="208"/>
      <c r="P31" s="208"/>
      <c r="Q31" s="208"/>
      <c r="R31" s="208"/>
      <c r="S31" s="208"/>
    </row>
    <row r="32" s="183" customFormat="1" ht="27" customHeight="1" spans="1:19">
      <c r="A32" s="272">
        <v>2</v>
      </c>
      <c r="B32" s="273" t="s">
        <v>58</v>
      </c>
      <c r="C32" s="264"/>
      <c r="D32" s="264"/>
      <c r="E32" s="264"/>
      <c r="F32" s="264">
        <v>14</v>
      </c>
      <c r="G32" s="264">
        <f t="shared" si="3"/>
        <v>14</v>
      </c>
      <c r="H32" s="265" t="s">
        <v>56</v>
      </c>
      <c r="I32" s="274">
        <f>G5</f>
        <v>2847.256927</v>
      </c>
      <c r="J32" s="275">
        <f>G32/I32</f>
        <v>0.00491701323728134</v>
      </c>
      <c r="K32" s="276"/>
      <c r="L32" s="208"/>
      <c r="M32" s="208"/>
      <c r="N32" s="252"/>
      <c r="O32" s="208"/>
      <c r="P32" s="208"/>
      <c r="Q32" s="208"/>
      <c r="R32" s="208"/>
      <c r="S32" s="208"/>
    </row>
    <row r="33" s="183" customFormat="1" ht="27" customHeight="1" spans="1:19">
      <c r="A33" s="272">
        <v>3</v>
      </c>
      <c r="B33" s="273" t="s">
        <v>59</v>
      </c>
      <c r="C33" s="264"/>
      <c r="D33" s="264"/>
      <c r="E33" s="264"/>
      <c r="F33" s="264">
        <v>4</v>
      </c>
      <c r="G33" s="264">
        <f t="shared" si="3"/>
        <v>4</v>
      </c>
      <c r="H33" s="265" t="s">
        <v>56</v>
      </c>
      <c r="I33" s="274">
        <f>G5</f>
        <v>2847.256927</v>
      </c>
      <c r="J33" s="275">
        <f>G33/I33</f>
        <v>0.00140486092493753</v>
      </c>
      <c r="K33" s="276"/>
      <c r="L33" s="208"/>
      <c r="M33" s="208"/>
      <c r="N33" s="252"/>
      <c r="O33" s="208"/>
      <c r="P33" s="208"/>
      <c r="Q33" s="208"/>
      <c r="R33" s="208"/>
      <c r="S33" s="208"/>
    </row>
    <row r="34" s="183" customFormat="1" ht="27" customHeight="1" spans="1:19">
      <c r="A34" s="272">
        <v>4</v>
      </c>
      <c r="B34" s="263" t="s">
        <v>60</v>
      </c>
      <c r="C34" s="264"/>
      <c r="D34" s="264"/>
      <c r="E34" s="264"/>
      <c r="F34" s="264">
        <v>25</v>
      </c>
      <c r="G34" s="264">
        <f t="shared" si="3"/>
        <v>25</v>
      </c>
      <c r="H34" s="265" t="s">
        <v>56</v>
      </c>
      <c r="I34" s="274">
        <f>G5</f>
        <v>2847.256927</v>
      </c>
      <c r="J34" s="275">
        <f>G34/I34</f>
        <v>0.00878038078085954</v>
      </c>
      <c r="K34" s="276"/>
      <c r="L34" s="208"/>
      <c r="M34" s="208"/>
      <c r="N34" s="252"/>
      <c r="O34" s="208"/>
      <c r="P34" s="208"/>
      <c r="Q34" s="208"/>
      <c r="R34" s="208"/>
      <c r="S34" s="208"/>
    </row>
    <row r="35" s="183" customFormat="1" ht="27" customHeight="1" spans="1:19">
      <c r="A35" s="272">
        <v>5</v>
      </c>
      <c r="B35" s="263" t="s">
        <v>61</v>
      </c>
      <c r="C35" s="264"/>
      <c r="D35" s="264"/>
      <c r="E35" s="264"/>
      <c r="F35" s="264">
        <f>I35*J35</f>
        <v>71.181423175</v>
      </c>
      <c r="G35" s="264">
        <f t="shared" si="3"/>
        <v>71.181423175</v>
      </c>
      <c r="H35" s="265" t="s">
        <v>56</v>
      </c>
      <c r="I35" s="274">
        <f>G5</f>
        <v>2847.256927</v>
      </c>
      <c r="J35" s="275">
        <v>0.025</v>
      </c>
      <c r="K35" s="276"/>
      <c r="L35" s="208"/>
      <c r="M35" s="208"/>
      <c r="N35" s="252"/>
      <c r="O35" s="208"/>
      <c r="P35" s="208"/>
      <c r="Q35" s="208"/>
      <c r="R35" s="208"/>
      <c r="S35" s="208"/>
    </row>
    <row r="36" s="183" customFormat="1" ht="27" customHeight="1" spans="1:19">
      <c r="A36" s="272">
        <v>6</v>
      </c>
      <c r="B36" s="263" t="s">
        <v>62</v>
      </c>
      <c r="C36" s="264"/>
      <c r="D36" s="264"/>
      <c r="E36" s="264"/>
      <c r="F36" s="264">
        <f>I36*J36/10000</f>
        <v>2.164</v>
      </c>
      <c r="G36" s="264">
        <f t="shared" si="3"/>
        <v>2.164</v>
      </c>
      <c r="H36" s="265" t="s">
        <v>27</v>
      </c>
      <c r="I36" s="274">
        <f>I5</f>
        <v>5410</v>
      </c>
      <c r="J36" s="274">
        <v>4</v>
      </c>
      <c r="K36" s="276"/>
      <c r="L36" s="208"/>
      <c r="M36" s="208"/>
      <c r="N36" s="252"/>
      <c r="O36" s="208"/>
      <c r="P36" s="208"/>
      <c r="Q36" s="208"/>
      <c r="R36" s="208"/>
      <c r="S36" s="208"/>
    </row>
    <row r="37" s="183" customFormat="1" ht="27" customHeight="1" spans="1:19">
      <c r="A37" s="272">
        <v>7</v>
      </c>
      <c r="B37" s="273" t="s">
        <v>63</v>
      </c>
      <c r="C37" s="264"/>
      <c r="D37" s="264"/>
      <c r="E37" s="264"/>
      <c r="F37" s="264">
        <v>5</v>
      </c>
      <c r="G37" s="264">
        <f t="shared" ref="G37:G42" si="4">F37</f>
        <v>5</v>
      </c>
      <c r="H37" s="265" t="s">
        <v>56</v>
      </c>
      <c r="I37" s="274">
        <f>G5</f>
        <v>2847.256927</v>
      </c>
      <c r="J37" s="275">
        <f>G37/I37</f>
        <v>0.00175607615617191</v>
      </c>
      <c r="K37" s="276"/>
      <c r="L37" s="208"/>
      <c r="M37" s="208"/>
      <c r="N37" s="252"/>
      <c r="O37" s="208"/>
      <c r="P37" s="208"/>
      <c r="Q37" s="208"/>
      <c r="R37" s="208"/>
      <c r="S37" s="208"/>
    </row>
    <row r="38" s="183" customFormat="1" ht="27" customHeight="1" spans="1:19">
      <c r="A38" s="272">
        <v>8</v>
      </c>
      <c r="B38" s="273" t="s">
        <v>64</v>
      </c>
      <c r="C38" s="264"/>
      <c r="D38" s="264"/>
      <c r="E38" s="264"/>
      <c r="F38" s="264">
        <f>I38*J38</f>
        <v>7.6875937029</v>
      </c>
      <c r="G38" s="264">
        <f t="shared" si="4"/>
        <v>7.6875937029</v>
      </c>
      <c r="H38" s="265" t="s">
        <v>56</v>
      </c>
      <c r="I38" s="274">
        <f>G5</f>
        <v>2847.256927</v>
      </c>
      <c r="J38" s="275">
        <f>0.54%*0.5</f>
        <v>0.0027</v>
      </c>
      <c r="K38" s="276"/>
      <c r="L38" s="208"/>
      <c r="M38" s="208"/>
      <c r="N38" s="252"/>
      <c r="O38" s="208"/>
      <c r="P38" s="208"/>
      <c r="Q38" s="208"/>
      <c r="R38" s="208"/>
      <c r="S38" s="208"/>
    </row>
    <row r="39" s="183" customFormat="1" ht="27" customHeight="1" spans="1:19">
      <c r="A39" s="272">
        <v>9</v>
      </c>
      <c r="B39" s="263" t="s">
        <v>65</v>
      </c>
      <c r="C39" s="277"/>
      <c r="D39" s="264"/>
      <c r="E39" s="264"/>
      <c r="F39" s="264">
        <f>I39*J39</f>
        <v>11.389027708</v>
      </c>
      <c r="G39" s="264">
        <f t="shared" si="4"/>
        <v>11.389027708</v>
      </c>
      <c r="H39" s="265" t="s">
        <v>56</v>
      </c>
      <c r="I39" s="274">
        <f>G5</f>
        <v>2847.256927</v>
      </c>
      <c r="J39" s="275">
        <f>0.8%*0.5</f>
        <v>0.004</v>
      </c>
      <c r="K39" s="276"/>
      <c r="L39" s="208"/>
      <c r="M39" s="208"/>
      <c r="N39" s="252"/>
      <c r="O39" s="208"/>
      <c r="P39" s="208"/>
      <c r="Q39" s="208"/>
      <c r="R39" s="208"/>
      <c r="S39" s="208"/>
    </row>
    <row r="40" s="183" customFormat="1" ht="27" customHeight="1" spans="1:19">
      <c r="A40" s="272">
        <v>10</v>
      </c>
      <c r="B40" s="263" t="s">
        <v>66</v>
      </c>
      <c r="C40" s="264"/>
      <c r="D40" s="264"/>
      <c r="E40" s="264"/>
      <c r="F40" s="264">
        <f>I40*J40</f>
        <v>3.4167083124</v>
      </c>
      <c r="G40" s="264">
        <f t="shared" si="4"/>
        <v>3.4167083124</v>
      </c>
      <c r="H40" s="265" t="s">
        <v>56</v>
      </c>
      <c r="I40" s="274">
        <f>G5</f>
        <v>2847.256927</v>
      </c>
      <c r="J40" s="275">
        <f>0.2%*0.6</f>
        <v>0.0012</v>
      </c>
      <c r="K40" s="276"/>
      <c r="L40" s="208"/>
      <c r="M40" s="208"/>
      <c r="N40" s="252"/>
      <c r="O40" s="208"/>
      <c r="P40" s="208"/>
      <c r="Q40" s="208"/>
      <c r="R40" s="208"/>
      <c r="S40" s="208"/>
    </row>
    <row r="41" s="183" customFormat="1" ht="27" customHeight="1" spans="1:19">
      <c r="A41" s="272">
        <v>11</v>
      </c>
      <c r="B41" s="263" t="s">
        <v>67</v>
      </c>
      <c r="C41" s="264"/>
      <c r="D41" s="264"/>
      <c r="E41" s="264"/>
      <c r="F41" s="264">
        <v>1.2</v>
      </c>
      <c r="G41" s="264">
        <f t="shared" si="4"/>
        <v>1.2</v>
      </c>
      <c r="H41" s="265" t="s">
        <v>27</v>
      </c>
      <c r="I41" s="274">
        <v>5410</v>
      </c>
      <c r="J41" s="274">
        <f>G41/I41*10000</f>
        <v>2.2181146025878</v>
      </c>
      <c r="K41" s="276"/>
      <c r="L41" s="208"/>
      <c r="M41" s="208"/>
      <c r="N41" s="252"/>
      <c r="O41" s="208"/>
      <c r="P41" s="208"/>
      <c r="Q41" s="208"/>
      <c r="R41" s="208"/>
      <c r="S41" s="208"/>
    </row>
    <row r="42" s="183" customFormat="1" ht="27" customHeight="1" spans="1:19">
      <c r="A42" s="272">
        <v>12</v>
      </c>
      <c r="B42" s="263" t="s">
        <v>68</v>
      </c>
      <c r="C42" s="264"/>
      <c r="D42" s="264"/>
      <c r="E42" s="264"/>
      <c r="F42" s="264">
        <f>I42*J42/10000</f>
        <v>6.492</v>
      </c>
      <c r="G42" s="264">
        <f t="shared" si="4"/>
        <v>6.492</v>
      </c>
      <c r="H42" s="265" t="s">
        <v>27</v>
      </c>
      <c r="I42" s="274">
        <v>5410</v>
      </c>
      <c r="J42" s="274">
        <v>12</v>
      </c>
      <c r="K42" s="276"/>
      <c r="L42" s="208"/>
      <c r="M42" s="208"/>
      <c r="N42" s="252"/>
      <c r="O42" s="208"/>
      <c r="P42" s="208"/>
      <c r="Q42" s="208"/>
      <c r="R42" s="208"/>
      <c r="S42" s="208"/>
    </row>
    <row r="43" s="183" customFormat="1" ht="27" customHeight="1" spans="1:19">
      <c r="A43" s="272">
        <v>13</v>
      </c>
      <c r="B43" s="278" t="s">
        <v>69</v>
      </c>
      <c r="C43" s="264"/>
      <c r="D43" s="264"/>
      <c r="E43" s="264"/>
      <c r="F43" s="264">
        <v>2</v>
      </c>
      <c r="G43" s="264">
        <f t="shared" ref="G43:G48" si="5">F43</f>
        <v>2</v>
      </c>
      <c r="H43" s="265" t="s">
        <v>56</v>
      </c>
      <c r="I43" s="274">
        <f>G5</f>
        <v>2847.256927</v>
      </c>
      <c r="J43" s="275">
        <f>G43/I43</f>
        <v>0.000702430462468763</v>
      </c>
      <c r="K43" s="276"/>
      <c r="L43" s="208"/>
      <c r="M43" s="208"/>
      <c r="N43" s="252"/>
      <c r="O43" s="208"/>
      <c r="P43" s="208"/>
      <c r="Q43" s="208"/>
      <c r="R43" s="208"/>
      <c r="S43" s="208"/>
    </row>
    <row r="44" s="183" customFormat="1" ht="27" customHeight="1" spans="1:19">
      <c r="A44" s="272">
        <v>14</v>
      </c>
      <c r="B44" s="263" t="s">
        <v>70</v>
      </c>
      <c r="C44" s="264"/>
      <c r="D44" s="264"/>
      <c r="E44" s="264"/>
      <c r="F44" s="264">
        <f>I44*J44/10000</f>
        <v>0.8115</v>
      </c>
      <c r="G44" s="264">
        <f t="shared" si="5"/>
        <v>0.8115</v>
      </c>
      <c r="H44" s="265" t="s">
        <v>27</v>
      </c>
      <c r="I44" s="274">
        <v>5410</v>
      </c>
      <c r="J44" s="274">
        <v>1.5</v>
      </c>
      <c r="K44" s="276"/>
      <c r="L44" s="208"/>
      <c r="M44" s="208"/>
      <c r="N44" s="252"/>
      <c r="O44" s="208"/>
      <c r="P44" s="208"/>
      <c r="Q44" s="208"/>
      <c r="R44" s="208"/>
      <c r="S44" s="208"/>
    </row>
    <row r="45" s="183" customFormat="1" ht="27" customHeight="1" spans="1:19">
      <c r="A45" s="272">
        <v>15</v>
      </c>
      <c r="B45" s="263" t="s">
        <v>71</v>
      </c>
      <c r="C45" s="264"/>
      <c r="D45" s="264"/>
      <c r="E45" s="264"/>
      <c r="F45" s="264">
        <f>I45*J45/10000</f>
        <v>1.082</v>
      </c>
      <c r="G45" s="264">
        <f t="shared" si="5"/>
        <v>1.082</v>
      </c>
      <c r="H45" s="265" t="s">
        <v>27</v>
      </c>
      <c r="I45" s="274">
        <v>5410</v>
      </c>
      <c r="J45" s="274">
        <v>2</v>
      </c>
      <c r="K45" s="276"/>
      <c r="L45" s="208"/>
      <c r="M45" s="208"/>
      <c r="N45" s="252"/>
      <c r="O45" s="208"/>
      <c r="P45" s="208"/>
      <c r="Q45" s="208"/>
      <c r="R45" s="208"/>
      <c r="S45" s="208"/>
    </row>
    <row r="46" s="183" customFormat="1" ht="27" customHeight="1" spans="1:19">
      <c r="A46" s="272">
        <v>16</v>
      </c>
      <c r="B46" s="263" t="s">
        <v>72</v>
      </c>
      <c r="C46" s="264"/>
      <c r="D46" s="264"/>
      <c r="E46" s="264"/>
      <c r="F46" s="264">
        <f>I46*J46/10000</f>
        <v>2.164</v>
      </c>
      <c r="G46" s="264">
        <f t="shared" si="5"/>
        <v>2.164</v>
      </c>
      <c r="H46" s="265" t="s">
        <v>27</v>
      </c>
      <c r="I46" s="274">
        <v>5410</v>
      </c>
      <c r="J46" s="274">
        <v>4</v>
      </c>
      <c r="K46" s="276"/>
      <c r="L46" s="208"/>
      <c r="M46" s="208"/>
      <c r="N46" s="252"/>
      <c r="O46" s="208"/>
      <c r="P46" s="208"/>
      <c r="Q46" s="208"/>
      <c r="R46" s="208"/>
      <c r="S46" s="208"/>
    </row>
    <row r="47" s="183" customFormat="1" ht="27" customHeight="1" spans="1:19">
      <c r="A47" s="272">
        <v>17</v>
      </c>
      <c r="B47" s="263" t="s">
        <v>73</v>
      </c>
      <c r="C47" s="277"/>
      <c r="D47" s="264"/>
      <c r="E47" s="264"/>
      <c r="F47" s="254">
        <f>I47*J47</f>
        <v>14.236284635</v>
      </c>
      <c r="G47" s="254">
        <f t="shared" si="5"/>
        <v>14.236284635</v>
      </c>
      <c r="H47" s="256" t="s">
        <v>56</v>
      </c>
      <c r="I47" s="279">
        <f>G5</f>
        <v>2847.256927</v>
      </c>
      <c r="J47" s="280">
        <v>0.005</v>
      </c>
      <c r="K47" s="276"/>
      <c r="L47" s="208"/>
      <c r="M47" s="208"/>
      <c r="N47" s="252"/>
      <c r="O47" s="208"/>
      <c r="P47" s="208"/>
      <c r="Q47" s="208"/>
      <c r="R47" s="208"/>
      <c r="S47" s="208"/>
    </row>
    <row r="48" s="183" customFormat="1" ht="27" customHeight="1" spans="1:19">
      <c r="A48" s="272">
        <v>18</v>
      </c>
      <c r="B48" s="263" t="s">
        <v>74</v>
      </c>
      <c r="C48" s="264"/>
      <c r="D48" s="264"/>
      <c r="E48" s="264"/>
      <c r="F48" s="264">
        <v>5</v>
      </c>
      <c r="G48" s="254">
        <f t="shared" si="5"/>
        <v>5</v>
      </c>
      <c r="H48" s="265" t="s">
        <v>53</v>
      </c>
      <c r="I48" s="274">
        <v>1</v>
      </c>
      <c r="J48" s="275"/>
      <c r="K48" s="276"/>
      <c r="L48" s="208"/>
      <c r="M48" s="208"/>
      <c r="N48" s="252"/>
      <c r="O48" s="208"/>
      <c r="P48" s="208"/>
      <c r="Q48" s="208"/>
      <c r="R48" s="208"/>
      <c r="S48" s="208"/>
    </row>
    <row r="49" s="183" customFormat="1" ht="27" customHeight="1" spans="1:19">
      <c r="A49" s="272">
        <v>19</v>
      </c>
      <c r="B49" s="263" t="s">
        <v>75</v>
      </c>
      <c r="C49" s="264"/>
      <c r="D49" s="264"/>
      <c r="E49" s="264"/>
      <c r="F49" s="264">
        <v>2</v>
      </c>
      <c r="G49" s="264">
        <f t="shared" ref="G49:G56" si="6">F49</f>
        <v>2</v>
      </c>
      <c r="H49" s="265" t="s">
        <v>53</v>
      </c>
      <c r="I49" s="274">
        <v>1</v>
      </c>
      <c r="J49" s="275"/>
      <c r="K49" s="276"/>
      <c r="L49" s="208"/>
      <c r="M49" s="208"/>
      <c r="N49" s="252"/>
      <c r="O49" s="208"/>
      <c r="P49" s="208"/>
      <c r="Q49" s="208"/>
      <c r="R49" s="208"/>
      <c r="S49" s="208"/>
    </row>
    <row r="50" s="183" customFormat="1" ht="27" customHeight="1" spans="1:19">
      <c r="A50" s="272">
        <v>20</v>
      </c>
      <c r="B50" s="263" t="s">
        <v>76</v>
      </c>
      <c r="C50" s="264"/>
      <c r="D50" s="264"/>
      <c r="E50" s="264"/>
      <c r="F50" s="264">
        <v>2</v>
      </c>
      <c r="G50" s="264">
        <f t="shared" si="6"/>
        <v>2</v>
      </c>
      <c r="H50" s="265" t="s">
        <v>53</v>
      </c>
      <c r="I50" s="274">
        <v>1</v>
      </c>
      <c r="J50" s="275"/>
      <c r="K50" s="276"/>
      <c r="L50" s="208"/>
      <c r="M50" s="208"/>
      <c r="N50" s="252"/>
      <c r="O50" s="208"/>
      <c r="P50" s="208"/>
      <c r="Q50" s="208"/>
      <c r="R50" s="208"/>
      <c r="S50" s="208"/>
    </row>
    <row r="51" s="183" customFormat="1" ht="27" customHeight="1" spans="1:19">
      <c r="A51" s="272">
        <v>21</v>
      </c>
      <c r="B51" s="263" t="s">
        <v>77</v>
      </c>
      <c r="C51" s="277"/>
      <c r="D51" s="264"/>
      <c r="E51" s="264"/>
      <c r="F51" s="264">
        <v>2</v>
      </c>
      <c r="G51" s="264">
        <f t="shared" si="6"/>
        <v>2</v>
      </c>
      <c r="H51" s="265" t="s">
        <v>53</v>
      </c>
      <c r="I51" s="274">
        <v>1</v>
      </c>
      <c r="J51" s="275"/>
      <c r="K51" s="276"/>
      <c r="L51" s="208"/>
      <c r="M51" s="208"/>
      <c r="N51" s="252"/>
      <c r="O51" s="208"/>
      <c r="P51" s="208"/>
      <c r="Q51" s="208"/>
      <c r="R51" s="208"/>
      <c r="S51" s="208"/>
    </row>
    <row r="52" s="183" customFormat="1" ht="27" customHeight="1" spans="1:19">
      <c r="A52" s="272">
        <v>22</v>
      </c>
      <c r="B52" s="263" t="s">
        <v>78</v>
      </c>
      <c r="C52" s="277"/>
      <c r="D52" s="264"/>
      <c r="E52" s="264"/>
      <c r="F52" s="264">
        <v>2</v>
      </c>
      <c r="G52" s="264">
        <f t="shared" si="6"/>
        <v>2</v>
      </c>
      <c r="H52" s="265" t="s">
        <v>53</v>
      </c>
      <c r="I52" s="274">
        <v>1</v>
      </c>
      <c r="J52" s="275"/>
      <c r="K52" s="276"/>
      <c r="L52" s="208"/>
      <c r="M52" s="208"/>
      <c r="N52" s="252"/>
      <c r="O52" s="208"/>
      <c r="P52" s="208"/>
      <c r="Q52" s="208"/>
      <c r="R52" s="208"/>
      <c r="S52" s="208"/>
    </row>
    <row r="53" s="183" customFormat="1" ht="27" customHeight="1" spans="1:19">
      <c r="A53" s="272">
        <v>23</v>
      </c>
      <c r="B53" s="263" t="s">
        <v>79</v>
      </c>
      <c r="C53" s="277"/>
      <c r="D53" s="264"/>
      <c r="E53" s="264"/>
      <c r="F53" s="264">
        <v>2</v>
      </c>
      <c r="G53" s="264">
        <f t="shared" si="6"/>
        <v>2</v>
      </c>
      <c r="H53" s="265" t="s">
        <v>53</v>
      </c>
      <c r="I53" s="274">
        <v>1</v>
      </c>
      <c r="J53" s="275"/>
      <c r="K53" s="276"/>
      <c r="L53" s="208"/>
      <c r="M53" s="208"/>
      <c r="N53" s="252"/>
      <c r="O53" s="208"/>
      <c r="P53" s="208"/>
      <c r="Q53" s="208"/>
      <c r="R53" s="208"/>
      <c r="S53" s="208"/>
    </row>
    <row r="54" s="183" customFormat="1" ht="27" customHeight="1" spans="1:19">
      <c r="A54" s="272">
        <v>24</v>
      </c>
      <c r="B54" s="263" t="s">
        <v>80</v>
      </c>
      <c r="C54" s="277"/>
      <c r="D54" s="264"/>
      <c r="E54" s="264"/>
      <c r="F54" s="264">
        <v>2</v>
      </c>
      <c r="G54" s="264">
        <f t="shared" si="6"/>
        <v>2</v>
      </c>
      <c r="H54" s="265" t="s">
        <v>53</v>
      </c>
      <c r="I54" s="274">
        <v>1</v>
      </c>
      <c r="J54" s="275"/>
      <c r="K54" s="276"/>
      <c r="L54" s="208"/>
      <c r="M54" s="208"/>
      <c r="N54" s="252"/>
      <c r="O54" s="208"/>
      <c r="P54" s="208"/>
      <c r="Q54" s="208"/>
      <c r="R54" s="208"/>
      <c r="S54" s="208"/>
    </row>
    <row r="55" s="183" customFormat="1" ht="27" customHeight="1" spans="1:19">
      <c r="A55" s="272">
        <v>25</v>
      </c>
      <c r="B55" s="263" t="s">
        <v>81</v>
      </c>
      <c r="C55" s="277"/>
      <c r="D55" s="264"/>
      <c r="E55" s="264"/>
      <c r="F55" s="264">
        <v>402.25</v>
      </c>
      <c r="G55" s="264">
        <f t="shared" si="6"/>
        <v>402.25</v>
      </c>
      <c r="H55" s="265" t="s">
        <v>53</v>
      </c>
      <c r="I55" s="274">
        <v>1</v>
      </c>
      <c r="J55" s="275"/>
      <c r="K55" s="276"/>
      <c r="L55" s="208"/>
      <c r="M55" s="208"/>
      <c r="N55" s="252"/>
      <c r="O55" s="208"/>
      <c r="P55" s="208"/>
      <c r="Q55" s="208"/>
      <c r="R55" s="208"/>
      <c r="S55" s="208"/>
    </row>
    <row r="56" s="182" customFormat="1" ht="27" customHeight="1" spans="1:19">
      <c r="A56" s="268" t="s">
        <v>14</v>
      </c>
      <c r="B56" s="269" t="s">
        <v>82</v>
      </c>
      <c r="C56" s="270"/>
      <c r="D56" s="270"/>
      <c r="E56" s="270"/>
      <c r="F56" s="270">
        <f>I56*J56</f>
        <v>172.666573226665</v>
      </c>
      <c r="G56" s="270">
        <f t="shared" si="6"/>
        <v>172.666573226665</v>
      </c>
      <c r="H56" s="271" t="s">
        <v>56</v>
      </c>
      <c r="I56" s="270">
        <f>G30+G5</f>
        <v>3453.3314645333</v>
      </c>
      <c r="J56" s="281">
        <v>0.05</v>
      </c>
      <c r="K56" s="246">
        <f>G56/G57</f>
        <v>0.0476190476190476</v>
      </c>
      <c r="L56" s="203"/>
      <c r="M56" s="203"/>
      <c r="N56" s="243"/>
      <c r="O56" s="203"/>
      <c r="P56" s="203"/>
      <c r="Q56" s="203"/>
      <c r="R56" s="203"/>
      <c r="S56" s="203"/>
    </row>
    <row r="57" s="182" customFormat="1" ht="38" customHeight="1" spans="1:19">
      <c r="A57" s="282" t="s">
        <v>83</v>
      </c>
      <c r="B57" s="283" t="s">
        <v>17</v>
      </c>
      <c r="C57" s="284">
        <f>C5+C30+C56</f>
        <v>1902.069722</v>
      </c>
      <c r="D57" s="284">
        <f>D5+D30+D56</f>
        <v>30</v>
      </c>
      <c r="E57" s="284">
        <f>E5+E30+E56</f>
        <v>915.187205</v>
      </c>
      <c r="F57" s="284">
        <f>F5+F30+F56</f>
        <v>778.741110759965</v>
      </c>
      <c r="G57" s="284">
        <f>G5+G30+G56</f>
        <v>3625.99803775996</v>
      </c>
      <c r="H57" s="284"/>
      <c r="I57" s="284"/>
      <c r="J57" s="284"/>
      <c r="K57" s="285">
        <f>K5+K30+K56</f>
        <v>1</v>
      </c>
      <c r="L57" s="203"/>
      <c r="M57" s="203"/>
      <c r="N57" s="243"/>
      <c r="O57" s="203"/>
      <c r="P57" s="203"/>
      <c r="Q57" s="203"/>
      <c r="R57" s="203"/>
      <c r="S57" s="203"/>
    </row>
    <row r="59" ht="42.95" customHeight="1" spans="1:19">
      <c r="B59" s="286"/>
      <c r="G59" s="287"/>
      <c r="H59" s="288"/>
    </row>
    <row r="60" customHeight="1" spans="1:19">
      <c r="G60" s="289">
        <v>3626</v>
      </c>
      <c r="H60" s="221"/>
      <c r="I60" s="290"/>
      <c r="J60" s="290"/>
      <c r="K60" s="221"/>
    </row>
    <row r="61" customHeight="1" spans="1:19">
      <c r="B61" s="291"/>
      <c r="G61" s="292">
        <f>G57-G60</f>
        <v>-0.00196224003502721</v>
      </c>
      <c r="H61" s="221"/>
      <c r="I61" s="290"/>
      <c r="J61" s="290"/>
      <c r="K61" s="221"/>
    </row>
    <row r="62" customHeight="1" spans="1:19">
      <c r="B62" s="286"/>
      <c r="C62" s="293"/>
      <c r="D62" s="293"/>
      <c r="E62" s="293"/>
      <c r="H62" s="221"/>
      <c r="I62" s="290"/>
      <c r="J62" s="290"/>
      <c r="K62" s="221"/>
    </row>
    <row r="63" customHeight="1" spans="1:19">
      <c r="B63" s="294"/>
      <c r="C63" s="295"/>
      <c r="H63" s="221"/>
      <c r="I63" s="290"/>
      <c r="J63" s="290"/>
      <c r="K63" s="221"/>
    </row>
    <row r="64" customHeight="1" spans="1:19">
      <c r="B64" s="294"/>
      <c r="C64" s="296"/>
      <c r="D64" s="297"/>
    </row>
    <row r="65" ht="32.1" customHeight="1" spans="2:9">
      <c r="G65" s="287"/>
      <c r="H65" s="288"/>
      <c r="I65" s="290"/>
    </row>
    <row r="66" customHeight="1" spans="2:9">
      <c r="B66" s="291"/>
      <c r="H66" s="290"/>
    </row>
    <row r="67" customHeight="1" spans="2:9">
      <c r="B67" s="294"/>
      <c r="C67" s="293"/>
      <c r="D67" s="293"/>
      <c r="H67" s="290"/>
    </row>
    <row r="68" customHeight="1" spans="2:9">
      <c r="B68" s="294"/>
      <c r="H68" s="290"/>
    </row>
    <row r="69" customHeight="1" spans="2:9">
      <c r="B69" s="294"/>
      <c r="H69" s="290"/>
    </row>
    <row r="70" customHeight="1" spans="2:9">
      <c r="B70" s="294"/>
      <c r="C70" s="295"/>
      <c r="H70" s="290"/>
    </row>
    <row r="71" customHeight="1" spans="2:9">
      <c r="B71" s="294"/>
      <c r="D71" s="298"/>
      <c r="H71" s="290"/>
    </row>
    <row r="72" customHeight="1" spans="2:9">
      <c r="B72" s="299"/>
      <c r="C72" s="293"/>
      <c r="D72" s="293"/>
      <c r="H72" s="290"/>
    </row>
    <row r="73" customHeight="1" spans="2:9">
      <c r="H73" s="290"/>
    </row>
    <row r="74" customHeight="1" spans="2:9">
      <c r="H74" s="290"/>
    </row>
    <row r="77" customHeight="1" spans="2:9">
      <c r="E77" s="293"/>
    </row>
  </sheetData>
  <sheetProtection formatCells="0" formatColumns="0" formatRows="0" insertRows="0" insertColumns="0" insertHyperlinks="0" deleteColumns="0" deleteRows="0" sort="0" autoFilter="0" pivotTables="0"/>
  <mergeCells count="6">
    <mergeCell ref="A1:K1"/>
    <mergeCell ref="A2:K2"/>
    <mergeCell ref="C3:G3"/>
    <mergeCell ref="H3:J3"/>
    <mergeCell ref="A3:A4"/>
    <mergeCell ref="B3:B4"/>
  </mergeCells>
  <pageMargins left="0.590277777777778" right="0.590277777777778" top="0.590277777777778" bottom="0.590277777777778" header="0.5" footer="0.5"/>
  <pageSetup paperSize="9" scale="56" orientation="landscape"/>
  <headerFooter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zoomScale="70" zoomScaleNormal="70" zoomScaleSheetLayoutView="85" workbookViewId="0">
      <selection activeCell="I37" sqref="I37"/>
    </sheetView>
  </sheetViews>
  <sheetFormatPr defaultColWidth="10.2857142857143" defaultRowHeight="27.95" customHeight="1"/>
  <cols>
    <col min="1" max="1" width="11.4285714285714" style="6"/>
    <col min="2" max="2" width="52.2857142857143" style="7" customWidth="1"/>
    <col min="3" max="3" width="20.1428571428571" style="75"/>
    <col min="4" max="4" width="17.4285714285714" style="7" customWidth="1"/>
    <col min="5" max="5" width="20.2857142857143" style="6"/>
    <col min="6" max="6" width="13.5714285714286" style="7" customWidth="1"/>
    <col min="7" max="7" width="17.7142857142857" style="8" customWidth="1"/>
    <col min="8" max="8" width="10.2857142857143" style="6"/>
    <col min="9" max="9" width="20.1428571428571" style="75"/>
    <col min="10" max="10" width="20.2857142857143" style="75"/>
    <col min="11" max="11" width="17.7142857142857" style="7" customWidth="1"/>
    <col min="12" max="12" width="10.2857142857143" style="7"/>
    <col min="13" max="13" width="18.4285714285714" style="7"/>
    <col min="14" max="14" width="16.2857142857143" style="7"/>
    <col min="15" max="15" width="42" style="7" customWidth="1"/>
    <col min="16" max="16" width="27.7142857142857" style="7" customWidth="1"/>
    <col min="17" max="17" width="10.4285714285714" style="7"/>
    <col min="18" max="18" width="24.5714285714286" style="7" customWidth="1"/>
    <col min="19" max="19" width="15.5714285714286" style="7" customWidth="1"/>
    <col min="20" max="16384" width="10.2857142857143" style="7"/>
  </cols>
  <sheetData>
    <row r="1" ht="42" customHeight="1" spans="1:19">
      <c r="A1" s="186" t="s">
        <v>84</v>
      </c>
      <c r="B1" s="186"/>
      <c r="C1" s="187"/>
      <c r="D1" s="186"/>
      <c r="E1" s="186"/>
      <c r="F1" s="186"/>
      <c r="G1" s="188"/>
      <c r="H1" s="186"/>
      <c r="I1" s="187"/>
      <c r="J1" s="187"/>
      <c r="K1" s="186"/>
    </row>
    <row r="2" customHeight="1" spans="1:19">
      <c r="A2" s="189" t="s">
        <v>85</v>
      </c>
      <c r="B2" s="189"/>
      <c r="C2" s="190"/>
      <c r="D2" s="189"/>
      <c r="E2" s="189"/>
      <c r="F2" s="189"/>
      <c r="G2" s="191"/>
      <c r="H2" s="189"/>
      <c r="I2" s="190"/>
      <c r="J2" s="190"/>
      <c r="K2" s="189"/>
    </row>
    <row r="3" s="180" customFormat="1" ht="35.1" customHeight="1" spans="1:19">
      <c r="A3" s="192" t="s">
        <v>1</v>
      </c>
      <c r="B3" s="193" t="s">
        <v>20</v>
      </c>
      <c r="C3" s="194" t="s">
        <v>86</v>
      </c>
      <c r="D3" s="194"/>
      <c r="E3" s="194"/>
      <c r="F3" s="194"/>
      <c r="G3" s="195"/>
      <c r="H3" s="194" t="s">
        <v>22</v>
      </c>
      <c r="I3" s="196"/>
      <c r="J3" s="196"/>
      <c r="K3" s="197" t="s">
        <v>23</v>
      </c>
    </row>
    <row r="4" s="180" customFormat="1" ht="35.1" customHeight="1" spans="1:19">
      <c r="A4" s="198"/>
      <c r="B4" s="199"/>
      <c r="C4" s="199" t="s">
        <v>5</v>
      </c>
      <c r="D4" s="199" t="s">
        <v>6</v>
      </c>
      <c r="E4" s="199" t="s">
        <v>7</v>
      </c>
      <c r="F4" s="199" t="s">
        <v>8</v>
      </c>
      <c r="G4" s="24" t="s">
        <v>9</v>
      </c>
      <c r="H4" s="45" t="s">
        <v>24</v>
      </c>
      <c r="I4" s="45" t="s">
        <v>25</v>
      </c>
      <c r="J4" s="199" t="s">
        <v>26</v>
      </c>
      <c r="K4" s="200"/>
    </row>
    <row r="5" s="181" customFormat="1" ht="35.1" customHeight="1" spans="1:19">
      <c r="A5" s="23" t="s">
        <v>10</v>
      </c>
      <c r="B5" s="24" t="s">
        <v>11</v>
      </c>
      <c r="C5" s="26">
        <f t="shared" ref="C5:G5" si="0">C6+C13</f>
        <v>6450</v>
      </c>
      <c r="D5" s="26">
        <f t="shared" si="0"/>
        <v>60</v>
      </c>
      <c r="E5" s="26">
        <f t="shared" si="0"/>
        <v>1852.5</v>
      </c>
      <c r="F5" s="26"/>
      <c r="G5" s="26">
        <f t="shared" si="0"/>
        <v>8362.5</v>
      </c>
      <c r="H5" s="21" t="s">
        <v>56</v>
      </c>
      <c r="I5" s="26"/>
      <c r="J5" s="26"/>
      <c r="K5" s="27">
        <f>G5/G40</f>
        <v>0.853944189369291</v>
      </c>
    </row>
    <row r="6" s="182" customFormat="1" ht="35.1" customHeight="1" spans="1:19">
      <c r="A6" s="162" t="s">
        <v>28</v>
      </c>
      <c r="B6" s="163" t="s">
        <v>87</v>
      </c>
      <c r="C6" s="201">
        <f>SUM(C7:C12)</f>
        <v>6450</v>
      </c>
      <c r="D6" s="201">
        <f>SUM(D7:D12)</f>
        <v>60</v>
      </c>
      <c r="E6" s="201">
        <f>SUM(E7:E12)</f>
        <v>1852.5</v>
      </c>
      <c r="F6" s="201"/>
      <c r="G6" s="201">
        <f>SUM(G7:G12)</f>
        <v>8362.5</v>
      </c>
      <c r="H6" s="45" t="s">
        <v>27</v>
      </c>
      <c r="I6" s="26">
        <v>15000</v>
      </c>
      <c r="J6" s="202">
        <f>G6/I6*10000</f>
        <v>5575</v>
      </c>
      <c r="K6" s="164"/>
      <c r="L6" s="203"/>
      <c r="M6" s="203"/>
      <c r="N6" s="203"/>
      <c r="O6" s="204"/>
      <c r="P6" s="204"/>
      <c r="Q6" s="204"/>
      <c r="R6" s="204"/>
      <c r="S6" s="204"/>
    </row>
    <row r="7" s="183" customFormat="1" ht="35.1" customHeight="1" spans="1:19">
      <c r="A7" s="205">
        <v>1</v>
      </c>
      <c r="B7" s="3" t="s">
        <v>88</v>
      </c>
      <c r="C7" s="206">
        <f>I7*J7/10000</f>
        <v>6450</v>
      </c>
      <c r="D7" s="32"/>
      <c r="E7" s="206"/>
      <c r="F7" s="123"/>
      <c r="G7" s="32">
        <f t="shared" ref="G7:G12" si="1">SUM(C7:F7)</f>
        <v>6450</v>
      </c>
      <c r="H7" s="21" t="s">
        <v>27</v>
      </c>
      <c r="I7" s="32">
        <f>I6</f>
        <v>15000</v>
      </c>
      <c r="J7" s="207">
        <v>4300</v>
      </c>
      <c r="K7" s="60"/>
      <c r="L7" s="208"/>
      <c r="M7" s="208"/>
      <c r="N7" s="208"/>
      <c r="O7" s="209"/>
      <c r="P7" s="209"/>
      <c r="Q7" s="209"/>
      <c r="R7" s="209"/>
      <c r="S7" s="209"/>
    </row>
    <row r="8" s="183" customFormat="1" ht="35.1" customHeight="1" spans="1:19">
      <c r="A8" s="205">
        <v>2</v>
      </c>
      <c r="B8" s="3" t="s">
        <v>39</v>
      </c>
      <c r="C8" s="206"/>
      <c r="D8" s="32"/>
      <c r="E8" s="206">
        <f>I8*J8/10000</f>
        <v>330</v>
      </c>
      <c r="F8" s="123"/>
      <c r="G8" s="32">
        <f t="shared" si="1"/>
        <v>330</v>
      </c>
      <c r="H8" s="21" t="s">
        <v>27</v>
      </c>
      <c r="I8" s="32">
        <f>I6</f>
        <v>15000</v>
      </c>
      <c r="J8" s="207">
        <v>220</v>
      </c>
      <c r="K8" s="60"/>
      <c r="L8" s="208"/>
      <c r="M8" s="208"/>
      <c r="N8" s="208"/>
      <c r="O8" s="209"/>
      <c r="P8" s="209"/>
      <c r="Q8" s="209"/>
      <c r="R8" s="209"/>
      <c r="S8" s="209"/>
    </row>
    <row r="9" s="183" customFormat="1" ht="35.1" customHeight="1" spans="1:19">
      <c r="A9" s="205">
        <v>3</v>
      </c>
      <c r="B9" s="3" t="s">
        <v>32</v>
      </c>
      <c r="C9" s="206"/>
      <c r="D9" s="32"/>
      <c r="E9" s="206">
        <f>I9*J9/10000</f>
        <v>397.5</v>
      </c>
      <c r="F9" s="123"/>
      <c r="G9" s="32">
        <f t="shared" si="1"/>
        <v>397.5</v>
      </c>
      <c r="H9" s="21" t="s">
        <v>27</v>
      </c>
      <c r="I9" s="32">
        <f>I6</f>
        <v>15000</v>
      </c>
      <c r="J9" s="207">
        <v>265</v>
      </c>
      <c r="K9" s="60"/>
      <c r="L9" s="208"/>
      <c r="M9" s="208"/>
      <c r="N9" s="208"/>
      <c r="O9" s="209"/>
      <c r="P9" s="209"/>
      <c r="Q9" s="209"/>
      <c r="R9" s="209"/>
      <c r="S9" s="209"/>
    </row>
    <row r="10" s="184" customFormat="1" ht="35.1" customHeight="1" spans="1:19">
      <c r="A10" s="205">
        <v>4</v>
      </c>
      <c r="B10" s="86" t="s">
        <v>89</v>
      </c>
      <c r="C10" s="32"/>
      <c r="D10" s="32">
        <f>I10*J10/10000</f>
        <v>60</v>
      </c>
      <c r="E10" s="32"/>
      <c r="F10" s="35"/>
      <c r="G10" s="32">
        <f t="shared" si="1"/>
        <v>60</v>
      </c>
      <c r="H10" s="21" t="s">
        <v>35</v>
      </c>
      <c r="I10" s="32">
        <v>2</v>
      </c>
      <c r="J10" s="207">
        <v>300000</v>
      </c>
      <c r="K10" s="36"/>
      <c r="L10" s="211"/>
      <c r="M10" s="211"/>
      <c r="N10" s="211"/>
      <c r="O10" s="214"/>
      <c r="P10" s="214"/>
      <c r="Q10" s="214"/>
      <c r="R10" s="214"/>
      <c r="S10" s="211"/>
    </row>
    <row r="11" s="183" customFormat="1" ht="35.1" customHeight="1" spans="1:19">
      <c r="A11" s="205">
        <v>5</v>
      </c>
      <c r="B11" s="3" t="s">
        <v>90</v>
      </c>
      <c r="C11" s="206"/>
      <c r="D11" s="32"/>
      <c r="E11" s="206">
        <f>I11*J11/10000</f>
        <v>1125</v>
      </c>
      <c r="F11" s="123"/>
      <c r="G11" s="32">
        <f t="shared" si="1"/>
        <v>1125</v>
      </c>
      <c r="H11" s="21" t="s">
        <v>27</v>
      </c>
      <c r="I11" s="32">
        <f>I6</f>
        <v>15000</v>
      </c>
      <c r="J11" s="207">
        <v>750</v>
      </c>
      <c r="K11" s="60"/>
      <c r="L11" s="208"/>
      <c r="M11" s="208"/>
      <c r="N11" s="208"/>
      <c r="O11" s="209"/>
      <c r="P11" s="209"/>
      <c r="Q11" s="209"/>
      <c r="R11" s="209"/>
      <c r="S11" s="209"/>
    </row>
    <row r="12" s="184" customFormat="1" ht="35.1" customHeight="1" spans="1:19">
      <c r="A12" s="205">
        <v>6</v>
      </c>
      <c r="B12" s="210" t="s">
        <v>91</v>
      </c>
      <c r="C12" s="32"/>
      <c r="D12" s="32"/>
      <c r="E12" s="32">
        <f>I12*J12/10000</f>
        <v>0</v>
      </c>
      <c r="F12" s="57"/>
      <c r="G12" s="32">
        <f t="shared" si="1"/>
        <v>0</v>
      </c>
      <c r="H12" s="21" t="s">
        <v>27</v>
      </c>
      <c r="I12" s="32">
        <f>I6*0</f>
        <v>0</v>
      </c>
      <c r="J12" s="207">
        <v>70</v>
      </c>
      <c r="K12" s="36"/>
      <c r="L12" s="211"/>
      <c r="M12" s="211"/>
      <c r="N12" s="211"/>
      <c r="O12" s="211"/>
      <c r="P12" s="211"/>
      <c r="Q12" s="211"/>
      <c r="R12" s="211"/>
      <c r="S12" s="211"/>
    </row>
    <row r="13" s="185" customFormat="1" ht="35.1" customHeight="1" spans="1:19">
      <c r="A13" s="28" t="s">
        <v>92</v>
      </c>
      <c r="B13" s="91" t="s">
        <v>93</v>
      </c>
      <c r="C13" s="26">
        <f t="shared" ref="C13:G13" si="2">SUM(C14:C20)</f>
        <v>0</v>
      </c>
      <c r="D13" s="26"/>
      <c r="E13" s="26">
        <f t="shared" si="2"/>
        <v>0</v>
      </c>
      <c r="F13" s="169"/>
      <c r="G13" s="169">
        <f t="shared" si="2"/>
        <v>0</v>
      </c>
      <c r="H13" s="45" t="s">
        <v>56</v>
      </c>
      <c r="I13" s="26"/>
      <c r="J13" s="202"/>
      <c r="K13" s="92"/>
      <c r="L13" s="180"/>
      <c r="M13" s="180"/>
      <c r="N13" s="180"/>
      <c r="O13" s="180"/>
      <c r="P13" s="180"/>
      <c r="Q13" s="180"/>
      <c r="R13" s="180"/>
      <c r="S13" s="180"/>
    </row>
    <row r="14" s="184" customFormat="1" ht="35.1" customHeight="1" spans="1:19">
      <c r="A14" s="84">
        <v>1</v>
      </c>
      <c r="B14" s="31" t="s">
        <v>94</v>
      </c>
      <c r="C14" s="212">
        <f t="shared" ref="C14:C17" si="3">I14*J14/10000</f>
        <v>0</v>
      </c>
      <c r="D14" s="87"/>
      <c r="E14" s="87"/>
      <c r="F14" s="31"/>
      <c r="G14" s="32">
        <f t="shared" ref="G14:G20" si="4">SUM(C14:F14)</f>
        <v>0</v>
      </c>
      <c r="H14" s="41" t="s">
        <v>27</v>
      </c>
      <c r="I14" s="40">
        <f>2800*0</f>
        <v>0</v>
      </c>
      <c r="J14" s="213">
        <v>300</v>
      </c>
      <c r="K14" s="36"/>
      <c r="L14" s="211"/>
      <c r="M14" s="211"/>
      <c r="N14" s="211"/>
      <c r="O14" s="211"/>
      <c r="P14" s="211"/>
      <c r="Q14" s="211"/>
      <c r="R14" s="211"/>
      <c r="S14" s="211"/>
    </row>
    <row r="15" s="183" customFormat="1" ht="35.1" customHeight="1" spans="1:19">
      <c r="A15" s="205">
        <v>2</v>
      </c>
      <c r="B15" s="3" t="s">
        <v>95</v>
      </c>
      <c r="C15" s="212">
        <f t="shared" si="3"/>
        <v>0</v>
      </c>
      <c r="D15" s="87"/>
      <c r="E15" s="87"/>
      <c r="F15" s="31"/>
      <c r="G15" s="32">
        <f t="shared" si="4"/>
        <v>0</v>
      </c>
      <c r="H15" s="41" t="s">
        <v>27</v>
      </c>
      <c r="I15" s="40">
        <f>6000*0</f>
        <v>0</v>
      </c>
      <c r="J15" s="213">
        <v>280</v>
      </c>
      <c r="K15" s="60"/>
      <c r="L15" s="208"/>
      <c r="M15" s="208"/>
      <c r="N15" s="208"/>
      <c r="O15" s="209"/>
      <c r="P15" s="209"/>
      <c r="Q15" s="209"/>
      <c r="R15" s="209"/>
      <c r="S15" s="209"/>
    </row>
    <row r="16" s="184" customFormat="1" ht="35.1" customHeight="1" spans="1:19">
      <c r="A16" s="84">
        <v>3</v>
      </c>
      <c r="B16" s="31" t="s">
        <v>46</v>
      </c>
      <c r="C16" s="212">
        <f t="shared" si="3"/>
        <v>0</v>
      </c>
      <c r="D16" s="32"/>
      <c r="E16" s="32"/>
      <c r="F16" s="35"/>
      <c r="G16" s="32">
        <f t="shared" si="4"/>
        <v>0</v>
      </c>
      <c r="H16" s="21" t="s">
        <v>27</v>
      </c>
      <c r="I16" s="40">
        <f>800*0</f>
        <v>0</v>
      </c>
      <c r="J16" s="213">
        <v>100</v>
      </c>
      <c r="K16" s="36"/>
      <c r="L16" s="211"/>
      <c r="M16" s="211"/>
      <c r="N16" s="211"/>
      <c r="O16" s="209"/>
      <c r="P16" s="214"/>
      <c r="Q16" s="214"/>
      <c r="R16" s="214"/>
      <c r="S16" s="214"/>
    </row>
    <row r="17" s="184" customFormat="1" ht="35.1" customHeight="1" spans="1:19">
      <c r="A17" s="205">
        <v>4</v>
      </c>
      <c r="B17" s="31" t="s">
        <v>96</v>
      </c>
      <c r="C17" s="206">
        <f t="shared" si="3"/>
        <v>0</v>
      </c>
      <c r="D17" s="32"/>
      <c r="E17" s="212"/>
      <c r="F17" s="123"/>
      <c r="G17" s="32">
        <f t="shared" si="4"/>
        <v>0</v>
      </c>
      <c r="H17" s="58" t="s">
        <v>97</v>
      </c>
      <c r="I17" s="38">
        <f>1*0</f>
        <v>0</v>
      </c>
      <c r="J17" s="177">
        <v>200000</v>
      </c>
      <c r="K17" s="36"/>
      <c r="L17" s="211"/>
      <c r="M17" s="211"/>
      <c r="N17" s="211"/>
      <c r="O17" s="209"/>
      <c r="P17" s="214"/>
      <c r="Q17" s="214"/>
      <c r="R17" s="214"/>
      <c r="S17" s="214"/>
    </row>
    <row r="18" s="183" customFormat="1" ht="35.1" customHeight="1" spans="1:19">
      <c r="A18" s="84">
        <v>5</v>
      </c>
      <c r="B18" s="31" t="s">
        <v>98</v>
      </c>
      <c r="C18" s="206"/>
      <c r="D18" s="32"/>
      <c r="E18" s="212">
        <f t="shared" ref="E18:E20" si="5">I18*J18/10000</f>
        <v>0</v>
      </c>
      <c r="F18" s="123"/>
      <c r="G18" s="57">
        <f t="shared" si="4"/>
        <v>0</v>
      </c>
      <c r="H18" s="58" t="s">
        <v>27</v>
      </c>
      <c r="I18" s="38">
        <f>I6*0</f>
        <v>0</v>
      </c>
      <c r="J18" s="177">
        <v>80</v>
      </c>
      <c r="K18" s="60"/>
      <c r="L18" s="208"/>
      <c r="M18" s="208"/>
      <c r="N18" s="208"/>
      <c r="O18" s="209"/>
      <c r="P18" s="209"/>
      <c r="Q18" s="209"/>
      <c r="R18" s="209"/>
      <c r="S18" s="209"/>
    </row>
    <row r="19" s="183" customFormat="1" ht="35.1" customHeight="1" spans="1:19">
      <c r="A19" s="205">
        <v>6</v>
      </c>
      <c r="B19" s="3" t="s">
        <v>99</v>
      </c>
      <c r="C19" s="206"/>
      <c r="D19" s="206"/>
      <c r="E19" s="212">
        <f t="shared" si="5"/>
        <v>0</v>
      </c>
      <c r="F19" s="38"/>
      <c r="G19" s="57">
        <f t="shared" si="4"/>
        <v>0</v>
      </c>
      <c r="H19" s="58" t="s">
        <v>27</v>
      </c>
      <c r="I19" s="38">
        <f>I18</f>
        <v>0</v>
      </c>
      <c r="J19" s="177">
        <v>50</v>
      </c>
      <c r="K19" s="60"/>
      <c r="L19" s="208"/>
      <c r="M19" s="208"/>
      <c r="N19" s="208"/>
      <c r="O19" s="209"/>
      <c r="P19" s="209"/>
      <c r="Q19" s="209"/>
      <c r="R19" s="209"/>
      <c r="S19" s="209"/>
    </row>
    <row r="20" s="183" customFormat="1" ht="35.1" customHeight="1" spans="1:19">
      <c r="A20" s="84">
        <v>7</v>
      </c>
      <c r="B20" s="3" t="s">
        <v>100</v>
      </c>
      <c r="C20" s="206"/>
      <c r="D20" s="32"/>
      <c r="E20" s="212">
        <f t="shared" si="5"/>
        <v>0</v>
      </c>
      <c r="F20" s="123"/>
      <c r="G20" s="57">
        <f t="shared" si="4"/>
        <v>0</v>
      </c>
      <c r="H20" s="58" t="s">
        <v>27</v>
      </c>
      <c r="I20" s="38">
        <f>I18</f>
        <v>0</v>
      </c>
      <c r="J20" s="177">
        <v>150</v>
      </c>
      <c r="K20" s="60"/>
      <c r="L20" s="208"/>
      <c r="M20" s="208"/>
      <c r="N20" s="208"/>
      <c r="O20" s="209"/>
      <c r="P20" s="209"/>
      <c r="Q20" s="209"/>
      <c r="R20" s="209"/>
      <c r="S20" s="209"/>
    </row>
    <row r="21" s="182" customFormat="1" ht="35.1" customHeight="1" spans="1:19">
      <c r="A21" s="174" t="s">
        <v>12</v>
      </c>
      <c r="B21" s="175" t="s">
        <v>13</v>
      </c>
      <c r="C21" s="62"/>
      <c r="D21" s="26"/>
      <c r="E21" s="26"/>
      <c r="F21" s="169">
        <f>SUM(F22:F38)</f>
        <v>704.902357142857</v>
      </c>
      <c r="G21" s="169">
        <f>SUM(G22:G38)</f>
        <v>704.902357142857</v>
      </c>
      <c r="H21" s="173" t="s">
        <v>56</v>
      </c>
      <c r="I21" s="108"/>
      <c r="J21" s="108"/>
      <c r="K21" s="117">
        <f>G21/G40</f>
        <v>0.0719817365566349</v>
      </c>
      <c r="L21" s="203"/>
      <c r="M21" s="203"/>
      <c r="N21" s="203"/>
      <c r="O21" s="215"/>
      <c r="P21" s="203"/>
      <c r="Q21" s="203"/>
      <c r="R21" s="203"/>
      <c r="S21" s="203"/>
    </row>
    <row r="22" s="183" customFormat="1" ht="35.1" customHeight="1" spans="1:19">
      <c r="A22" s="103">
        <v>1</v>
      </c>
      <c r="B22" s="55" t="s">
        <v>101</v>
      </c>
      <c r="C22" s="32"/>
      <c r="D22" s="32"/>
      <c r="E22" s="49"/>
      <c r="F22" s="57">
        <f t="shared" ref="F22:F24" si="6">I22*J22</f>
        <v>100.35</v>
      </c>
      <c r="G22" s="57">
        <f t="shared" ref="G22:G39" si="7">F22</f>
        <v>100.35</v>
      </c>
      <c r="H22" s="58" t="s">
        <v>56</v>
      </c>
      <c r="I22" s="177">
        <f>G5</f>
        <v>8362.5</v>
      </c>
      <c r="J22" s="59">
        <v>0.012</v>
      </c>
      <c r="K22" s="107"/>
      <c r="L22" s="208"/>
      <c r="M22" s="208"/>
      <c r="N22" s="208"/>
      <c r="O22" s="208"/>
      <c r="P22" s="208"/>
      <c r="Q22" s="208"/>
      <c r="R22" s="208"/>
      <c r="S22" s="208"/>
    </row>
    <row r="23" s="183" customFormat="1" ht="35.1" customHeight="1" spans="1:19">
      <c r="A23" s="103">
        <v>2</v>
      </c>
      <c r="B23" s="55" t="s">
        <v>58</v>
      </c>
      <c r="C23" s="32"/>
      <c r="D23" s="32"/>
      <c r="E23" s="32"/>
      <c r="F23" s="57">
        <f t="shared" si="6"/>
        <v>83.625</v>
      </c>
      <c r="G23" s="57">
        <f t="shared" si="7"/>
        <v>83.625</v>
      </c>
      <c r="H23" s="58" t="s">
        <v>56</v>
      </c>
      <c r="I23" s="177">
        <f>G5</f>
        <v>8362.5</v>
      </c>
      <c r="J23" s="59">
        <v>0.01</v>
      </c>
      <c r="K23" s="107"/>
      <c r="L23" s="208"/>
      <c r="M23" s="208"/>
      <c r="N23" s="208"/>
      <c r="O23" s="208"/>
      <c r="P23" s="208"/>
      <c r="Q23" s="208"/>
      <c r="R23" s="208"/>
      <c r="S23" s="208"/>
    </row>
    <row r="24" s="183" customFormat="1" ht="35.1" customHeight="1" spans="1:19">
      <c r="A24" s="103">
        <v>3</v>
      </c>
      <c r="B24" s="55" t="s">
        <v>61</v>
      </c>
      <c r="C24" s="32"/>
      <c r="D24" s="32"/>
      <c r="E24" s="32"/>
      <c r="F24" s="57">
        <f t="shared" si="6"/>
        <v>209.0625</v>
      </c>
      <c r="G24" s="57">
        <f t="shared" si="7"/>
        <v>209.0625</v>
      </c>
      <c r="H24" s="58" t="s">
        <v>56</v>
      </c>
      <c r="I24" s="177">
        <f>G5</f>
        <v>8362.5</v>
      </c>
      <c r="J24" s="59">
        <v>0.025</v>
      </c>
      <c r="K24" s="107"/>
      <c r="L24" s="208"/>
      <c r="M24" s="208"/>
      <c r="N24" s="208"/>
      <c r="O24" s="208"/>
      <c r="P24" s="208"/>
      <c r="Q24" s="208"/>
      <c r="R24" s="208"/>
      <c r="S24" s="208"/>
    </row>
    <row r="25" s="183" customFormat="1" ht="35.1" customHeight="1" spans="1:19">
      <c r="A25" s="103">
        <v>4</v>
      </c>
      <c r="B25" s="55" t="s">
        <v>62</v>
      </c>
      <c r="C25" s="32"/>
      <c r="D25" s="32"/>
      <c r="E25" s="32"/>
      <c r="F25" s="57">
        <f>I25*J25/10000</f>
        <v>25.5</v>
      </c>
      <c r="G25" s="57">
        <f t="shared" si="7"/>
        <v>25.5</v>
      </c>
      <c r="H25" s="58" t="s">
        <v>102</v>
      </c>
      <c r="I25" s="177">
        <f>I6</f>
        <v>15000</v>
      </c>
      <c r="J25" s="104">
        <v>17</v>
      </c>
      <c r="K25" s="107"/>
      <c r="L25" s="208"/>
      <c r="M25" s="208"/>
      <c r="N25" s="208"/>
      <c r="O25" s="208"/>
      <c r="P25" s="208"/>
      <c r="Q25" s="208"/>
      <c r="R25" s="208"/>
      <c r="S25" s="208"/>
    </row>
    <row r="26" s="183" customFormat="1" ht="35.1" customHeight="1" spans="1:19">
      <c r="A26" s="103">
        <v>5</v>
      </c>
      <c r="B26" s="55" t="s">
        <v>103</v>
      </c>
      <c r="C26" s="32"/>
      <c r="D26" s="32"/>
      <c r="E26" s="32"/>
      <c r="F26" s="57">
        <f t="shared" ref="F26:F30" si="8">I26*J26</f>
        <v>14.21625</v>
      </c>
      <c r="G26" s="57">
        <f t="shared" si="7"/>
        <v>14.21625</v>
      </c>
      <c r="H26" s="58" t="s">
        <v>56</v>
      </c>
      <c r="I26" s="177">
        <f>I24</f>
        <v>8362.5</v>
      </c>
      <c r="J26" s="59">
        <v>0.0017</v>
      </c>
      <c r="K26" s="107"/>
      <c r="L26" s="208"/>
      <c r="M26" s="208"/>
      <c r="N26" s="208"/>
      <c r="O26" s="208"/>
      <c r="P26" s="208"/>
      <c r="Q26" s="208"/>
      <c r="R26" s="208"/>
      <c r="S26" s="208"/>
    </row>
    <row r="27" s="183" customFormat="1" ht="35.1" customHeight="1" spans="1:19">
      <c r="A27" s="103">
        <v>6</v>
      </c>
      <c r="B27" s="55" t="s">
        <v>104</v>
      </c>
      <c r="C27" s="32"/>
      <c r="D27" s="32"/>
      <c r="E27" s="32"/>
      <c r="F27" s="57">
        <f>I27*J27*0.8</f>
        <v>25.422</v>
      </c>
      <c r="G27" s="57">
        <f t="shared" si="7"/>
        <v>25.422</v>
      </c>
      <c r="H27" s="58" t="s">
        <v>56</v>
      </c>
      <c r="I27" s="177">
        <f>G5</f>
        <v>8362.5</v>
      </c>
      <c r="J27" s="59">
        <v>0.0038</v>
      </c>
      <c r="K27" s="107"/>
      <c r="L27" s="208"/>
      <c r="M27" s="216"/>
      <c r="N27" s="208"/>
      <c r="O27" s="208"/>
      <c r="P27" s="208"/>
      <c r="Q27" s="208"/>
      <c r="R27" s="208"/>
      <c r="S27" s="208"/>
    </row>
    <row r="28" s="183" customFormat="1" ht="35.1" customHeight="1" spans="1:19">
      <c r="A28" s="103">
        <v>7</v>
      </c>
      <c r="B28" s="55" t="s">
        <v>64</v>
      </c>
      <c r="C28" s="32"/>
      <c r="D28" s="32"/>
      <c r="E28" s="32"/>
      <c r="F28" s="57">
        <f t="shared" si="8"/>
        <v>43.485</v>
      </c>
      <c r="G28" s="57">
        <f t="shared" si="7"/>
        <v>43.485</v>
      </c>
      <c r="H28" s="58" t="s">
        <v>56</v>
      </c>
      <c r="I28" s="177">
        <f>G5</f>
        <v>8362.5</v>
      </c>
      <c r="J28" s="59">
        <v>0.0052</v>
      </c>
      <c r="K28" s="107"/>
      <c r="L28" s="208"/>
      <c r="M28" s="208"/>
      <c r="N28" s="208"/>
      <c r="O28" s="208"/>
      <c r="P28" s="208"/>
      <c r="Q28" s="208"/>
      <c r="R28" s="208"/>
      <c r="S28" s="208"/>
    </row>
    <row r="29" s="183" customFormat="1" ht="35.1" customHeight="1" spans="1:19">
      <c r="A29" s="103">
        <v>8</v>
      </c>
      <c r="B29" s="55" t="s">
        <v>63</v>
      </c>
      <c r="C29" s="32"/>
      <c r="D29" s="32"/>
      <c r="E29" s="32"/>
      <c r="F29" s="57">
        <f>1+2.8+2.75+14+(I29-5000)*0.002*0.8</f>
        <v>25.93</v>
      </c>
      <c r="G29" s="57">
        <f t="shared" si="7"/>
        <v>25.93</v>
      </c>
      <c r="H29" s="58" t="s">
        <v>56</v>
      </c>
      <c r="I29" s="177">
        <f>G5</f>
        <v>8362.5</v>
      </c>
      <c r="J29" s="59">
        <f t="shared" ref="J29:J32" si="9">G29/I29</f>
        <v>0.00310074738415546</v>
      </c>
      <c r="K29" s="107"/>
      <c r="L29" s="208"/>
      <c r="M29" s="208"/>
      <c r="N29" s="208"/>
      <c r="O29" s="208"/>
      <c r="P29" s="208"/>
      <c r="Q29" s="208"/>
      <c r="R29" s="208"/>
      <c r="S29" s="208"/>
    </row>
    <row r="30" s="183" customFormat="1" ht="35.1" customHeight="1" spans="1:19">
      <c r="A30" s="103">
        <v>9</v>
      </c>
      <c r="B30" s="55" t="s">
        <v>73</v>
      </c>
      <c r="C30" s="32"/>
      <c r="D30" s="32"/>
      <c r="E30" s="32"/>
      <c r="F30" s="57">
        <f t="shared" si="8"/>
        <v>41.8125</v>
      </c>
      <c r="G30" s="57">
        <f t="shared" si="7"/>
        <v>41.8125</v>
      </c>
      <c r="H30" s="58" t="s">
        <v>56</v>
      </c>
      <c r="I30" s="177">
        <f>G5</f>
        <v>8362.5</v>
      </c>
      <c r="J30" s="59">
        <v>0.005</v>
      </c>
      <c r="K30" s="107"/>
      <c r="L30" s="208"/>
      <c r="M30" s="208"/>
      <c r="N30" s="208"/>
      <c r="O30" s="208"/>
      <c r="P30" s="208"/>
      <c r="Q30" s="208"/>
      <c r="R30" s="208"/>
      <c r="S30" s="208"/>
    </row>
    <row r="31" s="183" customFormat="1" ht="35.1" customHeight="1" spans="1:19">
      <c r="A31" s="103">
        <v>10</v>
      </c>
      <c r="B31" s="55" t="s">
        <v>105</v>
      </c>
      <c r="C31" s="57"/>
      <c r="D31" s="57"/>
      <c r="E31" s="57"/>
      <c r="F31" s="57">
        <f>(((I31-3000)*(28-12)/7000+12)+((I31-3000)*(10-5)/7000+5))</f>
        <v>33.0875</v>
      </c>
      <c r="G31" s="57">
        <f t="shared" si="7"/>
        <v>33.0875</v>
      </c>
      <c r="H31" s="58" t="s">
        <v>56</v>
      </c>
      <c r="I31" s="177">
        <f>I30</f>
        <v>8362.5</v>
      </c>
      <c r="J31" s="59">
        <f t="shared" si="9"/>
        <v>0.00395665171898356</v>
      </c>
      <c r="K31" s="107"/>
      <c r="L31" s="208"/>
      <c r="M31" s="208"/>
      <c r="N31" s="208"/>
      <c r="O31" s="208"/>
      <c r="P31" s="208"/>
      <c r="Q31" s="208"/>
      <c r="R31" s="208"/>
      <c r="S31" s="208"/>
    </row>
    <row r="32" s="183" customFormat="1" ht="35.1" customHeight="1" spans="1:19">
      <c r="A32" s="103">
        <v>11</v>
      </c>
      <c r="B32" s="55" t="s">
        <v>106</v>
      </c>
      <c r="C32" s="57"/>
      <c r="D32" s="57"/>
      <c r="E32" s="57"/>
      <c r="F32" s="57">
        <f>(((I32-3000)*(14-6)/7000+6)+((I32-3000)*(8-4)/7000+4))</f>
        <v>19.1928571428571</v>
      </c>
      <c r="G32" s="57">
        <f t="shared" si="7"/>
        <v>19.1928571428571</v>
      </c>
      <c r="H32" s="58" t="s">
        <v>56</v>
      </c>
      <c r="I32" s="177">
        <f>I31</f>
        <v>8362.5</v>
      </c>
      <c r="J32" s="59">
        <f t="shared" si="9"/>
        <v>0.00229510997224002</v>
      </c>
      <c r="K32" s="107"/>
      <c r="L32" s="208"/>
      <c r="M32" s="208"/>
      <c r="N32" s="208"/>
      <c r="O32" s="208"/>
      <c r="P32" s="208"/>
      <c r="Q32" s="208"/>
      <c r="R32" s="208"/>
      <c r="S32" s="208"/>
    </row>
    <row r="33" s="183" customFormat="1" ht="35.1" customHeight="1" spans="1:19">
      <c r="A33" s="103">
        <v>12</v>
      </c>
      <c r="B33" s="55" t="s">
        <v>66</v>
      </c>
      <c r="C33" s="32"/>
      <c r="D33" s="32"/>
      <c r="E33" s="32"/>
      <c r="F33" s="57">
        <f t="shared" ref="F33:F36" si="10">I33*J33</f>
        <v>20.90625</v>
      </c>
      <c r="G33" s="57">
        <f t="shared" si="7"/>
        <v>20.90625</v>
      </c>
      <c r="H33" s="58" t="s">
        <v>56</v>
      </c>
      <c r="I33" s="177">
        <f>G5</f>
        <v>8362.5</v>
      </c>
      <c r="J33" s="59">
        <v>0.0025</v>
      </c>
      <c r="K33" s="107"/>
      <c r="L33" s="208"/>
      <c r="M33" s="208"/>
      <c r="N33" s="208"/>
      <c r="O33" s="208"/>
      <c r="P33" s="208"/>
      <c r="Q33" s="208"/>
      <c r="R33" s="208"/>
      <c r="S33" s="208"/>
    </row>
    <row r="34" s="183" customFormat="1" ht="35.1" customHeight="1" spans="1:19">
      <c r="A34" s="103">
        <v>13</v>
      </c>
      <c r="B34" s="55" t="s">
        <v>107</v>
      </c>
      <c r="C34" s="32"/>
      <c r="D34" s="32"/>
      <c r="E34" s="32"/>
      <c r="F34" s="57">
        <f t="shared" si="10"/>
        <v>25.92375</v>
      </c>
      <c r="G34" s="57">
        <f t="shared" si="7"/>
        <v>25.92375</v>
      </c>
      <c r="H34" s="58" t="s">
        <v>56</v>
      </c>
      <c r="I34" s="177">
        <f>G5</f>
        <v>8362.5</v>
      </c>
      <c r="J34" s="59">
        <v>0.0031</v>
      </c>
      <c r="K34" s="107"/>
      <c r="L34" s="208"/>
      <c r="M34" s="208"/>
      <c r="N34" s="208"/>
      <c r="O34" s="208"/>
      <c r="P34" s="208"/>
      <c r="Q34" s="208"/>
      <c r="R34" s="208"/>
      <c r="S34" s="208"/>
    </row>
    <row r="35" s="183" customFormat="1" ht="35.1" customHeight="1" spans="1:19">
      <c r="A35" s="103">
        <v>14</v>
      </c>
      <c r="B35" s="55" t="s">
        <v>108</v>
      </c>
      <c r="C35" s="32"/>
      <c r="D35" s="32"/>
      <c r="E35" s="32"/>
      <c r="F35" s="57">
        <f>I35*2/10000</f>
        <v>3</v>
      </c>
      <c r="G35" s="57">
        <f t="shared" si="7"/>
        <v>3</v>
      </c>
      <c r="H35" s="58" t="s">
        <v>102</v>
      </c>
      <c r="I35" s="177">
        <f>I25</f>
        <v>15000</v>
      </c>
      <c r="J35" s="38">
        <v>2</v>
      </c>
      <c r="K35" s="107"/>
      <c r="L35" s="208"/>
      <c r="M35" s="208"/>
      <c r="N35" s="208"/>
      <c r="O35" s="208"/>
      <c r="P35" s="208"/>
      <c r="Q35" s="208"/>
      <c r="R35" s="208"/>
      <c r="S35" s="208"/>
    </row>
    <row r="36" s="183" customFormat="1" ht="35.1" customHeight="1" spans="1:19">
      <c r="A36" s="103">
        <v>15</v>
      </c>
      <c r="B36" s="55" t="s">
        <v>109</v>
      </c>
      <c r="C36" s="32"/>
      <c r="D36" s="32"/>
      <c r="E36" s="32"/>
      <c r="F36" s="57">
        <f t="shared" si="10"/>
        <v>15.88875</v>
      </c>
      <c r="G36" s="57">
        <f t="shared" si="7"/>
        <v>15.88875</v>
      </c>
      <c r="H36" s="58" t="s">
        <v>56</v>
      </c>
      <c r="I36" s="177">
        <f>G5</f>
        <v>8362.5</v>
      </c>
      <c r="J36" s="59">
        <v>0.0019</v>
      </c>
      <c r="K36" s="107"/>
      <c r="L36" s="208"/>
      <c r="M36" s="208"/>
      <c r="N36" s="208"/>
      <c r="O36" s="208"/>
      <c r="P36" s="208"/>
      <c r="Q36" s="208"/>
      <c r="R36" s="208"/>
      <c r="S36" s="208"/>
    </row>
    <row r="37" s="183" customFormat="1" ht="35.1" customHeight="1" spans="1:19">
      <c r="A37" s="103">
        <v>16</v>
      </c>
      <c r="B37" s="55" t="s">
        <v>110</v>
      </c>
      <c r="C37" s="32"/>
      <c r="D37" s="32"/>
      <c r="E37" s="32"/>
      <c r="F37" s="57">
        <f>I37*J37/10000</f>
        <v>10</v>
      </c>
      <c r="G37" s="57">
        <f t="shared" si="7"/>
        <v>10</v>
      </c>
      <c r="H37" s="58" t="s">
        <v>53</v>
      </c>
      <c r="I37" s="178">
        <v>1</v>
      </c>
      <c r="J37" s="104">
        <v>100000</v>
      </c>
      <c r="K37" s="107"/>
      <c r="L37" s="208"/>
      <c r="M37" s="208"/>
      <c r="N37" s="208"/>
      <c r="O37" s="208"/>
      <c r="P37" s="208"/>
      <c r="Q37" s="208"/>
      <c r="R37" s="208"/>
      <c r="S37" s="208"/>
    </row>
    <row r="38" s="183" customFormat="1" ht="35.1" customHeight="1" spans="1:19">
      <c r="A38" s="103">
        <v>17</v>
      </c>
      <c r="B38" s="55" t="s">
        <v>111</v>
      </c>
      <c r="C38" s="32"/>
      <c r="D38" s="32"/>
      <c r="E38" s="32"/>
      <c r="F38" s="57">
        <f>I38*J38/10000</f>
        <v>7.5</v>
      </c>
      <c r="G38" s="57">
        <f t="shared" si="7"/>
        <v>7.5</v>
      </c>
      <c r="H38" s="58" t="s">
        <v>102</v>
      </c>
      <c r="I38" s="177">
        <f>I35</f>
        <v>15000</v>
      </c>
      <c r="J38" s="178">
        <v>5</v>
      </c>
      <c r="K38" s="107"/>
      <c r="L38" s="208"/>
      <c r="M38" s="208"/>
      <c r="N38" s="208"/>
      <c r="O38" s="208"/>
      <c r="P38" s="208"/>
      <c r="Q38" s="208"/>
      <c r="R38" s="208"/>
      <c r="S38" s="208"/>
    </row>
    <row r="39" s="185" customFormat="1" ht="35.1" customHeight="1" spans="1:19">
      <c r="A39" s="42" t="s">
        <v>14</v>
      </c>
      <c r="B39" s="62" t="s">
        <v>82</v>
      </c>
      <c r="C39" s="26"/>
      <c r="D39" s="26"/>
      <c r="E39" s="26"/>
      <c r="F39" s="26">
        <f>I39*J39</f>
        <v>725.392188571429</v>
      </c>
      <c r="G39" s="26">
        <f t="shared" si="7"/>
        <v>725.392188571429</v>
      </c>
      <c r="H39" s="45" t="s">
        <v>56</v>
      </c>
      <c r="I39" s="26">
        <f>G21+G5</f>
        <v>9067.40235714286</v>
      </c>
      <c r="J39" s="63">
        <v>0.08</v>
      </c>
      <c r="K39" s="27">
        <f>G39/G40</f>
        <v>0.0740740740740741</v>
      </c>
      <c r="L39" s="180"/>
      <c r="M39" s="180"/>
      <c r="N39" s="180"/>
      <c r="O39" s="180"/>
      <c r="P39" s="180"/>
      <c r="Q39" s="180"/>
      <c r="R39" s="180"/>
      <c r="S39" s="180"/>
    </row>
    <row r="40" s="185" customFormat="1" ht="35.1" customHeight="1" spans="1:19">
      <c r="A40" s="65" t="s">
        <v>83</v>
      </c>
      <c r="B40" s="66" t="s">
        <v>17</v>
      </c>
      <c r="C40" s="68">
        <f>C5</f>
        <v>6450</v>
      </c>
      <c r="D40" s="68">
        <f>D5</f>
        <v>60</v>
      </c>
      <c r="E40" s="68">
        <f>E5</f>
        <v>1852.5</v>
      </c>
      <c r="F40" s="68">
        <f>F21+F39</f>
        <v>1430.29454571429</v>
      </c>
      <c r="G40" s="68">
        <f>G5+G21+G39</f>
        <v>9792.79454571429</v>
      </c>
      <c r="H40" s="69" t="s">
        <v>102</v>
      </c>
      <c r="I40" s="70">
        <f>I38</f>
        <v>15000</v>
      </c>
      <c r="J40" s="179">
        <f>G40/I40*10000</f>
        <v>6528.52969714286</v>
      </c>
      <c r="K40" s="71">
        <v>1</v>
      </c>
      <c r="L40" s="180"/>
      <c r="M40" s="180"/>
      <c r="N40" s="180"/>
      <c r="O40" s="180"/>
      <c r="P40" s="180"/>
      <c r="Q40" s="180"/>
      <c r="R40" s="180"/>
      <c r="S40" s="180"/>
    </row>
  </sheetData>
  <sheetProtection formatCells="0" formatColumns="0" formatRows="0" insertRows="0" insertColumns="0" insertHyperlinks="0" deleteColumns="0" deleteRows="0" sort="0" autoFilter="0" pivotTables="0"/>
  <mergeCells count="6">
    <mergeCell ref="A1:K1"/>
    <mergeCell ref="A2:K2"/>
    <mergeCell ref="C3:G3"/>
    <mergeCell ref="H3:J3"/>
    <mergeCell ref="A3:A4"/>
    <mergeCell ref="B3:B4"/>
  </mergeCells>
  <pageMargins left="0.590277777777778" right="0.590277777777778" top="0.590277777777778" bottom="0.590277777777778" header="0.5" footer="0.5"/>
  <pageSetup paperSize="9" scale="61" orientation="landscape"/>
  <headerFooter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"/>
  <sheetViews>
    <sheetView zoomScale="70" zoomScaleNormal="70" zoomScaleSheetLayoutView="85" workbookViewId="0">
      <selection activeCell="I15" sqref="I15"/>
    </sheetView>
  </sheetViews>
  <sheetFormatPr defaultColWidth="10.2857142857143" defaultRowHeight="27.95" customHeight="1"/>
  <cols>
    <col min="1" max="1" width="11.4285714285714" style="6"/>
    <col min="2" max="2" width="52.2857142857143" style="7" customWidth="1"/>
    <col min="3" max="3" width="20.1428571428571" style="75"/>
    <col min="4" max="4" width="17.4285714285714" style="7" customWidth="1"/>
    <col min="5" max="5" width="20.2857142857143" style="6"/>
    <col min="6" max="6" width="13.5714285714286" style="7" customWidth="1"/>
    <col min="7" max="7" width="17.7142857142857" style="8" customWidth="1"/>
    <col min="8" max="8" width="10.2857142857143" style="6"/>
    <col min="9" max="9" width="20.1428571428571" style="75"/>
    <col min="10" max="10" width="20.2857142857143" style="75"/>
    <col min="11" max="11" width="17.7142857142857" style="7" customWidth="1"/>
    <col min="12" max="12" width="10.2857142857143" style="7"/>
    <col min="13" max="13" width="18.4285714285714" style="7"/>
    <col min="14" max="14" width="16.2857142857143" style="7"/>
    <col min="15" max="15" width="42" style="7" customWidth="1"/>
    <col min="16" max="16" width="27.7142857142857" style="7" customWidth="1"/>
    <col min="17" max="17" width="10.4285714285714" style="7"/>
    <col min="18" max="18" width="24.5714285714286" style="7" customWidth="1"/>
    <col min="19" max="19" width="15.5714285714286" style="7" customWidth="1"/>
    <col min="20" max="16384" width="10.2857142857143" style="7"/>
  </cols>
  <sheetData>
    <row r="1" ht="42" customHeight="1" spans="1:19">
      <c r="A1" s="186" t="s">
        <v>84</v>
      </c>
      <c r="B1" s="186"/>
      <c r="C1" s="187"/>
      <c r="D1" s="186"/>
      <c r="E1" s="186"/>
      <c r="F1" s="186"/>
      <c r="G1" s="188"/>
      <c r="H1" s="186"/>
      <c r="I1" s="187"/>
      <c r="J1" s="187"/>
      <c r="K1" s="186"/>
    </row>
    <row r="2" customHeight="1" spans="1:19">
      <c r="A2" s="189" t="s">
        <v>85</v>
      </c>
      <c r="B2" s="189"/>
      <c r="C2" s="190"/>
      <c r="D2" s="189"/>
      <c r="E2" s="189"/>
      <c r="F2" s="189"/>
      <c r="G2" s="191"/>
      <c r="H2" s="189"/>
      <c r="I2" s="190"/>
      <c r="J2" s="190"/>
      <c r="K2" s="189"/>
    </row>
    <row r="3" s="180" customFormat="1" ht="35.1" customHeight="1" spans="1:19">
      <c r="A3" s="192" t="s">
        <v>1</v>
      </c>
      <c r="B3" s="193" t="s">
        <v>20</v>
      </c>
      <c r="C3" s="194" t="s">
        <v>86</v>
      </c>
      <c r="D3" s="194"/>
      <c r="E3" s="194"/>
      <c r="F3" s="194"/>
      <c r="G3" s="195"/>
      <c r="H3" s="194" t="s">
        <v>22</v>
      </c>
      <c r="I3" s="196"/>
      <c r="J3" s="196"/>
      <c r="K3" s="197" t="s">
        <v>23</v>
      </c>
    </row>
    <row r="4" s="180" customFormat="1" ht="35.1" customHeight="1" spans="1:19">
      <c r="A4" s="198"/>
      <c r="B4" s="199"/>
      <c r="C4" s="199" t="s">
        <v>5</v>
      </c>
      <c r="D4" s="199" t="s">
        <v>6</v>
      </c>
      <c r="E4" s="199" t="s">
        <v>7</v>
      </c>
      <c r="F4" s="199" t="s">
        <v>8</v>
      </c>
      <c r="G4" s="24" t="s">
        <v>9</v>
      </c>
      <c r="H4" s="45" t="s">
        <v>24</v>
      </c>
      <c r="I4" s="45" t="s">
        <v>25</v>
      </c>
      <c r="J4" s="199" t="s">
        <v>26</v>
      </c>
      <c r="K4" s="200"/>
    </row>
    <row r="5" s="181" customFormat="1" ht="35.1" customHeight="1" spans="1:19">
      <c r="A5" s="23" t="s">
        <v>10</v>
      </c>
      <c r="B5" s="24" t="s">
        <v>11</v>
      </c>
      <c r="C5" s="26">
        <f t="shared" ref="C5:G5" si="0">C6+C14+C22+C29</f>
        <v>8996.6</v>
      </c>
      <c r="D5" s="26">
        <f t="shared" si="0"/>
        <v>500</v>
      </c>
      <c r="E5" s="26">
        <f t="shared" si="0"/>
        <v>2704.3585</v>
      </c>
      <c r="F5" s="26"/>
      <c r="G5" s="26">
        <f t="shared" si="0"/>
        <v>12200.9585</v>
      </c>
      <c r="H5" s="21" t="s">
        <v>56</v>
      </c>
      <c r="I5" s="26"/>
      <c r="J5" s="26"/>
      <c r="K5" s="27">
        <f>G5/G56</f>
        <v>0.854760433350683</v>
      </c>
    </row>
    <row r="6" s="182" customFormat="1" ht="35.1" customHeight="1" spans="1:19">
      <c r="A6" s="162" t="s">
        <v>28</v>
      </c>
      <c r="B6" s="163" t="s">
        <v>112</v>
      </c>
      <c r="C6" s="201">
        <f t="shared" ref="C6:G6" si="1">SUM(C7:C13)</f>
        <v>0</v>
      </c>
      <c r="D6" s="201">
        <f t="shared" si="1"/>
        <v>120</v>
      </c>
      <c r="E6" s="201">
        <f t="shared" si="1"/>
        <v>115</v>
      </c>
      <c r="F6" s="201"/>
      <c r="G6" s="201">
        <f t="shared" si="1"/>
        <v>235</v>
      </c>
      <c r="H6" s="45" t="s">
        <v>27</v>
      </c>
      <c r="I6" s="26"/>
      <c r="J6" s="202" t="e">
        <f>G6/I6*10000</f>
        <v>#DIV/0!</v>
      </c>
      <c r="K6" s="164"/>
      <c r="L6" s="203"/>
      <c r="M6" s="203"/>
      <c r="N6" s="203"/>
      <c r="O6" s="204"/>
      <c r="P6" s="204"/>
      <c r="Q6" s="204"/>
      <c r="R6" s="204"/>
      <c r="S6" s="204"/>
    </row>
    <row r="7" s="183" customFormat="1" ht="35.1" customHeight="1" spans="1:19">
      <c r="A7" s="205">
        <v>1</v>
      </c>
      <c r="B7" s="3" t="s">
        <v>88</v>
      </c>
      <c r="C7" s="206">
        <f>I7*J7/10000</f>
        <v>0</v>
      </c>
      <c r="D7" s="32"/>
      <c r="E7" s="206"/>
      <c r="F7" s="123"/>
      <c r="G7" s="32">
        <f t="shared" ref="G7:G13" si="2">SUM(C7:F7)</f>
        <v>0</v>
      </c>
      <c r="H7" s="21" t="s">
        <v>27</v>
      </c>
      <c r="I7" s="32">
        <f>I6</f>
        <v>0</v>
      </c>
      <c r="J7" s="207">
        <v>3500</v>
      </c>
      <c r="K7" s="60"/>
      <c r="L7" s="208"/>
      <c r="M7" s="208"/>
      <c r="N7" s="208"/>
      <c r="O7" s="209"/>
      <c r="P7" s="209"/>
      <c r="Q7" s="209"/>
      <c r="R7" s="209"/>
      <c r="S7" s="209"/>
    </row>
    <row r="8" s="183" customFormat="1" ht="35.1" customHeight="1" spans="1:19">
      <c r="A8" s="205">
        <v>2</v>
      </c>
      <c r="B8" s="3" t="s">
        <v>39</v>
      </c>
      <c r="C8" s="206"/>
      <c r="D8" s="32"/>
      <c r="E8" s="206">
        <f t="shared" ref="E8:E10" si="3">I8*J8/10000</f>
        <v>0</v>
      </c>
      <c r="F8" s="123"/>
      <c r="G8" s="32">
        <f t="shared" si="2"/>
        <v>0</v>
      </c>
      <c r="H8" s="21" t="s">
        <v>27</v>
      </c>
      <c r="I8" s="32">
        <f>I6</f>
        <v>0</v>
      </c>
      <c r="J8" s="207">
        <v>220</v>
      </c>
      <c r="K8" s="60"/>
      <c r="L8" s="208"/>
      <c r="M8" s="208"/>
      <c r="N8" s="208"/>
      <c r="O8" s="209"/>
      <c r="P8" s="209"/>
      <c r="Q8" s="209"/>
      <c r="R8" s="209"/>
      <c r="S8" s="209"/>
    </row>
    <row r="9" s="183" customFormat="1" ht="35.1" customHeight="1" spans="1:19">
      <c r="A9" s="205">
        <v>3</v>
      </c>
      <c r="B9" s="3" t="s">
        <v>32</v>
      </c>
      <c r="C9" s="206"/>
      <c r="D9" s="32"/>
      <c r="E9" s="206">
        <f t="shared" si="3"/>
        <v>0</v>
      </c>
      <c r="F9" s="123"/>
      <c r="G9" s="32">
        <f t="shared" si="2"/>
        <v>0</v>
      </c>
      <c r="H9" s="21" t="s">
        <v>27</v>
      </c>
      <c r="I9" s="32">
        <f>I6</f>
        <v>0</v>
      </c>
      <c r="J9" s="207">
        <v>180</v>
      </c>
      <c r="K9" s="60"/>
      <c r="L9" s="208"/>
      <c r="M9" s="208"/>
      <c r="N9" s="208"/>
      <c r="O9" s="209"/>
      <c r="P9" s="209"/>
      <c r="Q9" s="209"/>
      <c r="R9" s="209"/>
      <c r="S9" s="209"/>
    </row>
    <row r="10" s="183" customFormat="1" ht="35.1" customHeight="1" spans="1:19">
      <c r="A10" s="205">
        <v>4</v>
      </c>
      <c r="B10" s="3" t="s">
        <v>90</v>
      </c>
      <c r="C10" s="206"/>
      <c r="D10" s="32"/>
      <c r="E10" s="206">
        <f t="shared" si="3"/>
        <v>0</v>
      </c>
      <c r="F10" s="123"/>
      <c r="G10" s="32">
        <f t="shared" si="2"/>
        <v>0</v>
      </c>
      <c r="H10" s="21" t="s">
        <v>27</v>
      </c>
      <c r="I10" s="32">
        <f>I6</f>
        <v>0</v>
      </c>
      <c r="J10" s="207">
        <v>420</v>
      </c>
      <c r="K10" s="60"/>
      <c r="L10" s="208"/>
      <c r="M10" s="208"/>
      <c r="N10" s="208"/>
      <c r="O10" s="209"/>
      <c r="P10" s="209"/>
      <c r="Q10" s="209"/>
      <c r="R10" s="209"/>
      <c r="S10" s="209"/>
    </row>
    <row r="11" s="183" customFormat="1" ht="35.1" customHeight="1" spans="1:19">
      <c r="A11" s="205">
        <v>5</v>
      </c>
      <c r="B11" s="3" t="s">
        <v>113</v>
      </c>
      <c r="C11" s="206"/>
      <c r="D11" s="32">
        <f>I11*J11/10000</f>
        <v>120</v>
      </c>
      <c r="E11" s="206"/>
      <c r="F11" s="123"/>
      <c r="G11" s="32">
        <f t="shared" si="2"/>
        <v>120</v>
      </c>
      <c r="H11" s="21" t="s">
        <v>35</v>
      </c>
      <c r="I11" s="32">
        <v>3</v>
      </c>
      <c r="J11" s="207">
        <v>400000</v>
      </c>
      <c r="K11" s="60"/>
      <c r="L11" s="208"/>
      <c r="M11" s="208"/>
      <c r="N11" s="208"/>
      <c r="O11" s="209">
        <f>I6+I14</f>
        <v>19026</v>
      </c>
      <c r="P11" s="209"/>
      <c r="Q11" s="209"/>
      <c r="R11" s="209"/>
      <c r="S11" s="209"/>
    </row>
    <row r="12" s="184" customFormat="1" ht="35.1" customHeight="1" spans="1:19">
      <c r="A12" s="84">
        <v>6</v>
      </c>
      <c r="B12" s="210" t="s">
        <v>91</v>
      </c>
      <c r="C12" s="32"/>
      <c r="D12" s="32"/>
      <c r="E12" s="32">
        <f t="shared" ref="E12:E18" si="4">I12*J12/10000</f>
        <v>0</v>
      </c>
      <c r="F12" s="57"/>
      <c r="G12" s="32">
        <f t="shared" si="2"/>
        <v>0</v>
      </c>
      <c r="H12" s="21" t="s">
        <v>27</v>
      </c>
      <c r="I12" s="32">
        <f>I6</f>
        <v>0</v>
      </c>
      <c r="J12" s="207">
        <v>70</v>
      </c>
      <c r="K12" s="36"/>
      <c r="L12" s="211"/>
      <c r="M12" s="211"/>
      <c r="N12" s="211"/>
      <c r="O12" s="211"/>
      <c r="P12" s="211"/>
      <c r="Q12" s="211"/>
      <c r="R12" s="211"/>
      <c r="S12" s="211"/>
    </row>
    <row r="13" s="184" customFormat="1" ht="35.1" customHeight="1" spans="1:19">
      <c r="A13" s="84">
        <v>7</v>
      </c>
      <c r="B13" s="210" t="s">
        <v>114</v>
      </c>
      <c r="C13" s="32"/>
      <c r="D13" s="32"/>
      <c r="E13" s="32">
        <f t="shared" si="4"/>
        <v>115</v>
      </c>
      <c r="F13" s="57"/>
      <c r="G13" s="32">
        <f t="shared" si="2"/>
        <v>115</v>
      </c>
      <c r="H13" s="21" t="s">
        <v>115</v>
      </c>
      <c r="I13" s="32">
        <v>1</v>
      </c>
      <c r="J13" s="207">
        <v>1150000</v>
      </c>
      <c r="K13" s="36"/>
      <c r="L13" s="211"/>
      <c r="M13" s="211"/>
      <c r="N13" s="211"/>
      <c r="O13" s="211"/>
      <c r="P13" s="211"/>
      <c r="Q13" s="211"/>
      <c r="R13" s="211"/>
      <c r="S13" s="211"/>
    </row>
    <row r="14" s="182" customFormat="1" ht="35.1" customHeight="1" spans="1:19">
      <c r="A14" s="162" t="s">
        <v>36</v>
      </c>
      <c r="B14" s="163" t="s">
        <v>116</v>
      </c>
      <c r="C14" s="201">
        <f t="shared" ref="C14:G14" si="5">SUM(C15:C21)</f>
        <v>6659.1</v>
      </c>
      <c r="D14" s="201">
        <f t="shared" si="5"/>
        <v>120</v>
      </c>
      <c r="E14" s="201">
        <f t="shared" si="5"/>
        <v>1808.314</v>
      </c>
      <c r="F14" s="201"/>
      <c r="G14" s="201">
        <f t="shared" si="5"/>
        <v>8587.414</v>
      </c>
      <c r="H14" s="45" t="s">
        <v>27</v>
      </c>
      <c r="I14" s="26">
        <v>19026</v>
      </c>
      <c r="J14" s="202">
        <f>G14/I14*10000</f>
        <v>4513.51518974036</v>
      </c>
      <c r="K14" s="164"/>
      <c r="L14" s="203"/>
      <c r="M14" s="203"/>
      <c r="N14" s="203"/>
      <c r="O14" s="204"/>
      <c r="P14" s="204"/>
      <c r="Q14" s="204"/>
      <c r="R14" s="204"/>
      <c r="S14" s="204"/>
    </row>
    <row r="15" s="183" customFormat="1" ht="35.1" customHeight="1" spans="1:19">
      <c r="A15" s="205">
        <v>1</v>
      </c>
      <c r="B15" s="3" t="s">
        <v>88</v>
      </c>
      <c r="C15" s="206">
        <f>I15*J15/10000</f>
        <v>6659.1</v>
      </c>
      <c r="D15" s="32"/>
      <c r="E15" s="206"/>
      <c r="F15" s="123"/>
      <c r="G15" s="32">
        <f t="shared" ref="G15:G21" si="6">SUM(C15:F15)</f>
        <v>6659.1</v>
      </c>
      <c r="H15" s="21" t="s">
        <v>27</v>
      </c>
      <c r="I15" s="32">
        <f>I14</f>
        <v>19026</v>
      </c>
      <c r="J15" s="207">
        <v>3500</v>
      </c>
      <c r="K15" s="60"/>
      <c r="L15" s="208"/>
      <c r="M15" s="208"/>
      <c r="N15" s="208"/>
      <c r="O15" s="209"/>
      <c r="P15" s="209"/>
      <c r="Q15" s="209"/>
      <c r="R15" s="209"/>
      <c r="S15" s="209"/>
    </row>
    <row r="16" s="183" customFormat="1" ht="35.1" customHeight="1" spans="1:19">
      <c r="A16" s="205">
        <v>2</v>
      </c>
      <c r="B16" s="3" t="s">
        <v>39</v>
      </c>
      <c r="C16" s="206"/>
      <c r="D16" s="32"/>
      <c r="E16" s="206">
        <f t="shared" si="4"/>
        <v>418.572</v>
      </c>
      <c r="F16" s="123"/>
      <c r="G16" s="32">
        <f t="shared" si="6"/>
        <v>418.572</v>
      </c>
      <c r="H16" s="21" t="s">
        <v>27</v>
      </c>
      <c r="I16" s="32">
        <f>I14</f>
        <v>19026</v>
      </c>
      <c r="J16" s="207">
        <v>220</v>
      </c>
      <c r="K16" s="60"/>
      <c r="L16" s="208"/>
      <c r="M16" s="208"/>
      <c r="N16" s="208"/>
      <c r="O16" s="209"/>
      <c r="P16" s="209"/>
      <c r="Q16" s="209"/>
      <c r="R16" s="209"/>
      <c r="S16" s="209"/>
    </row>
    <row r="17" s="183" customFormat="1" ht="35.1" customHeight="1" spans="1:19">
      <c r="A17" s="205">
        <v>3</v>
      </c>
      <c r="B17" s="3" t="s">
        <v>32</v>
      </c>
      <c r="C17" s="206"/>
      <c r="D17" s="32"/>
      <c r="E17" s="206">
        <f t="shared" si="4"/>
        <v>342.468</v>
      </c>
      <c r="F17" s="123"/>
      <c r="G17" s="32">
        <f t="shared" si="6"/>
        <v>342.468</v>
      </c>
      <c r="H17" s="21" t="s">
        <v>27</v>
      </c>
      <c r="I17" s="32">
        <f>I14</f>
        <v>19026</v>
      </c>
      <c r="J17" s="207">
        <v>180</v>
      </c>
      <c r="K17" s="60"/>
      <c r="L17" s="208"/>
      <c r="M17" s="208"/>
      <c r="N17" s="208"/>
      <c r="O17" s="209"/>
      <c r="P17" s="209"/>
      <c r="Q17" s="209"/>
      <c r="R17" s="209"/>
      <c r="S17" s="209"/>
    </row>
    <row r="18" s="183" customFormat="1" ht="35.1" customHeight="1" spans="1:19">
      <c r="A18" s="205">
        <v>4</v>
      </c>
      <c r="B18" s="3" t="s">
        <v>90</v>
      </c>
      <c r="C18" s="206"/>
      <c r="D18" s="32"/>
      <c r="E18" s="206">
        <f t="shared" si="4"/>
        <v>799.092</v>
      </c>
      <c r="F18" s="123"/>
      <c r="G18" s="32">
        <f t="shared" si="6"/>
        <v>799.092</v>
      </c>
      <c r="H18" s="21" t="s">
        <v>27</v>
      </c>
      <c r="I18" s="32">
        <f>I14</f>
        <v>19026</v>
      </c>
      <c r="J18" s="207">
        <v>420</v>
      </c>
      <c r="K18" s="60"/>
      <c r="L18" s="208"/>
      <c r="M18" s="208"/>
      <c r="N18" s="208"/>
      <c r="O18" s="209"/>
      <c r="P18" s="209"/>
      <c r="Q18" s="209"/>
      <c r="R18" s="209"/>
      <c r="S18" s="209"/>
    </row>
    <row r="19" s="183" customFormat="1" ht="35.1" customHeight="1" spans="1:19">
      <c r="A19" s="205">
        <v>5</v>
      </c>
      <c r="B19" s="3" t="s">
        <v>113</v>
      </c>
      <c r="C19" s="206"/>
      <c r="D19" s="32">
        <f>I19*J19/10000</f>
        <v>120</v>
      </c>
      <c r="E19" s="206"/>
      <c r="F19" s="123"/>
      <c r="G19" s="32">
        <f t="shared" si="6"/>
        <v>120</v>
      </c>
      <c r="H19" s="21" t="s">
        <v>35</v>
      </c>
      <c r="I19" s="32">
        <v>3</v>
      </c>
      <c r="J19" s="207">
        <v>400000</v>
      </c>
      <c r="K19" s="60"/>
      <c r="L19" s="208"/>
      <c r="M19" s="208"/>
      <c r="N19" s="208"/>
      <c r="O19" s="209"/>
      <c r="P19" s="209"/>
      <c r="Q19" s="209"/>
      <c r="R19" s="209"/>
      <c r="S19" s="209"/>
    </row>
    <row r="20" s="184" customFormat="1" ht="35.1" customHeight="1" spans="1:19">
      <c r="A20" s="84">
        <v>6</v>
      </c>
      <c r="B20" s="210" t="s">
        <v>91</v>
      </c>
      <c r="C20" s="32"/>
      <c r="D20" s="32"/>
      <c r="E20" s="32">
        <f t="shared" ref="E20:E26" si="7">I20*J20/10000</f>
        <v>133.182</v>
      </c>
      <c r="F20" s="57"/>
      <c r="G20" s="32">
        <f t="shared" si="6"/>
        <v>133.182</v>
      </c>
      <c r="H20" s="21" t="s">
        <v>27</v>
      </c>
      <c r="I20" s="32">
        <f>I14</f>
        <v>19026</v>
      </c>
      <c r="J20" s="207">
        <v>70</v>
      </c>
      <c r="K20" s="36"/>
      <c r="L20" s="211"/>
      <c r="M20" s="211"/>
      <c r="N20" s="211"/>
      <c r="O20" s="211"/>
      <c r="P20" s="211"/>
      <c r="Q20" s="211"/>
      <c r="R20" s="211"/>
      <c r="S20" s="211"/>
    </row>
    <row r="21" s="184" customFormat="1" ht="35.1" customHeight="1" spans="1:19">
      <c r="A21" s="84">
        <v>7</v>
      </c>
      <c r="B21" s="210" t="s">
        <v>114</v>
      </c>
      <c r="C21" s="32"/>
      <c r="D21" s="32"/>
      <c r="E21" s="32">
        <f t="shared" si="7"/>
        <v>115</v>
      </c>
      <c r="F21" s="57"/>
      <c r="G21" s="32">
        <f t="shared" si="6"/>
        <v>115</v>
      </c>
      <c r="H21" s="21" t="s">
        <v>115</v>
      </c>
      <c r="I21" s="32">
        <v>1</v>
      </c>
      <c r="J21" s="207">
        <v>1150000</v>
      </c>
      <c r="K21" s="36"/>
      <c r="L21" s="211"/>
      <c r="M21" s="211"/>
      <c r="N21" s="211"/>
      <c r="O21" s="211"/>
      <c r="P21" s="211"/>
      <c r="Q21" s="211"/>
      <c r="R21" s="211"/>
      <c r="S21" s="211"/>
    </row>
    <row r="22" s="185" customFormat="1" ht="35.1" customHeight="1" spans="1:19">
      <c r="A22" s="162" t="s">
        <v>40</v>
      </c>
      <c r="B22" s="91" t="s">
        <v>117</v>
      </c>
      <c r="C22" s="26">
        <f t="shared" ref="C22:G22" si="8">SUM(C23:C28)</f>
        <v>2183.5</v>
      </c>
      <c r="D22" s="26">
        <f t="shared" si="8"/>
        <v>260</v>
      </c>
      <c r="E22" s="26">
        <f t="shared" si="8"/>
        <v>495.6545</v>
      </c>
      <c r="F22" s="26"/>
      <c r="G22" s="26">
        <f t="shared" si="8"/>
        <v>2939.1545</v>
      </c>
      <c r="H22" s="45" t="s">
        <v>27</v>
      </c>
      <c r="I22" s="26">
        <v>4367</v>
      </c>
      <c r="J22" s="202"/>
      <c r="K22" s="92"/>
      <c r="L22" s="180"/>
      <c r="M22" s="180"/>
      <c r="N22" s="180"/>
      <c r="O22" s="180"/>
      <c r="P22" s="180"/>
      <c r="Q22" s="180"/>
      <c r="R22" s="180"/>
      <c r="S22" s="180"/>
    </row>
    <row r="23" s="184" customFormat="1" ht="35.1" customHeight="1" spans="1:19">
      <c r="A23" s="205">
        <v>1</v>
      </c>
      <c r="B23" s="210" t="s">
        <v>118</v>
      </c>
      <c r="C23" s="32">
        <f>I23*J23/10000</f>
        <v>2183.5</v>
      </c>
      <c r="D23" s="32"/>
      <c r="E23" s="32"/>
      <c r="F23" s="57"/>
      <c r="G23" s="32">
        <f t="shared" ref="G23:G28" si="9">SUM(C23:F23)</f>
        <v>2183.5</v>
      </c>
      <c r="H23" s="21" t="s">
        <v>27</v>
      </c>
      <c r="I23" s="32">
        <f>I22</f>
        <v>4367</v>
      </c>
      <c r="J23" s="207">
        <v>5000</v>
      </c>
      <c r="K23" s="36"/>
      <c r="L23" s="211"/>
      <c r="M23" s="211"/>
      <c r="N23" s="211"/>
      <c r="O23" s="211"/>
      <c r="P23" s="211"/>
      <c r="Q23" s="211"/>
      <c r="R23" s="211"/>
      <c r="S23" s="211"/>
    </row>
    <row r="24" s="184" customFormat="1" ht="35.1" customHeight="1" spans="1:19">
      <c r="A24" s="84">
        <v>2</v>
      </c>
      <c r="B24" s="86" t="s">
        <v>31</v>
      </c>
      <c r="C24" s="32"/>
      <c r="D24" s="32"/>
      <c r="E24" s="32">
        <f t="shared" si="7"/>
        <v>96.074</v>
      </c>
      <c r="F24" s="57"/>
      <c r="G24" s="32">
        <f t="shared" si="9"/>
        <v>96.074</v>
      </c>
      <c r="H24" s="21" t="s">
        <v>27</v>
      </c>
      <c r="I24" s="32">
        <f>I22</f>
        <v>4367</v>
      </c>
      <c r="J24" s="207">
        <v>220</v>
      </c>
      <c r="K24" s="36"/>
      <c r="L24" s="211"/>
      <c r="M24" s="211"/>
      <c r="N24" s="211"/>
      <c r="O24" s="211"/>
      <c r="P24" s="211"/>
      <c r="Q24" s="211"/>
      <c r="R24" s="211"/>
      <c r="S24" s="211"/>
    </row>
    <row r="25" s="184" customFormat="1" ht="35.1" customHeight="1" spans="1:19">
      <c r="A25" s="84">
        <v>3</v>
      </c>
      <c r="B25" s="87" t="s">
        <v>119</v>
      </c>
      <c r="C25" s="32"/>
      <c r="D25" s="32"/>
      <c r="E25" s="32">
        <f t="shared" si="7"/>
        <v>115.7255</v>
      </c>
      <c r="F25" s="57"/>
      <c r="G25" s="32">
        <f t="shared" si="9"/>
        <v>115.7255</v>
      </c>
      <c r="H25" s="21" t="s">
        <v>27</v>
      </c>
      <c r="I25" s="32">
        <f>I22</f>
        <v>4367</v>
      </c>
      <c r="J25" s="207">
        <v>265</v>
      </c>
      <c r="K25" s="36"/>
      <c r="L25" s="211"/>
      <c r="M25" s="211"/>
      <c r="N25" s="211"/>
      <c r="O25" s="211"/>
      <c r="P25" s="211"/>
      <c r="Q25" s="211"/>
      <c r="R25" s="211"/>
      <c r="S25" s="211"/>
    </row>
    <row r="26" s="184" customFormat="1" ht="35.1" customHeight="1" spans="1:19">
      <c r="A26" s="205">
        <v>4</v>
      </c>
      <c r="B26" s="86" t="s">
        <v>90</v>
      </c>
      <c r="C26" s="32"/>
      <c r="D26" s="32"/>
      <c r="E26" s="32">
        <f t="shared" si="7"/>
        <v>283.855</v>
      </c>
      <c r="F26" s="57"/>
      <c r="G26" s="32">
        <f t="shared" si="9"/>
        <v>283.855</v>
      </c>
      <c r="H26" s="21" t="s">
        <v>27</v>
      </c>
      <c r="I26" s="32">
        <f>I22</f>
        <v>4367</v>
      </c>
      <c r="J26" s="207">
        <v>650</v>
      </c>
      <c r="K26" s="36"/>
      <c r="L26" s="211"/>
      <c r="M26" s="211"/>
      <c r="N26" s="211"/>
      <c r="O26" s="211"/>
      <c r="P26" s="211"/>
      <c r="Q26" s="211"/>
      <c r="R26" s="211"/>
      <c r="S26" s="211"/>
    </row>
    <row r="27" s="184" customFormat="1" ht="35.1" customHeight="1" spans="1:19">
      <c r="A27" s="84">
        <v>5</v>
      </c>
      <c r="B27" s="86" t="s">
        <v>120</v>
      </c>
      <c r="C27" s="32"/>
      <c r="D27" s="32">
        <f>I27*J27/10000</f>
        <v>60</v>
      </c>
      <c r="E27" s="32"/>
      <c r="F27" s="57"/>
      <c r="G27" s="32">
        <f t="shared" si="9"/>
        <v>60</v>
      </c>
      <c r="H27" s="21" t="s">
        <v>53</v>
      </c>
      <c r="I27" s="32">
        <v>1</v>
      </c>
      <c r="J27" s="207">
        <v>600000</v>
      </c>
      <c r="K27" s="36"/>
      <c r="L27" s="211"/>
      <c r="M27" s="211"/>
      <c r="N27" s="211"/>
      <c r="O27" s="211"/>
      <c r="P27" s="211"/>
      <c r="Q27" s="211"/>
      <c r="R27" s="211"/>
      <c r="S27" s="211"/>
    </row>
    <row r="28" s="184" customFormat="1" ht="35.1" customHeight="1" spans="1:19">
      <c r="A28" s="205">
        <v>6</v>
      </c>
      <c r="B28" s="86" t="s">
        <v>121</v>
      </c>
      <c r="C28" s="32"/>
      <c r="D28" s="32">
        <f>I28*J28/10000</f>
        <v>200</v>
      </c>
      <c r="E28" s="32"/>
      <c r="F28" s="57"/>
      <c r="G28" s="32">
        <f t="shared" si="9"/>
        <v>200</v>
      </c>
      <c r="H28" s="21" t="s">
        <v>53</v>
      </c>
      <c r="I28" s="32">
        <v>1</v>
      </c>
      <c r="J28" s="207">
        <v>2000000</v>
      </c>
      <c r="K28" s="36"/>
      <c r="L28" s="211"/>
      <c r="M28" s="211"/>
      <c r="N28" s="211"/>
      <c r="O28" s="211"/>
      <c r="P28" s="211"/>
      <c r="Q28" s="211"/>
      <c r="R28" s="211"/>
      <c r="S28" s="211"/>
    </row>
    <row r="29" s="185" customFormat="1" ht="35.1" customHeight="1" spans="1:19">
      <c r="A29" s="28" t="s">
        <v>92</v>
      </c>
      <c r="B29" s="91" t="s">
        <v>93</v>
      </c>
      <c r="C29" s="26">
        <f t="shared" ref="C29:G29" si="10">SUM(C30:C36)</f>
        <v>154</v>
      </c>
      <c r="D29" s="26"/>
      <c r="E29" s="26">
        <f t="shared" si="10"/>
        <v>285.39</v>
      </c>
      <c r="F29" s="169"/>
      <c r="G29" s="169">
        <f t="shared" si="10"/>
        <v>439.39</v>
      </c>
      <c r="H29" s="45" t="s">
        <v>56</v>
      </c>
      <c r="I29" s="26"/>
      <c r="J29" s="202"/>
      <c r="K29" s="92"/>
      <c r="L29" s="180"/>
      <c r="M29" s="180"/>
      <c r="N29" s="180"/>
      <c r="O29" s="180"/>
      <c r="P29" s="180"/>
      <c r="Q29" s="180"/>
      <c r="R29" s="180"/>
      <c r="S29" s="180"/>
    </row>
    <row r="30" s="184" customFormat="1" ht="35.1" customHeight="1" spans="1:19">
      <c r="A30" s="84">
        <v>1</v>
      </c>
      <c r="B30" s="31" t="s">
        <v>94</v>
      </c>
      <c r="C30" s="212">
        <f t="shared" ref="C30:C33" si="11">I30*J30/10000</f>
        <v>97.2</v>
      </c>
      <c r="D30" s="87"/>
      <c r="E30" s="87"/>
      <c r="F30" s="31"/>
      <c r="G30" s="32">
        <f t="shared" ref="G30:G36" si="12">SUM(C30:F30)</f>
        <v>97.2</v>
      </c>
      <c r="H30" s="41" t="s">
        <v>27</v>
      </c>
      <c r="I30" s="40">
        <v>3240</v>
      </c>
      <c r="J30" s="213">
        <v>300</v>
      </c>
      <c r="K30" s="36"/>
      <c r="L30" s="211"/>
      <c r="M30" s="211"/>
      <c r="N30" s="211"/>
      <c r="O30" s="211"/>
      <c r="P30" s="211"/>
      <c r="Q30" s="211"/>
      <c r="R30" s="211"/>
      <c r="S30" s="211"/>
    </row>
    <row r="31" s="183" customFormat="1" ht="35.1" customHeight="1" spans="1:19">
      <c r="A31" s="205">
        <v>2</v>
      </c>
      <c r="B31" s="3" t="s">
        <v>95</v>
      </c>
      <c r="C31" s="212">
        <f t="shared" si="11"/>
        <v>16.8</v>
      </c>
      <c r="D31" s="87"/>
      <c r="E31" s="87"/>
      <c r="F31" s="31"/>
      <c r="G31" s="32">
        <f t="shared" si="12"/>
        <v>16.8</v>
      </c>
      <c r="H31" s="41" t="s">
        <v>27</v>
      </c>
      <c r="I31" s="40">
        <v>600</v>
      </c>
      <c r="J31" s="213">
        <v>280</v>
      </c>
      <c r="K31" s="60"/>
      <c r="L31" s="208"/>
      <c r="M31" s="208"/>
      <c r="N31" s="208"/>
      <c r="O31" s="209"/>
      <c r="P31" s="209"/>
      <c r="Q31" s="209"/>
      <c r="R31" s="209"/>
      <c r="S31" s="209"/>
    </row>
    <row r="32" s="184" customFormat="1" ht="35.1" customHeight="1" spans="1:19">
      <c r="A32" s="84">
        <v>3</v>
      </c>
      <c r="B32" s="31" t="s">
        <v>46</v>
      </c>
      <c r="C32" s="212">
        <f t="shared" si="11"/>
        <v>20</v>
      </c>
      <c r="D32" s="32"/>
      <c r="E32" s="32"/>
      <c r="F32" s="35"/>
      <c r="G32" s="32">
        <f t="shared" si="12"/>
        <v>20</v>
      </c>
      <c r="H32" s="21" t="s">
        <v>27</v>
      </c>
      <c r="I32" s="40">
        <v>2000</v>
      </c>
      <c r="J32" s="213">
        <v>100</v>
      </c>
      <c r="K32" s="36"/>
      <c r="L32" s="211"/>
      <c r="M32" s="211"/>
      <c r="N32" s="211"/>
      <c r="O32" s="209"/>
      <c r="P32" s="214"/>
      <c r="Q32" s="214"/>
      <c r="R32" s="214"/>
      <c r="S32" s="214"/>
    </row>
    <row r="33" s="184" customFormat="1" ht="35.1" customHeight="1" spans="1:19">
      <c r="A33" s="205">
        <v>4</v>
      </c>
      <c r="B33" s="31" t="s">
        <v>96</v>
      </c>
      <c r="C33" s="206">
        <f t="shared" si="11"/>
        <v>20</v>
      </c>
      <c r="D33" s="32"/>
      <c r="E33" s="212"/>
      <c r="F33" s="123"/>
      <c r="G33" s="32">
        <f t="shared" si="12"/>
        <v>20</v>
      </c>
      <c r="H33" s="58" t="s">
        <v>97</v>
      </c>
      <c r="I33" s="38">
        <v>1</v>
      </c>
      <c r="J33" s="177">
        <v>200000</v>
      </c>
      <c r="K33" s="36"/>
      <c r="L33" s="211"/>
      <c r="M33" s="211"/>
      <c r="N33" s="211"/>
      <c r="O33" s="209"/>
      <c r="P33" s="214"/>
      <c r="Q33" s="214"/>
      <c r="R33" s="214"/>
      <c r="S33" s="214"/>
    </row>
    <row r="34" s="183" customFormat="1" ht="35.1" customHeight="1" spans="1:19">
      <c r="A34" s="84">
        <v>5</v>
      </c>
      <c r="B34" s="31" t="s">
        <v>98</v>
      </c>
      <c r="C34" s="206"/>
      <c r="D34" s="32"/>
      <c r="E34" s="212">
        <f t="shared" ref="E34:E36" si="13">I34*J34/10000</f>
        <v>76.104</v>
      </c>
      <c r="F34" s="123"/>
      <c r="G34" s="57">
        <f t="shared" si="12"/>
        <v>76.104</v>
      </c>
      <c r="H34" s="58" t="s">
        <v>27</v>
      </c>
      <c r="I34" s="38">
        <f>I6+I14</f>
        <v>19026</v>
      </c>
      <c r="J34" s="177">
        <v>40</v>
      </c>
      <c r="K34" s="60"/>
      <c r="L34" s="208"/>
      <c r="M34" s="208"/>
      <c r="N34" s="208"/>
      <c r="O34" s="209"/>
      <c r="P34" s="209"/>
      <c r="Q34" s="209"/>
      <c r="R34" s="209"/>
      <c r="S34" s="209"/>
    </row>
    <row r="35" s="183" customFormat="1" ht="35.1" customHeight="1" spans="1:19">
      <c r="A35" s="205">
        <v>6</v>
      </c>
      <c r="B35" s="3" t="s">
        <v>99</v>
      </c>
      <c r="C35" s="206"/>
      <c r="D35" s="206"/>
      <c r="E35" s="212">
        <f t="shared" si="13"/>
        <v>57.078</v>
      </c>
      <c r="F35" s="38"/>
      <c r="G35" s="57">
        <f t="shared" si="12"/>
        <v>57.078</v>
      </c>
      <c r="H35" s="58" t="s">
        <v>27</v>
      </c>
      <c r="I35" s="38">
        <f>I34</f>
        <v>19026</v>
      </c>
      <c r="J35" s="177">
        <v>30</v>
      </c>
      <c r="K35" s="60"/>
      <c r="L35" s="208"/>
      <c r="M35" s="208"/>
      <c r="N35" s="208"/>
      <c r="O35" s="209"/>
      <c r="P35" s="209"/>
      <c r="Q35" s="209"/>
      <c r="R35" s="209"/>
      <c r="S35" s="209"/>
    </row>
    <row r="36" s="183" customFormat="1" ht="35.1" customHeight="1" spans="1:19">
      <c r="A36" s="84">
        <v>7</v>
      </c>
      <c r="B36" s="3" t="s">
        <v>100</v>
      </c>
      <c r="C36" s="206"/>
      <c r="D36" s="32"/>
      <c r="E36" s="212">
        <f t="shared" si="13"/>
        <v>152.208</v>
      </c>
      <c r="F36" s="123"/>
      <c r="G36" s="57">
        <f t="shared" si="12"/>
        <v>152.208</v>
      </c>
      <c r="H36" s="58" t="s">
        <v>27</v>
      </c>
      <c r="I36" s="38">
        <f>I34</f>
        <v>19026</v>
      </c>
      <c r="J36" s="177">
        <v>80</v>
      </c>
      <c r="K36" s="60"/>
      <c r="L36" s="208"/>
      <c r="M36" s="208"/>
      <c r="N36" s="208"/>
      <c r="O36" s="209"/>
      <c r="P36" s="209"/>
      <c r="Q36" s="209"/>
      <c r="R36" s="209"/>
      <c r="S36" s="209"/>
    </row>
    <row r="37" s="182" customFormat="1" ht="35.1" customHeight="1" spans="1:19">
      <c r="A37" s="174" t="s">
        <v>12</v>
      </c>
      <c r="B37" s="175" t="s">
        <v>13</v>
      </c>
      <c r="C37" s="62"/>
      <c r="D37" s="26"/>
      <c r="E37" s="26"/>
      <c r="F37" s="169">
        <f>SUM(F38:F54)</f>
        <v>1015.82523905429</v>
      </c>
      <c r="G37" s="169">
        <f>SUM(G38:G54)</f>
        <v>1015.82523905429</v>
      </c>
      <c r="H37" s="173" t="s">
        <v>56</v>
      </c>
      <c r="I37" s="108"/>
      <c r="J37" s="108"/>
      <c r="K37" s="117">
        <f>G37/G56</f>
        <v>0.0711654925752433</v>
      </c>
      <c r="L37" s="203"/>
      <c r="M37" s="203"/>
      <c r="N37" s="203"/>
      <c r="O37" s="215"/>
      <c r="P37" s="203"/>
      <c r="Q37" s="203"/>
      <c r="R37" s="203"/>
      <c r="S37" s="203"/>
    </row>
    <row r="38" s="183" customFormat="1" ht="35.1" customHeight="1" spans="1:19">
      <c r="A38" s="103">
        <v>1</v>
      </c>
      <c r="B38" s="55" t="s">
        <v>101</v>
      </c>
      <c r="C38" s="32"/>
      <c r="D38" s="32"/>
      <c r="E38" s="49"/>
      <c r="F38" s="57">
        <f t="shared" ref="F38:F40" si="14">I38*J38</f>
        <v>146.411502</v>
      </c>
      <c r="G38" s="57">
        <f t="shared" ref="G38:G55" si="15">F38</f>
        <v>146.411502</v>
      </c>
      <c r="H38" s="58" t="s">
        <v>56</v>
      </c>
      <c r="I38" s="177">
        <f>G5</f>
        <v>12200.9585</v>
      </c>
      <c r="J38" s="59">
        <v>0.012</v>
      </c>
      <c r="K38" s="107"/>
      <c r="L38" s="208"/>
      <c r="M38" s="208"/>
      <c r="N38" s="208"/>
      <c r="O38" s="208"/>
      <c r="P38" s="208"/>
      <c r="Q38" s="208"/>
      <c r="R38" s="208"/>
      <c r="S38" s="208"/>
    </row>
    <row r="39" s="183" customFormat="1" ht="35.1" customHeight="1" spans="1:19">
      <c r="A39" s="103">
        <v>2</v>
      </c>
      <c r="B39" s="55" t="s">
        <v>58</v>
      </c>
      <c r="C39" s="32"/>
      <c r="D39" s="32"/>
      <c r="E39" s="32"/>
      <c r="F39" s="57">
        <f t="shared" si="14"/>
        <v>122.009585</v>
      </c>
      <c r="G39" s="57">
        <f t="shared" si="15"/>
        <v>122.009585</v>
      </c>
      <c r="H39" s="58" t="s">
        <v>56</v>
      </c>
      <c r="I39" s="177">
        <f>G5</f>
        <v>12200.9585</v>
      </c>
      <c r="J39" s="59">
        <v>0.01</v>
      </c>
      <c r="K39" s="107"/>
      <c r="L39" s="208"/>
      <c r="M39" s="208"/>
      <c r="N39" s="208"/>
      <c r="O39" s="208"/>
      <c r="P39" s="208"/>
      <c r="Q39" s="208"/>
      <c r="R39" s="208"/>
      <c r="S39" s="208"/>
    </row>
    <row r="40" s="183" customFormat="1" ht="35.1" customHeight="1" spans="1:19">
      <c r="A40" s="103">
        <v>3</v>
      </c>
      <c r="B40" s="55" t="s">
        <v>61</v>
      </c>
      <c r="C40" s="32"/>
      <c r="D40" s="32"/>
      <c r="E40" s="32"/>
      <c r="F40" s="57">
        <f t="shared" si="14"/>
        <v>305.0239625</v>
      </c>
      <c r="G40" s="57">
        <f t="shared" si="15"/>
        <v>305.0239625</v>
      </c>
      <c r="H40" s="58" t="s">
        <v>56</v>
      </c>
      <c r="I40" s="177">
        <f>G5</f>
        <v>12200.9585</v>
      </c>
      <c r="J40" s="59">
        <v>0.025</v>
      </c>
      <c r="K40" s="107"/>
      <c r="L40" s="208"/>
      <c r="M40" s="208"/>
      <c r="N40" s="208"/>
      <c r="O40" s="208"/>
      <c r="P40" s="208"/>
      <c r="Q40" s="208"/>
      <c r="R40" s="208"/>
      <c r="S40" s="208"/>
    </row>
    <row r="41" s="183" customFormat="1" ht="35.1" customHeight="1" spans="1:19">
      <c r="A41" s="103">
        <v>4</v>
      </c>
      <c r="B41" s="55" t="s">
        <v>62</v>
      </c>
      <c r="C41" s="32"/>
      <c r="D41" s="32"/>
      <c r="E41" s="32"/>
      <c r="F41" s="57">
        <f>I41*J41/10000</f>
        <v>39.7681</v>
      </c>
      <c r="G41" s="57">
        <f t="shared" si="15"/>
        <v>39.7681</v>
      </c>
      <c r="H41" s="58" t="s">
        <v>102</v>
      </c>
      <c r="I41" s="177">
        <f>I6+I14+I22</f>
        <v>23393</v>
      </c>
      <c r="J41" s="104">
        <v>17</v>
      </c>
      <c r="K41" s="107"/>
      <c r="L41" s="208"/>
      <c r="M41" s="208"/>
      <c r="N41" s="208"/>
      <c r="O41" s="208"/>
      <c r="P41" s="208"/>
      <c r="Q41" s="208"/>
      <c r="R41" s="208"/>
      <c r="S41" s="208"/>
    </row>
    <row r="42" s="183" customFormat="1" ht="35.1" customHeight="1" spans="1:19">
      <c r="A42" s="103">
        <v>5</v>
      </c>
      <c r="B42" s="55" t="s">
        <v>103</v>
      </c>
      <c r="C42" s="32"/>
      <c r="D42" s="32"/>
      <c r="E42" s="32"/>
      <c r="F42" s="57">
        <f t="shared" ref="F42:F46" si="16">I42*J42</f>
        <v>20.74162945</v>
      </c>
      <c r="G42" s="57">
        <f t="shared" si="15"/>
        <v>20.74162945</v>
      </c>
      <c r="H42" s="58" t="s">
        <v>56</v>
      </c>
      <c r="I42" s="177">
        <f>I40</f>
        <v>12200.9585</v>
      </c>
      <c r="J42" s="59">
        <v>0.0017</v>
      </c>
      <c r="K42" s="107"/>
      <c r="L42" s="208"/>
      <c r="M42" s="208"/>
      <c r="N42" s="208"/>
      <c r="O42" s="208"/>
      <c r="P42" s="208"/>
      <c r="Q42" s="208"/>
      <c r="R42" s="208"/>
      <c r="S42" s="208"/>
    </row>
    <row r="43" s="183" customFormat="1" ht="35.1" customHeight="1" spans="1:19">
      <c r="A43" s="103">
        <v>6</v>
      </c>
      <c r="B43" s="55" t="s">
        <v>104</v>
      </c>
      <c r="C43" s="32"/>
      <c r="D43" s="32"/>
      <c r="E43" s="32"/>
      <c r="F43" s="57">
        <f>I43*J43*0.8</f>
        <v>37.09091384</v>
      </c>
      <c r="G43" s="57">
        <f t="shared" si="15"/>
        <v>37.09091384</v>
      </c>
      <c r="H43" s="58" t="s">
        <v>56</v>
      </c>
      <c r="I43" s="177">
        <f>G5</f>
        <v>12200.9585</v>
      </c>
      <c r="J43" s="59">
        <v>0.0038</v>
      </c>
      <c r="K43" s="107"/>
      <c r="L43" s="208"/>
      <c r="M43" s="216"/>
      <c r="N43" s="208"/>
      <c r="O43" s="208"/>
      <c r="P43" s="208"/>
      <c r="Q43" s="208"/>
      <c r="R43" s="208"/>
      <c r="S43" s="208"/>
    </row>
    <row r="44" s="183" customFormat="1" ht="35.1" customHeight="1" spans="1:19">
      <c r="A44" s="103">
        <v>7</v>
      </c>
      <c r="B44" s="55" t="s">
        <v>64</v>
      </c>
      <c r="C44" s="32"/>
      <c r="D44" s="32"/>
      <c r="E44" s="32"/>
      <c r="F44" s="57">
        <f t="shared" si="16"/>
        <v>63.4449842</v>
      </c>
      <c r="G44" s="57">
        <f t="shared" si="15"/>
        <v>63.4449842</v>
      </c>
      <c r="H44" s="58" t="s">
        <v>56</v>
      </c>
      <c r="I44" s="177">
        <f>G5</f>
        <v>12200.9585</v>
      </c>
      <c r="J44" s="59">
        <v>0.0052</v>
      </c>
      <c r="K44" s="107"/>
      <c r="L44" s="208"/>
      <c r="M44" s="208"/>
      <c r="N44" s="208"/>
      <c r="O44" s="208"/>
      <c r="P44" s="208"/>
      <c r="Q44" s="208"/>
      <c r="R44" s="208"/>
      <c r="S44" s="208"/>
    </row>
    <row r="45" s="183" customFormat="1" ht="35.1" customHeight="1" spans="1:19">
      <c r="A45" s="103">
        <v>8</v>
      </c>
      <c r="B45" s="55" t="s">
        <v>63</v>
      </c>
      <c r="C45" s="32"/>
      <c r="D45" s="32"/>
      <c r="E45" s="32"/>
      <c r="F45" s="57">
        <f>1+2.8+2.75+14+(I45-5000)*0.002*0.8</f>
        <v>32.0715336</v>
      </c>
      <c r="G45" s="57">
        <f t="shared" si="15"/>
        <v>32.0715336</v>
      </c>
      <c r="H45" s="58" t="s">
        <v>56</v>
      </c>
      <c r="I45" s="177">
        <f>G5</f>
        <v>12200.9585</v>
      </c>
      <c r="J45" s="59">
        <f t="shared" ref="J45:J48" si="17">G45/I45</f>
        <v>0.00262860771143513</v>
      </c>
      <c r="K45" s="107"/>
      <c r="L45" s="208"/>
      <c r="M45" s="208"/>
      <c r="N45" s="208"/>
      <c r="O45" s="208"/>
      <c r="P45" s="208"/>
      <c r="Q45" s="208"/>
      <c r="R45" s="208"/>
      <c r="S45" s="208"/>
    </row>
    <row r="46" s="183" customFormat="1" ht="35.1" customHeight="1" spans="1:19">
      <c r="A46" s="103">
        <v>9</v>
      </c>
      <c r="B46" s="55" t="s">
        <v>73</v>
      </c>
      <c r="C46" s="32"/>
      <c r="D46" s="32"/>
      <c r="E46" s="32"/>
      <c r="F46" s="57">
        <f t="shared" si="16"/>
        <v>61.0047925</v>
      </c>
      <c r="G46" s="57">
        <f t="shared" si="15"/>
        <v>61.0047925</v>
      </c>
      <c r="H46" s="58" t="s">
        <v>56</v>
      </c>
      <c r="I46" s="177">
        <f>G5</f>
        <v>12200.9585</v>
      </c>
      <c r="J46" s="59">
        <v>0.005</v>
      </c>
      <c r="K46" s="107"/>
      <c r="L46" s="208"/>
      <c r="M46" s="208"/>
      <c r="N46" s="208"/>
      <c r="O46" s="208"/>
      <c r="P46" s="208"/>
      <c r="Q46" s="208"/>
      <c r="R46" s="208"/>
      <c r="S46" s="208"/>
    </row>
    <row r="47" s="183" customFormat="1" ht="35.1" customHeight="1" spans="1:19">
      <c r="A47" s="103">
        <v>10</v>
      </c>
      <c r="B47" s="55" t="s">
        <v>105</v>
      </c>
      <c r="C47" s="57"/>
      <c r="D47" s="57"/>
      <c r="E47" s="57"/>
      <c r="F47" s="57">
        <f>(((I47-3000)*(28-12)/7000+12)+((I47-3000)*(10-5)/7000+5))</f>
        <v>44.6028755</v>
      </c>
      <c r="G47" s="57">
        <f t="shared" si="15"/>
        <v>44.6028755</v>
      </c>
      <c r="H47" s="58" t="s">
        <v>56</v>
      </c>
      <c r="I47" s="177">
        <f>I46</f>
        <v>12200.9585</v>
      </c>
      <c r="J47" s="59">
        <f t="shared" si="17"/>
        <v>0.00365568619055626</v>
      </c>
      <c r="K47" s="107"/>
      <c r="L47" s="208"/>
      <c r="M47" s="208"/>
      <c r="N47" s="208"/>
      <c r="O47" s="208"/>
      <c r="P47" s="208"/>
      <c r="Q47" s="208"/>
      <c r="R47" s="208"/>
      <c r="S47" s="208"/>
    </row>
    <row r="48" s="183" customFormat="1" ht="35.1" customHeight="1" spans="1:19">
      <c r="A48" s="103">
        <v>11</v>
      </c>
      <c r="B48" s="55" t="s">
        <v>106</v>
      </c>
      <c r="C48" s="57"/>
      <c r="D48" s="57"/>
      <c r="E48" s="57"/>
      <c r="F48" s="57">
        <f>(((I48-3000)*(14-6)/7000+6)+((I48-3000)*(8-4)/7000+4))</f>
        <v>25.7730717142857</v>
      </c>
      <c r="G48" s="57">
        <f t="shared" si="15"/>
        <v>25.7730717142857</v>
      </c>
      <c r="H48" s="58" t="s">
        <v>56</v>
      </c>
      <c r="I48" s="177">
        <f>I47</f>
        <v>12200.9585</v>
      </c>
      <c r="J48" s="59">
        <f t="shared" si="17"/>
        <v>0.00211238090140916</v>
      </c>
      <c r="K48" s="107"/>
      <c r="L48" s="208"/>
      <c r="M48" s="208"/>
      <c r="N48" s="208"/>
      <c r="O48" s="208"/>
      <c r="P48" s="208"/>
      <c r="Q48" s="208"/>
      <c r="R48" s="208"/>
      <c r="S48" s="208"/>
    </row>
    <row r="49" s="183" customFormat="1" ht="35.1" customHeight="1" spans="1:19">
      <c r="A49" s="103">
        <v>12</v>
      </c>
      <c r="B49" s="55" t="s">
        <v>66</v>
      </c>
      <c r="C49" s="32"/>
      <c r="D49" s="32"/>
      <c r="E49" s="32"/>
      <c r="F49" s="57">
        <f t="shared" ref="F49:F52" si="18">I49*J49</f>
        <v>30.50239625</v>
      </c>
      <c r="G49" s="57">
        <f t="shared" si="15"/>
        <v>30.50239625</v>
      </c>
      <c r="H49" s="58" t="s">
        <v>56</v>
      </c>
      <c r="I49" s="177">
        <f>G5</f>
        <v>12200.9585</v>
      </c>
      <c r="J49" s="59">
        <v>0.0025</v>
      </c>
      <c r="K49" s="107"/>
      <c r="L49" s="208"/>
      <c r="M49" s="208"/>
      <c r="N49" s="208"/>
      <c r="O49" s="208"/>
      <c r="P49" s="208"/>
      <c r="Q49" s="208"/>
      <c r="R49" s="208"/>
      <c r="S49" s="208"/>
    </row>
    <row r="50" s="183" customFormat="1" ht="35.1" customHeight="1" spans="1:19">
      <c r="A50" s="103">
        <v>13</v>
      </c>
      <c r="B50" s="55" t="s">
        <v>107</v>
      </c>
      <c r="C50" s="32"/>
      <c r="D50" s="32"/>
      <c r="E50" s="32"/>
      <c r="F50" s="57">
        <f t="shared" si="18"/>
        <v>37.82297135</v>
      </c>
      <c r="G50" s="57">
        <f t="shared" si="15"/>
        <v>37.82297135</v>
      </c>
      <c r="H50" s="58" t="s">
        <v>56</v>
      </c>
      <c r="I50" s="177">
        <f>G5</f>
        <v>12200.9585</v>
      </c>
      <c r="J50" s="59">
        <v>0.0031</v>
      </c>
      <c r="K50" s="107"/>
      <c r="L50" s="208"/>
      <c r="M50" s="208"/>
      <c r="N50" s="208"/>
      <c r="O50" s="208"/>
      <c r="P50" s="208"/>
      <c r="Q50" s="208"/>
      <c r="R50" s="208"/>
      <c r="S50" s="208"/>
    </row>
    <row r="51" s="183" customFormat="1" ht="35.1" customHeight="1" spans="1:19">
      <c r="A51" s="103">
        <v>14</v>
      </c>
      <c r="B51" s="55" t="s">
        <v>108</v>
      </c>
      <c r="C51" s="32"/>
      <c r="D51" s="32"/>
      <c r="E51" s="32"/>
      <c r="F51" s="57">
        <f>I51*2/10000</f>
        <v>4.6786</v>
      </c>
      <c r="G51" s="57">
        <f t="shared" si="15"/>
        <v>4.6786</v>
      </c>
      <c r="H51" s="58" t="s">
        <v>102</v>
      </c>
      <c r="I51" s="177">
        <f>I41</f>
        <v>23393</v>
      </c>
      <c r="J51" s="38">
        <v>2</v>
      </c>
      <c r="K51" s="107"/>
      <c r="L51" s="208"/>
      <c r="M51" s="208"/>
      <c r="N51" s="208"/>
      <c r="O51" s="208"/>
      <c r="P51" s="208"/>
      <c r="Q51" s="208"/>
      <c r="R51" s="208"/>
      <c r="S51" s="208"/>
    </row>
    <row r="52" s="183" customFormat="1" ht="35.1" customHeight="1" spans="1:19">
      <c r="A52" s="103">
        <v>15</v>
      </c>
      <c r="B52" s="55" t="s">
        <v>109</v>
      </c>
      <c r="C52" s="32"/>
      <c r="D52" s="32"/>
      <c r="E52" s="32"/>
      <c r="F52" s="57">
        <f t="shared" si="18"/>
        <v>23.18182115</v>
      </c>
      <c r="G52" s="57">
        <f t="shared" si="15"/>
        <v>23.18182115</v>
      </c>
      <c r="H52" s="58" t="s">
        <v>56</v>
      </c>
      <c r="I52" s="177">
        <f>G5</f>
        <v>12200.9585</v>
      </c>
      <c r="J52" s="59">
        <v>0.0019</v>
      </c>
      <c r="K52" s="107"/>
      <c r="L52" s="208"/>
      <c r="M52" s="208"/>
      <c r="N52" s="208"/>
      <c r="O52" s="208"/>
      <c r="P52" s="208"/>
      <c r="Q52" s="208"/>
      <c r="R52" s="208"/>
      <c r="S52" s="208"/>
    </row>
    <row r="53" s="183" customFormat="1" ht="35.1" customHeight="1" spans="1:19">
      <c r="A53" s="103">
        <v>16</v>
      </c>
      <c r="B53" s="55" t="s">
        <v>110</v>
      </c>
      <c r="C53" s="32"/>
      <c r="D53" s="32"/>
      <c r="E53" s="32"/>
      <c r="F53" s="57">
        <f>I53*J53/10000</f>
        <v>10</v>
      </c>
      <c r="G53" s="57">
        <f t="shared" si="15"/>
        <v>10</v>
      </c>
      <c r="H53" s="58" t="s">
        <v>53</v>
      </c>
      <c r="I53" s="178">
        <v>1</v>
      </c>
      <c r="J53" s="104">
        <v>100000</v>
      </c>
      <c r="K53" s="107"/>
      <c r="L53" s="208"/>
      <c r="M53" s="208"/>
      <c r="N53" s="208"/>
      <c r="O53" s="208"/>
      <c r="P53" s="208"/>
      <c r="Q53" s="208"/>
      <c r="R53" s="208"/>
      <c r="S53" s="208"/>
    </row>
    <row r="54" s="183" customFormat="1" ht="35.1" customHeight="1" spans="1:19">
      <c r="A54" s="103">
        <v>17</v>
      </c>
      <c r="B54" s="55" t="s">
        <v>111</v>
      </c>
      <c r="C54" s="32"/>
      <c r="D54" s="32"/>
      <c r="E54" s="32"/>
      <c r="F54" s="57">
        <f>I54*J54/10000</f>
        <v>11.6965</v>
      </c>
      <c r="G54" s="57">
        <f t="shared" si="15"/>
        <v>11.6965</v>
      </c>
      <c r="H54" s="58" t="s">
        <v>102</v>
      </c>
      <c r="I54" s="177">
        <f>I51</f>
        <v>23393</v>
      </c>
      <c r="J54" s="178">
        <v>5</v>
      </c>
      <c r="K54" s="107"/>
      <c r="L54" s="208"/>
      <c r="M54" s="208"/>
      <c r="N54" s="208"/>
      <c r="O54" s="208"/>
      <c r="P54" s="208"/>
      <c r="Q54" s="208"/>
      <c r="R54" s="208"/>
      <c r="S54" s="208"/>
    </row>
    <row r="55" s="185" customFormat="1" ht="35.1" customHeight="1" spans="1:19">
      <c r="A55" s="42" t="s">
        <v>14</v>
      </c>
      <c r="B55" s="62" t="s">
        <v>82</v>
      </c>
      <c r="C55" s="26"/>
      <c r="D55" s="26"/>
      <c r="E55" s="26"/>
      <c r="F55" s="26">
        <f>I55*J55</f>
        <v>1057.34269912434</v>
      </c>
      <c r="G55" s="26">
        <f t="shared" si="15"/>
        <v>1057.34269912434</v>
      </c>
      <c r="H55" s="45" t="s">
        <v>56</v>
      </c>
      <c r="I55" s="26">
        <f>G37+G5</f>
        <v>13216.7837390543</v>
      </c>
      <c r="J55" s="63">
        <v>0.08</v>
      </c>
      <c r="K55" s="27">
        <f>G55/G56</f>
        <v>0.0740740740740741</v>
      </c>
      <c r="L55" s="180"/>
      <c r="M55" s="180"/>
      <c r="N55" s="180"/>
      <c r="O55" s="180"/>
      <c r="P55" s="180"/>
      <c r="Q55" s="180"/>
      <c r="R55" s="180"/>
      <c r="S55" s="180"/>
    </row>
    <row r="56" s="185" customFormat="1" ht="35.1" customHeight="1" spans="1:19">
      <c r="A56" s="65" t="s">
        <v>83</v>
      </c>
      <c r="B56" s="66" t="s">
        <v>17</v>
      </c>
      <c r="C56" s="68">
        <f>C5</f>
        <v>8996.6</v>
      </c>
      <c r="D56" s="68">
        <f>D5</f>
        <v>500</v>
      </c>
      <c r="E56" s="68">
        <f>E5</f>
        <v>2704.3585</v>
      </c>
      <c r="F56" s="68">
        <f>F37+F55</f>
        <v>2073.16793817863</v>
      </c>
      <c r="G56" s="68">
        <f>G5+G37+G55</f>
        <v>14274.1264381786</v>
      </c>
      <c r="H56" s="69" t="s">
        <v>102</v>
      </c>
      <c r="I56" s="70">
        <f>I54</f>
        <v>23393</v>
      </c>
      <c r="J56" s="179">
        <f>G56/I56*10000</f>
        <v>6101.87938194273</v>
      </c>
      <c r="K56" s="71">
        <v>1</v>
      </c>
      <c r="L56" s="180"/>
      <c r="M56" s="180"/>
      <c r="N56" s="180"/>
      <c r="O56" s="180"/>
      <c r="P56" s="180"/>
      <c r="Q56" s="180"/>
      <c r="R56" s="180"/>
      <c r="S56" s="180"/>
    </row>
  </sheetData>
  <sheetProtection formatCells="0" formatColumns="0" formatRows="0" insertRows="0" insertColumns="0" insertHyperlinks="0" deleteColumns="0" deleteRows="0" sort="0" autoFilter="0" pivotTables="0"/>
  <mergeCells count="6">
    <mergeCell ref="A1:K1"/>
    <mergeCell ref="A2:K2"/>
    <mergeCell ref="C3:G3"/>
    <mergeCell ref="H3:J3"/>
    <mergeCell ref="A3:A4"/>
    <mergeCell ref="B3:B4"/>
  </mergeCells>
  <pageMargins left="0.590277777777778" right="0.590277777777778" top="0.590277777777778" bottom="0.590277777777778" header="0.5" footer="0.5"/>
  <pageSetup paperSize="9" scale="61" orientation="landscape"/>
  <headerFooter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"/>
  <sheetViews>
    <sheetView zoomScale="70" zoomScaleNormal="70" zoomScaleSheetLayoutView="85" topLeftCell="A8" workbookViewId="0">
      <selection activeCell="G19" sqref="G19:G20"/>
    </sheetView>
  </sheetViews>
  <sheetFormatPr defaultColWidth="10.2857142857143" defaultRowHeight="27.95" customHeight="1"/>
  <cols>
    <col min="1" max="1" width="11.4285714285714" style="6"/>
    <col min="2" max="2" width="52.2857142857143" style="7" customWidth="1"/>
    <col min="3" max="3" width="20.1428571428571" style="75"/>
    <col min="4" max="4" width="18.5714285714286" style="6"/>
    <col min="5" max="5" width="15.2857142857143" style="7" customWidth="1"/>
    <col min="6" max="6" width="13.5714285714286" style="7" customWidth="1"/>
    <col min="7" max="7" width="17.7142857142857" style="8" customWidth="1"/>
    <col min="8" max="8" width="10.2857142857143" style="6"/>
    <col min="9" max="9" width="20.1428571428571" style="75"/>
    <col min="10" max="10" width="20.2857142857143" style="75"/>
    <col min="11" max="11" width="17.7142857142857" style="7" customWidth="1"/>
    <col min="12" max="12" width="10.2857142857143" style="7"/>
    <col min="13" max="14" width="14.5714285714286" style="7"/>
    <col min="15" max="15" width="42" style="7" customWidth="1"/>
    <col min="16" max="16" width="27.7142857142857" style="7" customWidth="1"/>
    <col min="17" max="17" width="10.4285714285714" style="7"/>
    <col min="18" max="18" width="24.5714285714286" style="7" customWidth="1"/>
    <col min="19" max="19" width="15.5714285714286" style="7" customWidth="1"/>
    <col min="20" max="16384" width="10.2857142857143" style="7"/>
  </cols>
  <sheetData>
    <row r="1" ht="42" customHeight="1" spans="1:18">
      <c r="A1" s="76" t="s">
        <v>122</v>
      </c>
      <c r="B1" s="76"/>
      <c r="C1" s="77"/>
      <c r="D1" s="76"/>
      <c r="E1" s="76"/>
      <c r="F1" s="76"/>
      <c r="G1" s="78"/>
      <c r="H1" s="76"/>
      <c r="I1" s="77"/>
      <c r="J1" s="77"/>
      <c r="K1" s="76"/>
    </row>
    <row r="2" customHeight="1" spans="1:18">
      <c r="A2" s="11" t="s">
        <v>123</v>
      </c>
      <c r="B2" s="11"/>
      <c r="C2" s="79"/>
      <c r="D2" s="11"/>
      <c r="E2" s="11"/>
      <c r="F2" s="11"/>
      <c r="G2" s="12"/>
      <c r="H2" s="11"/>
      <c r="I2" s="79"/>
      <c r="J2" s="79"/>
      <c r="K2" s="11"/>
    </row>
    <row r="3" ht="37.5" spans="1:18">
      <c r="A3" s="13" t="s">
        <v>1</v>
      </c>
      <c r="B3" s="14" t="s">
        <v>20</v>
      </c>
      <c r="C3" s="15" t="s">
        <v>86</v>
      </c>
      <c r="D3" s="15"/>
      <c r="E3" s="15"/>
      <c r="F3" s="15"/>
      <c r="G3" s="16"/>
      <c r="H3" s="15" t="s">
        <v>22</v>
      </c>
      <c r="I3" s="80"/>
      <c r="J3" s="80"/>
      <c r="K3" s="17" t="s">
        <v>23</v>
      </c>
    </row>
    <row r="4" customHeight="1" spans="1:18">
      <c r="A4" s="18"/>
      <c r="B4" s="19"/>
      <c r="C4" s="19" t="s">
        <v>5</v>
      </c>
      <c r="D4" s="19" t="s">
        <v>7</v>
      </c>
      <c r="E4" s="19" t="s">
        <v>6</v>
      </c>
      <c r="F4" s="19" t="s">
        <v>8</v>
      </c>
      <c r="G4" s="20" t="s">
        <v>9</v>
      </c>
      <c r="H4" s="21" t="s">
        <v>24</v>
      </c>
      <c r="I4" s="21" t="s">
        <v>25</v>
      </c>
      <c r="J4" s="19" t="s">
        <v>26</v>
      </c>
      <c r="K4" s="22"/>
      <c r="M4" s="7">
        <f>4500-3200</f>
        <v>1300</v>
      </c>
    </row>
    <row r="5" s="1" customFormat="1" customHeight="1" spans="1:18">
      <c r="A5" s="23" t="s">
        <v>10</v>
      </c>
      <c r="B5" s="24" t="s">
        <v>11</v>
      </c>
      <c r="C5" s="26">
        <f t="shared" ref="C5:G5" si="0">C6+C16</f>
        <v>5836.51988</v>
      </c>
      <c r="D5" s="26">
        <f t="shared" si="0"/>
        <v>981.103972</v>
      </c>
      <c r="E5" s="26">
        <f t="shared" si="0"/>
        <v>1017.031948</v>
      </c>
      <c r="F5" s="26"/>
      <c r="G5" s="26">
        <f t="shared" si="0"/>
        <v>7834.6558</v>
      </c>
      <c r="H5" s="21" t="s">
        <v>27</v>
      </c>
      <c r="I5" s="26">
        <v>12134.97</v>
      </c>
      <c r="J5" s="26"/>
      <c r="K5" s="27">
        <f>G5/G59</f>
        <v>0.864709402364038</v>
      </c>
    </row>
    <row r="6" s="72" customFormat="1" customHeight="1" spans="1:18">
      <c r="A6" s="81" t="s">
        <v>28</v>
      </c>
      <c r="B6" s="82" t="s">
        <v>124</v>
      </c>
      <c r="C6" s="26">
        <f t="shared" ref="C6:G6" si="1">SUM(C7:C15)</f>
        <v>5460.7365</v>
      </c>
      <c r="D6" s="26">
        <f t="shared" si="1"/>
        <v>820.323972</v>
      </c>
      <c r="E6" s="26">
        <f t="shared" si="1"/>
        <v>947.031948</v>
      </c>
      <c r="F6" s="26"/>
      <c r="G6" s="26">
        <f t="shared" si="1"/>
        <v>7228.09242</v>
      </c>
      <c r="H6" s="21" t="s">
        <v>27</v>
      </c>
      <c r="I6" s="26">
        <v>12134.97</v>
      </c>
      <c r="J6" s="152">
        <f>G6/I6*10000</f>
        <v>5956.41556592229</v>
      </c>
      <c r="K6" s="83"/>
      <c r="N6" s="153" t="s">
        <v>125</v>
      </c>
      <c r="O6" s="153">
        <f>12134.97*300</f>
        <v>3640491</v>
      </c>
      <c r="P6" s="154"/>
    </row>
    <row r="7" s="2" customFormat="1" ht="33" customHeight="1" spans="1:18">
      <c r="A7" s="84">
        <v>1</v>
      </c>
      <c r="B7" s="85" t="s">
        <v>88</v>
      </c>
      <c r="C7" s="32">
        <f>I7*J7/10000</f>
        <v>5460.7365</v>
      </c>
      <c r="D7" s="32"/>
      <c r="E7" s="32"/>
      <c r="F7" s="35"/>
      <c r="G7" s="32">
        <f t="shared" ref="G7:G15" si="2">SUM(C7:F7)</f>
        <v>5460.7365</v>
      </c>
      <c r="H7" s="21" t="s">
        <v>27</v>
      </c>
      <c r="I7" s="32">
        <v>12134.97</v>
      </c>
      <c r="J7" s="155">
        <v>4500</v>
      </c>
      <c r="K7" s="36"/>
      <c r="N7" s="6" t="s">
        <v>126</v>
      </c>
      <c r="O7" s="6"/>
      <c r="P7" s="156"/>
    </row>
    <row r="8" s="2" customFormat="1" customHeight="1" spans="1:18">
      <c r="A8" s="84">
        <v>2</v>
      </c>
      <c r="B8" s="86" t="s">
        <v>127</v>
      </c>
      <c r="C8" s="32"/>
      <c r="D8" s="32">
        <f>I8*J8/10000*0.6</f>
        <v>203.867496</v>
      </c>
      <c r="E8" s="32">
        <f>I8*J8/10000*0.4</f>
        <v>135.911664</v>
      </c>
      <c r="F8" s="35"/>
      <c r="G8" s="32">
        <f t="shared" si="2"/>
        <v>339.77916</v>
      </c>
      <c r="H8" s="21" t="s">
        <v>27</v>
      </c>
      <c r="I8" s="32">
        <f>I6</f>
        <v>12134.97</v>
      </c>
      <c r="J8" s="155">
        <v>280</v>
      </c>
      <c r="K8" s="36"/>
      <c r="M8" s="2">
        <f>G7+G8+G9+G10+G12+G15</f>
        <v>6647.69362</v>
      </c>
      <c r="N8" s="6"/>
      <c r="O8" s="6"/>
      <c r="P8" s="6"/>
    </row>
    <row r="9" s="2" customFormat="1" customHeight="1" spans="1:18">
      <c r="A9" s="84">
        <v>3</v>
      </c>
      <c r="B9" s="87" t="s">
        <v>32</v>
      </c>
      <c r="C9" s="32"/>
      <c r="D9" s="32">
        <f>I9*J9/10000*0.7</f>
        <v>271.823328</v>
      </c>
      <c r="E9" s="32">
        <f>I9*J9/10000*0.3</f>
        <v>116.495712</v>
      </c>
      <c r="F9" s="35"/>
      <c r="G9" s="32">
        <f t="shared" si="2"/>
        <v>388.31904</v>
      </c>
      <c r="H9" s="21" t="s">
        <v>27</v>
      </c>
      <c r="I9" s="32">
        <f>I8</f>
        <v>12134.97</v>
      </c>
      <c r="J9" s="155">
        <v>320</v>
      </c>
      <c r="K9" s="36"/>
      <c r="M9" s="2">
        <f>M8/I7*10000</f>
        <v>5478.12942265205</v>
      </c>
      <c r="O9" s="88"/>
      <c r="P9" s="86"/>
      <c r="Q9" s="86"/>
      <c r="R9" s="86"/>
    </row>
    <row r="10" s="2" customFormat="1" customHeight="1" spans="1:18">
      <c r="A10" s="84">
        <v>4</v>
      </c>
      <c r="B10" s="86" t="s">
        <v>128</v>
      </c>
      <c r="C10" s="32"/>
      <c r="D10" s="32">
        <f>I10*J10/10000*0.3</f>
        <v>101.933748</v>
      </c>
      <c r="E10" s="32">
        <f>I10*J10/10000*0.7</f>
        <v>237.845412</v>
      </c>
      <c r="F10" s="35"/>
      <c r="G10" s="32">
        <f t="shared" si="2"/>
        <v>339.77916</v>
      </c>
      <c r="H10" s="21" t="s">
        <v>27</v>
      </c>
      <c r="I10" s="32">
        <f>I9</f>
        <v>12134.97</v>
      </c>
      <c r="J10" s="155">
        <v>280</v>
      </c>
      <c r="K10" s="36"/>
      <c r="O10" s="89"/>
      <c r="P10" s="86"/>
      <c r="Q10" s="86"/>
      <c r="R10" s="86"/>
    </row>
    <row r="11" s="2" customFormat="1" customHeight="1" spans="1:18">
      <c r="A11" s="84">
        <v>5</v>
      </c>
      <c r="B11" s="86" t="s">
        <v>129</v>
      </c>
      <c r="C11" s="32"/>
      <c r="D11" s="32">
        <f>I11*J11*0.3/10000</f>
        <v>145.61964</v>
      </c>
      <c r="E11" s="32">
        <f>I11*J11/10000*0.7</f>
        <v>339.77916</v>
      </c>
      <c r="F11" s="35"/>
      <c r="G11" s="32">
        <f t="shared" si="2"/>
        <v>485.3988</v>
      </c>
      <c r="H11" s="21" t="s">
        <v>27</v>
      </c>
      <c r="I11" s="32">
        <f>I6</f>
        <v>12134.97</v>
      </c>
      <c r="J11" s="155">
        <v>400</v>
      </c>
      <c r="K11" s="36"/>
      <c r="O11" s="89"/>
      <c r="P11" s="86"/>
      <c r="Q11" s="86"/>
      <c r="R11" s="86"/>
    </row>
    <row r="12" s="2" customFormat="1" customHeight="1" spans="1:18">
      <c r="A12" s="84">
        <v>6</v>
      </c>
      <c r="B12" s="86" t="s">
        <v>130</v>
      </c>
      <c r="C12" s="32"/>
      <c r="D12" s="32">
        <f>I12*J12/10000</f>
        <v>97.07976</v>
      </c>
      <c r="E12" s="32"/>
      <c r="F12" s="35"/>
      <c r="G12" s="32">
        <f t="shared" si="2"/>
        <v>97.07976</v>
      </c>
      <c r="H12" s="21" t="s">
        <v>27</v>
      </c>
      <c r="I12" s="32">
        <f>I10</f>
        <v>12134.97</v>
      </c>
      <c r="J12" s="155">
        <v>80</v>
      </c>
      <c r="K12" s="36"/>
      <c r="O12" s="89"/>
      <c r="P12" s="86"/>
      <c r="Q12" s="86"/>
      <c r="R12" s="86"/>
    </row>
    <row r="13" s="2" customFormat="1" customHeight="1" spans="1:18">
      <c r="A13" s="84">
        <v>7</v>
      </c>
      <c r="B13" s="86" t="s">
        <v>131</v>
      </c>
      <c r="C13" s="32"/>
      <c r="D13" s="32"/>
      <c r="E13" s="32">
        <f t="shared" ref="E13:E15" si="3">I13*J13/10000</f>
        <v>35</v>
      </c>
      <c r="F13" s="35"/>
      <c r="G13" s="32">
        <f t="shared" si="2"/>
        <v>35</v>
      </c>
      <c r="H13" s="21" t="s">
        <v>35</v>
      </c>
      <c r="I13" s="32">
        <v>1</v>
      </c>
      <c r="J13" s="155">
        <v>350000</v>
      </c>
      <c r="K13" s="36"/>
      <c r="O13" s="89"/>
      <c r="P13" s="86"/>
      <c r="Q13" s="86"/>
      <c r="R13" s="86"/>
    </row>
    <row r="14" s="2" customFormat="1" customHeight="1" spans="1:18">
      <c r="A14" s="84">
        <v>8</v>
      </c>
      <c r="B14" s="86" t="s">
        <v>132</v>
      </c>
      <c r="C14" s="32"/>
      <c r="D14" s="32"/>
      <c r="E14" s="32">
        <f t="shared" si="3"/>
        <v>60</v>
      </c>
      <c r="F14" s="35"/>
      <c r="G14" s="32">
        <f t="shared" si="2"/>
        <v>60</v>
      </c>
      <c r="H14" s="21" t="s">
        <v>35</v>
      </c>
      <c r="I14" s="32">
        <v>2</v>
      </c>
      <c r="J14" s="155">
        <v>300000</v>
      </c>
      <c r="K14" s="36"/>
      <c r="O14" s="89"/>
      <c r="P14" s="86"/>
      <c r="Q14" s="86"/>
      <c r="R14" s="86"/>
    </row>
    <row r="15" s="5" customFormat="1" customHeight="1" spans="1:18">
      <c r="A15" s="84">
        <v>9</v>
      </c>
      <c r="B15" s="3" t="s">
        <v>133</v>
      </c>
      <c r="C15" s="57"/>
      <c r="D15" s="57"/>
      <c r="E15" s="57">
        <f t="shared" si="3"/>
        <v>22</v>
      </c>
      <c r="F15" s="123"/>
      <c r="G15" s="57">
        <f t="shared" si="2"/>
        <v>22</v>
      </c>
      <c r="H15" s="58" t="s">
        <v>134</v>
      </c>
      <c r="I15" s="57">
        <v>55</v>
      </c>
      <c r="J15" s="157">
        <v>4000</v>
      </c>
      <c r="K15" s="60"/>
      <c r="O15" s="158"/>
      <c r="P15" s="3"/>
      <c r="Q15" s="3"/>
      <c r="R15" s="3"/>
    </row>
    <row r="16" s="4" customFormat="1" customHeight="1" spans="1:18">
      <c r="A16" s="28" t="s">
        <v>36</v>
      </c>
      <c r="B16" s="91" t="s">
        <v>93</v>
      </c>
      <c r="C16" s="26">
        <f t="shared" ref="C16:G16" si="4">C17+C18+C19+C20+C21+C22+C30+C34</f>
        <v>375.78338</v>
      </c>
      <c r="D16" s="26">
        <f t="shared" si="4"/>
        <v>160.78</v>
      </c>
      <c r="E16" s="26">
        <f t="shared" si="4"/>
        <v>70</v>
      </c>
      <c r="F16" s="26"/>
      <c r="G16" s="26">
        <f t="shared" si="4"/>
        <v>606.56338</v>
      </c>
      <c r="H16" s="45" t="s">
        <v>56</v>
      </c>
      <c r="I16" s="26"/>
      <c r="J16" s="152"/>
      <c r="K16" s="92"/>
      <c r="N16" s="4">
        <f>J8+J9+J10</f>
        <v>880</v>
      </c>
    </row>
    <row r="17" s="4" customFormat="1" customHeight="1" spans="1:19">
      <c r="A17" s="28">
        <v>1</v>
      </c>
      <c r="B17" s="91" t="s">
        <v>135</v>
      </c>
      <c r="C17" s="26">
        <f t="shared" ref="C17:C21" si="5">I17*J17/10000</f>
        <v>67.635</v>
      </c>
      <c r="D17" s="26"/>
      <c r="E17" s="26"/>
      <c r="F17" s="26"/>
      <c r="G17" s="26">
        <f t="shared" ref="G17:G19" si="6">SUM(C17:F17)</f>
        <v>67.635</v>
      </c>
      <c r="H17" s="45" t="s">
        <v>136</v>
      </c>
      <c r="I17" s="26">
        <v>15030</v>
      </c>
      <c r="J17" s="152">
        <v>45</v>
      </c>
      <c r="K17" s="92"/>
    </row>
    <row r="18" s="4" customFormat="1" customHeight="1" spans="1:19">
      <c r="A18" s="28">
        <v>2</v>
      </c>
      <c r="B18" s="29" t="s">
        <v>137</v>
      </c>
      <c r="C18" s="159">
        <f t="shared" si="5"/>
        <v>164.60268</v>
      </c>
      <c r="D18" s="29"/>
      <c r="E18" s="29"/>
      <c r="F18" s="29"/>
      <c r="G18" s="159">
        <f t="shared" si="6"/>
        <v>164.60268</v>
      </c>
      <c r="H18" s="160" t="s">
        <v>27</v>
      </c>
      <c r="I18" s="159">
        <v>7481.94</v>
      </c>
      <c r="J18" s="161">
        <v>220</v>
      </c>
      <c r="K18" s="92"/>
    </row>
    <row r="19" s="151" customFormat="1" customHeight="1" spans="1:19">
      <c r="A19" s="162">
        <v>3</v>
      </c>
      <c r="B19" s="163" t="s">
        <v>138</v>
      </c>
      <c r="C19" s="159">
        <f t="shared" si="5"/>
        <v>70.98</v>
      </c>
      <c r="D19" s="29"/>
      <c r="E19" s="29"/>
      <c r="F19" s="29"/>
      <c r="G19" s="159">
        <f t="shared" si="6"/>
        <v>70.98</v>
      </c>
      <c r="H19" s="160" t="s">
        <v>27</v>
      </c>
      <c r="I19" s="159">
        <v>2730</v>
      </c>
      <c r="J19" s="161">
        <v>260</v>
      </c>
      <c r="K19" s="164"/>
      <c r="O19" s="165"/>
      <c r="P19" s="163"/>
      <c r="Q19" s="163"/>
      <c r="R19" s="163"/>
      <c r="S19" s="163"/>
    </row>
    <row r="20" s="151" customFormat="1" customHeight="1" spans="1:19">
      <c r="A20" s="162">
        <v>4</v>
      </c>
      <c r="B20" s="163" t="s">
        <v>139</v>
      </c>
      <c r="C20" s="159">
        <f t="shared" si="5"/>
        <v>11.592</v>
      </c>
      <c r="D20" s="29"/>
      <c r="E20" s="29"/>
      <c r="F20" s="29"/>
      <c r="G20" s="159">
        <f>C20</f>
        <v>11.592</v>
      </c>
      <c r="H20" s="160" t="s">
        <v>27</v>
      </c>
      <c r="I20" s="159">
        <v>504</v>
      </c>
      <c r="J20" s="161">
        <v>230</v>
      </c>
      <c r="K20" s="164"/>
      <c r="O20" s="166"/>
      <c r="P20" s="163"/>
      <c r="Q20" s="163"/>
      <c r="R20" s="163"/>
      <c r="S20" s="163"/>
    </row>
    <row r="21" s="4" customFormat="1" customHeight="1" spans="1:19">
      <c r="A21" s="28">
        <v>5</v>
      </c>
      <c r="B21" s="29" t="s">
        <v>46</v>
      </c>
      <c r="C21" s="159">
        <f t="shared" si="5"/>
        <v>21.1737</v>
      </c>
      <c r="D21" s="26"/>
      <c r="E21" s="26"/>
      <c r="F21" s="93"/>
      <c r="G21" s="26">
        <f t="shared" ref="G21:G38" si="7">SUM(C21:F21)</f>
        <v>21.1737</v>
      </c>
      <c r="H21" s="45" t="s">
        <v>27</v>
      </c>
      <c r="I21" s="159">
        <v>1411.58</v>
      </c>
      <c r="J21" s="161">
        <v>150</v>
      </c>
      <c r="K21" s="92"/>
      <c r="O21" s="94"/>
      <c r="P21" s="95"/>
      <c r="Q21" s="95"/>
      <c r="R21" s="95"/>
      <c r="S21" s="95"/>
    </row>
    <row r="22" s="4" customFormat="1" ht="36.95" customHeight="1" spans="1:19">
      <c r="A22" s="28">
        <v>6</v>
      </c>
      <c r="B22" s="163" t="s">
        <v>98</v>
      </c>
      <c r="C22" s="108">
        <f t="shared" ref="C22:G22" si="8">SUM(C23:C29)</f>
        <v>30.8</v>
      </c>
      <c r="D22" s="108">
        <f t="shared" si="8"/>
        <v>36.78</v>
      </c>
      <c r="E22" s="108"/>
      <c r="F22" s="108"/>
      <c r="G22" s="108">
        <f t="shared" si="8"/>
        <v>67.58</v>
      </c>
      <c r="H22" s="45" t="s">
        <v>27</v>
      </c>
      <c r="I22" s="108">
        <f>I12</f>
        <v>12134.97</v>
      </c>
      <c r="J22" s="167">
        <f>G22/I22*10000</f>
        <v>55.690290128447</v>
      </c>
      <c r="K22" s="92"/>
      <c r="O22" s="94"/>
      <c r="P22" s="95"/>
      <c r="Q22" s="95"/>
      <c r="R22" s="95"/>
      <c r="S22" s="95"/>
    </row>
    <row r="23" s="151" customFormat="1" ht="36.95" customHeight="1" spans="1:19">
      <c r="A23" s="168">
        <v>6.1</v>
      </c>
      <c r="B23" s="3" t="s">
        <v>140</v>
      </c>
      <c r="C23" s="38"/>
      <c r="D23" s="40">
        <f t="shared" ref="D23:D27" si="9">I23*J23/10000</f>
        <v>9.6</v>
      </c>
      <c r="E23" s="169"/>
      <c r="F23" s="170"/>
      <c r="G23" s="40">
        <f t="shared" si="7"/>
        <v>9.6</v>
      </c>
      <c r="H23" s="58" t="s">
        <v>45</v>
      </c>
      <c r="I23" s="38">
        <v>300</v>
      </c>
      <c r="J23" s="157">
        <v>320</v>
      </c>
      <c r="K23" s="164"/>
      <c r="O23" s="171"/>
      <c r="P23" s="172"/>
      <c r="Q23" s="172"/>
      <c r="R23" s="172"/>
      <c r="S23" s="172"/>
    </row>
    <row r="24" s="151" customFormat="1" ht="36.95" customHeight="1" spans="1:19">
      <c r="A24" s="168">
        <v>6.2</v>
      </c>
      <c r="B24" s="3" t="s">
        <v>141</v>
      </c>
      <c r="C24" s="38"/>
      <c r="D24" s="40">
        <f t="shared" si="9"/>
        <v>24</v>
      </c>
      <c r="E24" s="169"/>
      <c r="F24" s="170"/>
      <c r="G24" s="40">
        <f t="shared" si="7"/>
        <v>24</v>
      </c>
      <c r="H24" s="58" t="s">
        <v>45</v>
      </c>
      <c r="I24" s="38">
        <v>800</v>
      </c>
      <c r="J24" s="157">
        <v>300</v>
      </c>
      <c r="K24" s="164"/>
      <c r="O24" s="171"/>
      <c r="P24" s="172"/>
      <c r="Q24" s="172"/>
      <c r="R24" s="172"/>
      <c r="S24" s="172"/>
    </row>
    <row r="25" s="151" customFormat="1" ht="36.95" customHeight="1" spans="1:19">
      <c r="A25" s="168">
        <v>6.3</v>
      </c>
      <c r="B25" s="3" t="s">
        <v>142</v>
      </c>
      <c r="C25" s="38"/>
      <c r="D25" s="40">
        <f t="shared" si="9"/>
        <v>0.3</v>
      </c>
      <c r="E25" s="169"/>
      <c r="F25" s="170"/>
      <c r="G25" s="40">
        <f t="shared" si="7"/>
        <v>0.3</v>
      </c>
      <c r="H25" s="58" t="s">
        <v>143</v>
      </c>
      <c r="I25" s="38">
        <v>2</v>
      </c>
      <c r="J25" s="157">
        <v>1500</v>
      </c>
      <c r="K25" s="164"/>
      <c r="O25" s="171"/>
      <c r="P25" s="172"/>
      <c r="Q25" s="172"/>
      <c r="R25" s="172"/>
      <c r="S25" s="172"/>
    </row>
    <row r="26" s="151" customFormat="1" ht="36.95" customHeight="1" spans="1:19">
      <c r="A26" s="168">
        <v>6.4</v>
      </c>
      <c r="B26" s="3" t="s">
        <v>144</v>
      </c>
      <c r="C26" s="38"/>
      <c r="D26" s="40">
        <f t="shared" si="9"/>
        <v>1.2</v>
      </c>
      <c r="E26" s="169"/>
      <c r="F26" s="170"/>
      <c r="G26" s="40">
        <f t="shared" si="7"/>
        <v>1.2</v>
      </c>
      <c r="H26" s="58" t="s">
        <v>97</v>
      </c>
      <c r="I26" s="38">
        <v>1</v>
      </c>
      <c r="J26" s="157">
        <v>12000</v>
      </c>
      <c r="K26" s="164"/>
      <c r="O26" s="171"/>
      <c r="P26" s="172"/>
      <c r="Q26" s="172"/>
      <c r="R26" s="172"/>
      <c r="S26" s="172"/>
    </row>
    <row r="27" s="151" customFormat="1" ht="36.95" customHeight="1" spans="1:19">
      <c r="A27" s="168">
        <v>6.5</v>
      </c>
      <c r="B27" s="3" t="s">
        <v>145</v>
      </c>
      <c r="C27" s="38"/>
      <c r="D27" s="40">
        <f t="shared" si="9"/>
        <v>1.68</v>
      </c>
      <c r="E27" s="169"/>
      <c r="F27" s="170"/>
      <c r="G27" s="40">
        <f t="shared" si="7"/>
        <v>1.68</v>
      </c>
      <c r="H27" s="58" t="s">
        <v>97</v>
      </c>
      <c r="I27" s="38">
        <v>12</v>
      </c>
      <c r="J27" s="157">
        <v>1400</v>
      </c>
      <c r="K27" s="164"/>
      <c r="O27" s="171"/>
      <c r="P27" s="172"/>
      <c r="Q27" s="172"/>
      <c r="R27" s="172"/>
      <c r="S27" s="172"/>
    </row>
    <row r="28" s="151" customFormat="1" ht="36.95" customHeight="1" spans="1:19">
      <c r="A28" s="168">
        <v>6.6</v>
      </c>
      <c r="B28" s="3" t="s">
        <v>146</v>
      </c>
      <c r="C28" s="38">
        <f t="shared" ref="C28:C33" si="10">I28*J28/10000</f>
        <v>18</v>
      </c>
      <c r="D28" s="40"/>
      <c r="E28" s="169"/>
      <c r="F28" s="170"/>
      <c r="G28" s="40">
        <f t="shared" si="7"/>
        <v>18</v>
      </c>
      <c r="H28" s="58" t="s">
        <v>97</v>
      </c>
      <c r="I28" s="38">
        <v>1</v>
      </c>
      <c r="J28" s="157">
        <v>180000</v>
      </c>
      <c r="K28" s="164"/>
      <c r="O28" s="171"/>
      <c r="P28" s="172"/>
      <c r="Q28" s="172"/>
      <c r="R28" s="172"/>
      <c r="S28" s="172"/>
    </row>
    <row r="29" s="151" customFormat="1" ht="36.95" customHeight="1" spans="1:19">
      <c r="A29" s="168">
        <v>6.7</v>
      </c>
      <c r="B29" s="3" t="s">
        <v>147</v>
      </c>
      <c r="C29" s="38">
        <f t="shared" si="10"/>
        <v>12.8</v>
      </c>
      <c r="D29" s="40"/>
      <c r="E29" s="169"/>
      <c r="F29" s="170"/>
      <c r="G29" s="40">
        <f t="shared" si="7"/>
        <v>12.8</v>
      </c>
      <c r="H29" s="58" t="s">
        <v>97</v>
      </c>
      <c r="I29" s="38">
        <v>16</v>
      </c>
      <c r="J29" s="157">
        <v>8000</v>
      </c>
      <c r="K29" s="164"/>
      <c r="O29" s="171"/>
      <c r="P29" s="172"/>
      <c r="Q29" s="172"/>
      <c r="R29" s="172"/>
      <c r="S29" s="172"/>
    </row>
    <row r="30" s="151" customFormat="1" customHeight="1" spans="1:19">
      <c r="A30" s="162">
        <v>7</v>
      </c>
      <c r="B30" s="163" t="s">
        <v>99</v>
      </c>
      <c r="C30" s="108">
        <f>SUM(C31:C33)</f>
        <v>4.2</v>
      </c>
      <c r="D30" s="159">
        <f>SUM(D31:D33)</f>
        <v>24</v>
      </c>
      <c r="E30" s="169"/>
      <c r="F30" s="170"/>
      <c r="G30" s="169">
        <f t="shared" si="7"/>
        <v>28.2</v>
      </c>
      <c r="H30" s="173" t="s">
        <v>27</v>
      </c>
      <c r="I30" s="108">
        <f>I12</f>
        <v>12134.97</v>
      </c>
      <c r="J30" s="167">
        <f>G30/I30*10000</f>
        <v>23.2386235812697</v>
      </c>
      <c r="K30" s="164"/>
      <c r="O30" s="171"/>
      <c r="P30" s="172"/>
      <c r="Q30" s="172"/>
      <c r="R30" s="172"/>
      <c r="S30" s="172"/>
    </row>
    <row r="31" s="151" customFormat="1" customHeight="1" spans="1:19">
      <c r="A31" s="122">
        <v>7.1</v>
      </c>
      <c r="B31" s="3" t="s">
        <v>148</v>
      </c>
      <c r="C31" s="38"/>
      <c r="D31" s="40">
        <f>I31*J31/10000</f>
        <v>24</v>
      </c>
      <c r="E31" s="169"/>
      <c r="F31" s="170"/>
      <c r="G31" s="57">
        <f t="shared" si="7"/>
        <v>24</v>
      </c>
      <c r="H31" s="58" t="s">
        <v>45</v>
      </c>
      <c r="I31" s="38">
        <v>300</v>
      </c>
      <c r="J31" s="157">
        <v>800</v>
      </c>
      <c r="K31" s="164"/>
      <c r="O31" s="171"/>
      <c r="P31" s="172"/>
      <c r="Q31" s="172"/>
      <c r="R31" s="172"/>
      <c r="S31" s="172"/>
    </row>
    <row r="32" s="151" customFormat="1" customHeight="1" spans="1:19">
      <c r="A32" s="122">
        <v>7.2</v>
      </c>
      <c r="B32" s="3" t="s">
        <v>149</v>
      </c>
      <c r="C32" s="38">
        <f t="shared" si="10"/>
        <v>2.4</v>
      </c>
      <c r="D32" s="40"/>
      <c r="E32" s="169"/>
      <c r="F32" s="170"/>
      <c r="G32" s="57">
        <f t="shared" si="7"/>
        <v>2.4</v>
      </c>
      <c r="H32" s="58" t="s">
        <v>97</v>
      </c>
      <c r="I32" s="38">
        <v>2</v>
      </c>
      <c r="J32" s="157">
        <v>12000</v>
      </c>
      <c r="K32" s="164"/>
      <c r="O32" s="171"/>
      <c r="P32" s="172"/>
      <c r="Q32" s="172"/>
      <c r="R32" s="172"/>
      <c r="S32" s="172"/>
    </row>
    <row r="33" s="151" customFormat="1" customHeight="1" spans="1:19">
      <c r="A33" s="122">
        <v>7.3</v>
      </c>
      <c r="B33" s="3" t="s">
        <v>150</v>
      </c>
      <c r="C33" s="38">
        <f t="shared" si="10"/>
        <v>1.8</v>
      </c>
      <c r="D33" s="40"/>
      <c r="E33" s="169"/>
      <c r="F33" s="170"/>
      <c r="G33" s="57">
        <f t="shared" si="7"/>
        <v>1.8</v>
      </c>
      <c r="H33" s="58" t="s">
        <v>97</v>
      </c>
      <c r="I33" s="38">
        <v>1</v>
      </c>
      <c r="J33" s="157">
        <v>18000</v>
      </c>
      <c r="K33" s="164"/>
      <c r="O33" s="171"/>
      <c r="P33" s="172"/>
      <c r="Q33" s="172"/>
      <c r="R33" s="172"/>
      <c r="S33" s="172"/>
    </row>
    <row r="34" s="151" customFormat="1" customHeight="1" spans="1:19">
      <c r="A34" s="162">
        <v>8</v>
      </c>
      <c r="B34" s="163" t="s">
        <v>100</v>
      </c>
      <c r="C34" s="159">
        <f>SUM(C35:C38)</f>
        <v>4.8</v>
      </c>
      <c r="D34" s="159">
        <f>SUM(D35:D38)</f>
        <v>100</v>
      </c>
      <c r="E34" s="159">
        <f>SUM(E35:E38)</f>
        <v>70</v>
      </c>
      <c r="F34" s="159"/>
      <c r="G34" s="169">
        <f t="shared" si="7"/>
        <v>174.8</v>
      </c>
      <c r="H34" s="173" t="s">
        <v>27</v>
      </c>
      <c r="I34" s="108">
        <f>I12</f>
        <v>12134.97</v>
      </c>
      <c r="J34" s="167">
        <f>G34/I34*10000</f>
        <v>144.046503617232</v>
      </c>
      <c r="K34" s="164"/>
      <c r="O34" s="171"/>
      <c r="P34" s="172"/>
      <c r="Q34" s="172"/>
      <c r="R34" s="172"/>
      <c r="S34" s="172"/>
    </row>
    <row r="35" s="151" customFormat="1" customHeight="1" spans="1:19">
      <c r="A35" s="122">
        <v>8.1</v>
      </c>
      <c r="B35" s="3" t="s">
        <v>151</v>
      </c>
      <c r="C35" s="38"/>
      <c r="D35" s="40">
        <f>I35*J35/10000</f>
        <v>90</v>
      </c>
      <c r="E35" s="169"/>
      <c r="F35" s="170"/>
      <c r="G35" s="57">
        <f t="shared" si="7"/>
        <v>90</v>
      </c>
      <c r="H35" s="58" t="s">
        <v>45</v>
      </c>
      <c r="I35" s="38">
        <v>1500</v>
      </c>
      <c r="J35" s="157">
        <v>600</v>
      </c>
      <c r="K35" s="164"/>
      <c r="O35" s="171"/>
      <c r="P35" s="172"/>
      <c r="Q35" s="172"/>
      <c r="R35" s="172"/>
      <c r="S35" s="172"/>
    </row>
    <row r="36" s="151" customFormat="1" customHeight="1" spans="1:19">
      <c r="A36" s="122">
        <v>8.2</v>
      </c>
      <c r="B36" s="3" t="s">
        <v>152</v>
      </c>
      <c r="C36" s="38">
        <f>I36*J36/10000</f>
        <v>4.8</v>
      </c>
      <c r="D36" s="40"/>
      <c r="E36" s="169"/>
      <c r="F36" s="170"/>
      <c r="G36" s="57">
        <f t="shared" si="7"/>
        <v>4.8</v>
      </c>
      <c r="H36" s="58" t="s">
        <v>97</v>
      </c>
      <c r="I36" s="38">
        <v>6</v>
      </c>
      <c r="J36" s="157">
        <v>8000</v>
      </c>
      <c r="K36" s="164"/>
      <c r="O36" s="171"/>
      <c r="P36" s="172"/>
      <c r="Q36" s="172"/>
      <c r="R36" s="172"/>
      <c r="S36" s="172"/>
    </row>
    <row r="37" s="151" customFormat="1" customHeight="1" spans="1:19">
      <c r="A37" s="122">
        <v>8.3</v>
      </c>
      <c r="B37" s="3" t="s">
        <v>153</v>
      </c>
      <c r="C37" s="38"/>
      <c r="D37" s="40">
        <f>I37*J37/10000</f>
        <v>10</v>
      </c>
      <c r="E37" s="169"/>
      <c r="F37" s="170"/>
      <c r="G37" s="57">
        <f t="shared" si="7"/>
        <v>10</v>
      </c>
      <c r="H37" s="58" t="s">
        <v>154</v>
      </c>
      <c r="I37" s="38">
        <v>20</v>
      </c>
      <c r="J37" s="157">
        <v>5000</v>
      </c>
      <c r="K37" s="164"/>
      <c r="O37" s="171"/>
      <c r="P37" s="172"/>
      <c r="Q37" s="172"/>
      <c r="R37" s="172"/>
      <c r="S37" s="172"/>
    </row>
    <row r="38" s="151" customFormat="1" customHeight="1" spans="1:19">
      <c r="A38" s="122">
        <v>8.4</v>
      </c>
      <c r="B38" s="3" t="s">
        <v>155</v>
      </c>
      <c r="C38" s="38"/>
      <c r="D38" s="40"/>
      <c r="E38" s="169">
        <f>I38*J38/10000</f>
        <v>70</v>
      </c>
      <c r="F38" s="170"/>
      <c r="G38" s="57">
        <f t="shared" si="7"/>
        <v>70</v>
      </c>
      <c r="H38" s="58" t="s">
        <v>156</v>
      </c>
      <c r="I38" s="38">
        <v>2</v>
      </c>
      <c r="J38" s="157">
        <v>350000</v>
      </c>
      <c r="K38" s="164"/>
      <c r="O38" s="171"/>
      <c r="P38" s="172"/>
      <c r="Q38" s="172"/>
      <c r="R38" s="172"/>
      <c r="S38" s="172"/>
    </row>
    <row r="39" s="151" customFormat="1" customHeight="1" spans="1:19">
      <c r="A39" s="174" t="s">
        <v>12</v>
      </c>
      <c r="B39" s="175" t="s">
        <v>13</v>
      </c>
      <c r="C39" s="169"/>
      <c r="D39" s="169"/>
      <c r="E39" s="169"/>
      <c r="F39" s="169">
        <f>SUM(F40:F57)</f>
        <v>554.64921518</v>
      </c>
      <c r="G39" s="169">
        <f>SUM(G40:G57)</f>
        <v>554.64921518</v>
      </c>
      <c r="H39" s="173" t="s">
        <v>56</v>
      </c>
      <c r="I39" s="108"/>
      <c r="J39" s="108"/>
      <c r="K39" s="117">
        <f>G39/G59</f>
        <v>0.0612165235618878</v>
      </c>
      <c r="O39" s="176" t="s">
        <v>157</v>
      </c>
    </row>
    <row r="40" s="5" customFormat="1" customHeight="1" spans="1:19">
      <c r="A40" s="103">
        <v>1</v>
      </c>
      <c r="B40" s="55" t="s">
        <v>158</v>
      </c>
      <c r="C40" s="57"/>
      <c r="D40" s="57"/>
      <c r="E40" s="57"/>
      <c r="F40" s="57">
        <f t="shared" ref="F40:F43" si="11">I40*J40</f>
        <v>47.0079348</v>
      </c>
      <c r="G40" s="57">
        <f t="shared" ref="G40:G58" si="12">F40</f>
        <v>47.0079348</v>
      </c>
      <c r="H40" s="58" t="s">
        <v>56</v>
      </c>
      <c r="I40" s="177">
        <f>G5</f>
        <v>7834.6558</v>
      </c>
      <c r="J40" s="59">
        <v>0.006</v>
      </c>
      <c r="K40" s="107"/>
    </row>
    <row r="41" s="5" customFormat="1" customHeight="1" spans="1:19">
      <c r="A41" s="103">
        <v>2</v>
      </c>
      <c r="B41" s="55" t="s">
        <v>58</v>
      </c>
      <c r="C41" s="57"/>
      <c r="D41" s="57"/>
      <c r="E41" s="57"/>
      <c r="F41" s="57">
        <f t="shared" si="11"/>
        <v>78.346558</v>
      </c>
      <c r="G41" s="57">
        <f t="shared" si="12"/>
        <v>78.346558</v>
      </c>
      <c r="H41" s="58" t="s">
        <v>56</v>
      </c>
      <c r="I41" s="177">
        <f>G5</f>
        <v>7834.6558</v>
      </c>
      <c r="J41" s="59">
        <v>0.01</v>
      </c>
      <c r="K41" s="107"/>
    </row>
    <row r="42" s="5" customFormat="1" customHeight="1" spans="1:19">
      <c r="A42" s="103">
        <v>3</v>
      </c>
      <c r="B42" s="55" t="s">
        <v>159</v>
      </c>
      <c r="C42" s="57"/>
      <c r="D42" s="57"/>
      <c r="E42" s="57"/>
      <c r="F42" s="57">
        <f t="shared" si="11"/>
        <v>19.5866395</v>
      </c>
      <c r="G42" s="57">
        <f t="shared" si="12"/>
        <v>19.5866395</v>
      </c>
      <c r="H42" s="58" t="s">
        <v>56</v>
      </c>
      <c r="I42" s="177">
        <f>G5</f>
        <v>7834.6558</v>
      </c>
      <c r="J42" s="59">
        <v>0.0025</v>
      </c>
      <c r="K42" s="107"/>
    </row>
    <row r="43" s="5" customFormat="1" customHeight="1" spans="1:19">
      <c r="A43" s="103">
        <v>4</v>
      </c>
      <c r="B43" s="55" t="s">
        <v>61</v>
      </c>
      <c r="C43" s="57"/>
      <c r="D43" s="57"/>
      <c r="E43" s="57"/>
      <c r="F43" s="57">
        <f t="shared" si="11"/>
        <v>148.8584602</v>
      </c>
      <c r="G43" s="57">
        <f t="shared" si="12"/>
        <v>148.8584602</v>
      </c>
      <c r="H43" s="58" t="s">
        <v>56</v>
      </c>
      <c r="I43" s="177">
        <f>G5</f>
        <v>7834.6558</v>
      </c>
      <c r="J43" s="59">
        <v>0.019</v>
      </c>
      <c r="K43" s="107"/>
    </row>
    <row r="44" s="5" customFormat="1" customHeight="1" spans="1:19">
      <c r="A44" s="103">
        <v>5</v>
      </c>
      <c r="B44" s="55" t="s">
        <v>160</v>
      </c>
      <c r="C44" s="57"/>
      <c r="D44" s="57"/>
      <c r="E44" s="57"/>
      <c r="F44" s="57">
        <f>I44*J44/10000</f>
        <v>4.4899389</v>
      </c>
      <c r="G44" s="57">
        <f t="shared" si="12"/>
        <v>4.4899389</v>
      </c>
      <c r="H44" s="58" t="s">
        <v>102</v>
      </c>
      <c r="I44" s="177">
        <f>I5</f>
        <v>12134.97</v>
      </c>
      <c r="J44" s="104">
        <v>3.7</v>
      </c>
      <c r="K44" s="107"/>
    </row>
    <row r="45" s="5" customFormat="1" customHeight="1" spans="1:19">
      <c r="A45" s="103">
        <v>6</v>
      </c>
      <c r="B45" s="55" t="s">
        <v>161</v>
      </c>
      <c r="C45" s="57"/>
      <c r="D45" s="57"/>
      <c r="E45" s="57"/>
      <c r="F45" s="57">
        <f>I45*J45*0.9</f>
        <v>42.30714132</v>
      </c>
      <c r="G45" s="57">
        <f t="shared" si="12"/>
        <v>42.30714132</v>
      </c>
      <c r="H45" s="58" t="s">
        <v>56</v>
      </c>
      <c r="I45" s="177">
        <f>G5</f>
        <v>7834.6558</v>
      </c>
      <c r="J45" s="59">
        <v>0.006</v>
      </c>
      <c r="K45" s="107"/>
    </row>
    <row r="46" s="5" customFormat="1" customHeight="1" spans="1:19">
      <c r="A46" s="103">
        <v>7</v>
      </c>
      <c r="B46" s="55" t="s">
        <v>64</v>
      </c>
      <c r="C46" s="57"/>
      <c r="D46" s="57"/>
      <c r="E46" s="57"/>
      <c r="F46" s="57">
        <f t="shared" ref="F46:F52" si="13">I46*J46</f>
        <v>40.74021016</v>
      </c>
      <c r="G46" s="57">
        <f t="shared" si="12"/>
        <v>40.74021016</v>
      </c>
      <c r="H46" s="58" t="s">
        <v>56</v>
      </c>
      <c r="I46" s="177">
        <f>G5</f>
        <v>7834.6558</v>
      </c>
      <c r="J46" s="59">
        <v>0.0052</v>
      </c>
      <c r="K46" s="107"/>
    </row>
    <row r="47" s="5" customFormat="1" customHeight="1" spans="1:19">
      <c r="A47" s="103">
        <v>8</v>
      </c>
      <c r="B47" s="55" t="s">
        <v>63</v>
      </c>
      <c r="C47" s="57"/>
      <c r="D47" s="57"/>
      <c r="E47" s="57"/>
      <c r="F47" s="57">
        <f>1+2.8+2.75+14+(I47-5000)*0.002*0.8</f>
        <v>25.08544928</v>
      </c>
      <c r="G47" s="57">
        <f t="shared" si="12"/>
        <v>25.08544928</v>
      </c>
      <c r="H47" s="58" t="s">
        <v>56</v>
      </c>
      <c r="I47" s="177">
        <f>G5</f>
        <v>7834.6558</v>
      </c>
      <c r="J47" s="59">
        <f t="shared" ref="J47:J50" si="14">G47/I47</f>
        <v>0.00320185722517638</v>
      </c>
      <c r="K47" s="107"/>
    </row>
    <row r="48" s="5" customFormat="1" customHeight="1" spans="1:19">
      <c r="A48" s="103">
        <v>9</v>
      </c>
      <c r="B48" s="55" t="s">
        <v>73</v>
      </c>
      <c r="C48" s="57"/>
      <c r="D48" s="57"/>
      <c r="E48" s="57"/>
      <c r="F48" s="57">
        <f t="shared" si="13"/>
        <v>39.173279</v>
      </c>
      <c r="G48" s="57">
        <f t="shared" si="12"/>
        <v>39.173279</v>
      </c>
      <c r="H48" s="58" t="s">
        <v>56</v>
      </c>
      <c r="I48" s="177">
        <f>G5</f>
        <v>7834.6558</v>
      </c>
      <c r="J48" s="59">
        <v>0.005</v>
      </c>
      <c r="K48" s="107"/>
    </row>
    <row r="49" s="5" customFormat="1" customHeight="1" spans="1:11">
      <c r="A49" s="103">
        <v>10</v>
      </c>
      <c r="B49" s="55" t="s">
        <v>162</v>
      </c>
      <c r="C49" s="57"/>
      <c r="D49" s="57"/>
      <c r="E49" s="57"/>
      <c r="F49" s="57">
        <v>22</v>
      </c>
      <c r="G49" s="57">
        <f t="shared" si="12"/>
        <v>22</v>
      </c>
      <c r="H49" s="58" t="s">
        <v>56</v>
      </c>
      <c r="I49" s="177">
        <f>I48</f>
        <v>7834.6558</v>
      </c>
      <c r="J49" s="59">
        <f t="shared" si="14"/>
        <v>0.0028080365700303</v>
      </c>
      <c r="K49" s="107"/>
    </row>
    <row r="50" s="5" customFormat="1" customHeight="1" spans="1:11">
      <c r="A50" s="103">
        <v>11</v>
      </c>
      <c r="B50" s="55" t="s">
        <v>163</v>
      </c>
      <c r="C50" s="57"/>
      <c r="D50" s="57"/>
      <c r="E50" s="57"/>
      <c r="F50" s="57">
        <v>8.5</v>
      </c>
      <c r="G50" s="57">
        <f t="shared" si="12"/>
        <v>8.5</v>
      </c>
      <c r="H50" s="58" t="s">
        <v>56</v>
      </c>
      <c r="I50" s="177">
        <f>I49</f>
        <v>7834.6558</v>
      </c>
      <c r="J50" s="59">
        <f t="shared" si="14"/>
        <v>0.00108492322023898</v>
      </c>
      <c r="K50" s="107"/>
    </row>
    <row r="51" s="5" customFormat="1" customHeight="1" spans="1:11">
      <c r="A51" s="103">
        <v>12</v>
      </c>
      <c r="B51" s="55" t="s">
        <v>164</v>
      </c>
      <c r="C51" s="57"/>
      <c r="D51" s="57"/>
      <c r="E51" s="57"/>
      <c r="F51" s="57">
        <f t="shared" si="13"/>
        <v>23.5039674</v>
      </c>
      <c r="G51" s="57">
        <f t="shared" si="12"/>
        <v>23.5039674</v>
      </c>
      <c r="H51" s="58" t="s">
        <v>56</v>
      </c>
      <c r="I51" s="177">
        <f>G5</f>
        <v>7834.6558</v>
      </c>
      <c r="J51" s="59">
        <v>0.003</v>
      </c>
      <c r="K51" s="107"/>
    </row>
    <row r="52" s="5" customFormat="1" customHeight="1" spans="1:11">
      <c r="A52" s="103">
        <v>13</v>
      </c>
      <c r="B52" s="55" t="s">
        <v>165</v>
      </c>
      <c r="C52" s="57"/>
      <c r="D52" s="57"/>
      <c r="E52" s="57"/>
      <c r="F52" s="57">
        <f t="shared" si="13"/>
        <v>15.6693116</v>
      </c>
      <c r="G52" s="57">
        <f t="shared" si="12"/>
        <v>15.6693116</v>
      </c>
      <c r="H52" s="58" t="s">
        <v>56</v>
      </c>
      <c r="I52" s="177">
        <f>G5</f>
        <v>7834.6558</v>
      </c>
      <c r="J52" s="59">
        <v>0.002</v>
      </c>
      <c r="K52" s="107"/>
    </row>
    <row r="53" s="5" customFormat="1" customHeight="1" spans="1:11">
      <c r="A53" s="103">
        <v>14</v>
      </c>
      <c r="B53" s="55" t="s">
        <v>108</v>
      </c>
      <c r="C53" s="57"/>
      <c r="D53" s="57"/>
      <c r="E53" s="57"/>
      <c r="F53" s="57">
        <f>I53*2/10000</f>
        <v>2.426994</v>
      </c>
      <c r="G53" s="57">
        <f t="shared" si="12"/>
        <v>2.426994</v>
      </c>
      <c r="H53" s="58" t="s">
        <v>102</v>
      </c>
      <c r="I53" s="177">
        <f>I7</f>
        <v>12134.97</v>
      </c>
      <c r="J53" s="38">
        <v>2</v>
      </c>
      <c r="K53" s="107"/>
    </row>
    <row r="54" s="5" customFormat="1" customHeight="1" spans="1:11">
      <c r="A54" s="103">
        <v>15</v>
      </c>
      <c r="B54" s="55" t="s">
        <v>166</v>
      </c>
      <c r="C54" s="57"/>
      <c r="D54" s="57"/>
      <c r="E54" s="57"/>
      <c r="F54" s="57">
        <f t="shared" ref="F54:F57" si="15">I54*J54/10000</f>
        <v>8</v>
      </c>
      <c r="G54" s="57">
        <f t="shared" si="12"/>
        <v>8</v>
      </c>
      <c r="H54" s="58" t="s">
        <v>53</v>
      </c>
      <c r="I54" s="177">
        <v>1</v>
      </c>
      <c r="J54" s="38">
        <v>80000</v>
      </c>
      <c r="K54" s="107"/>
    </row>
    <row r="55" s="5" customFormat="1" customHeight="1" spans="1:11">
      <c r="A55" s="103">
        <v>16</v>
      </c>
      <c r="B55" s="55" t="s">
        <v>109</v>
      </c>
      <c r="C55" s="57"/>
      <c r="D55" s="57"/>
      <c r="E55" s="57"/>
      <c r="F55" s="57">
        <f>I55*J55</f>
        <v>14.88584602</v>
      </c>
      <c r="G55" s="57">
        <f t="shared" si="12"/>
        <v>14.88584602</v>
      </c>
      <c r="H55" s="58" t="s">
        <v>56</v>
      </c>
      <c r="I55" s="177">
        <f>G5</f>
        <v>7834.6558</v>
      </c>
      <c r="J55" s="59">
        <v>0.0019</v>
      </c>
      <c r="K55" s="107"/>
    </row>
    <row r="56" s="5" customFormat="1" customHeight="1" spans="1:11">
      <c r="A56" s="103">
        <v>17</v>
      </c>
      <c r="B56" s="55" t="s">
        <v>110</v>
      </c>
      <c r="C56" s="57"/>
      <c r="D56" s="57"/>
      <c r="E56" s="57"/>
      <c r="F56" s="57">
        <f t="shared" si="15"/>
        <v>8</v>
      </c>
      <c r="G56" s="57">
        <f t="shared" si="12"/>
        <v>8</v>
      </c>
      <c r="H56" s="58" t="s">
        <v>53</v>
      </c>
      <c r="I56" s="178">
        <v>1</v>
      </c>
      <c r="J56" s="104">
        <v>80000</v>
      </c>
      <c r="K56" s="107"/>
    </row>
    <row r="57" s="5" customFormat="1" customHeight="1" spans="1:11">
      <c r="A57" s="103">
        <v>18</v>
      </c>
      <c r="B57" s="55" t="s">
        <v>111</v>
      </c>
      <c r="C57" s="57"/>
      <c r="D57" s="57"/>
      <c r="E57" s="57"/>
      <c r="F57" s="57">
        <f t="shared" si="15"/>
        <v>6.067485</v>
      </c>
      <c r="G57" s="57">
        <f t="shared" si="12"/>
        <v>6.067485</v>
      </c>
      <c r="H57" s="58" t="s">
        <v>102</v>
      </c>
      <c r="I57" s="177">
        <f>I5</f>
        <v>12134.97</v>
      </c>
      <c r="J57" s="104">
        <v>5</v>
      </c>
      <c r="K57" s="107"/>
    </row>
    <row r="58" s="4" customFormat="1" customHeight="1" spans="1:11">
      <c r="A58" s="42" t="s">
        <v>14</v>
      </c>
      <c r="B58" s="62" t="s">
        <v>82</v>
      </c>
      <c r="C58" s="26"/>
      <c r="D58" s="26"/>
      <c r="E58" s="26"/>
      <c r="F58" s="26">
        <f>I58*J58</f>
        <v>671.1444012144</v>
      </c>
      <c r="G58" s="26">
        <f t="shared" si="12"/>
        <v>671.1444012144</v>
      </c>
      <c r="H58" s="45" t="s">
        <v>56</v>
      </c>
      <c r="I58" s="26">
        <f>G39+G5</f>
        <v>8389.30501518</v>
      </c>
      <c r="J58" s="63">
        <v>0.08</v>
      </c>
      <c r="K58" s="27">
        <f>G58/G59</f>
        <v>0.0740740740740741</v>
      </c>
    </row>
    <row r="59" s="4" customFormat="1" customHeight="1" spans="1:11">
      <c r="A59" s="65" t="s">
        <v>83</v>
      </c>
      <c r="B59" s="66" t="s">
        <v>17</v>
      </c>
      <c r="C59" s="68">
        <f>C5</f>
        <v>5836.51988</v>
      </c>
      <c r="D59" s="67">
        <f>D5</f>
        <v>981.103972</v>
      </c>
      <c r="E59" s="68"/>
      <c r="F59" s="68">
        <f>F39+F58</f>
        <v>1225.7936163944</v>
      </c>
      <c r="G59" s="68">
        <f>G5+G39+G58</f>
        <v>9060.4494163944</v>
      </c>
      <c r="H59" s="69" t="s">
        <v>102</v>
      </c>
      <c r="I59" s="70">
        <f>I5</f>
        <v>12134.97</v>
      </c>
      <c r="J59" s="179">
        <f>G59/I59*10000</f>
        <v>7466.39622215333</v>
      </c>
      <c r="K59" s="71">
        <v>1</v>
      </c>
    </row>
    <row r="61" customHeight="1" spans="1:11">
      <c r="I61" s="75">
        <f>G59/I7</f>
        <v>0.746639622215333</v>
      </c>
    </row>
    <row r="62" customHeight="1" spans="1:11">
      <c r="G62" s="8">
        <v>9133.4</v>
      </c>
    </row>
    <row r="64" customHeight="1" spans="1:11">
      <c r="K64" s="7">
        <v>9248.41</v>
      </c>
    </row>
    <row r="65" customHeight="1" spans="11:11">
      <c r="K65" s="7">
        <f>G59-K64</f>
        <v>-187.9605836056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1:K1"/>
    <mergeCell ref="A2:K2"/>
    <mergeCell ref="C3:G3"/>
    <mergeCell ref="H3:J3"/>
    <mergeCell ref="A3:A4"/>
    <mergeCell ref="B3:B4"/>
    <mergeCell ref="O9:O15"/>
    <mergeCell ref="O19:O22"/>
  </mergeCells>
  <pageMargins left="0.590277777777778" right="0.590277777777778" top="0.590277777777778" bottom="0.590277777777778" header="0.5" footer="0.5"/>
  <pageSetup paperSize="9" scale="62" orientation="landscape"/>
  <headerFooter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pane ySplit="2" topLeftCell="A9" activePane="bottomLeft" state="frozen"/>
      <selection/>
      <selection pane="bottomLeft" activeCell="H13" sqref="H13"/>
    </sheetView>
  </sheetViews>
  <sheetFormatPr defaultColWidth="9.14285714285714" defaultRowHeight="12.75"/>
  <cols>
    <col min="1" max="1" width="9.71428571428571" style="128" customWidth="1"/>
    <col min="2" max="2" width="34.8571428571429" style="128" customWidth="1"/>
    <col min="3" max="3" width="19.4285714285714" style="128" customWidth="1"/>
    <col min="4" max="4" width="19.4285714285714" style="129" customWidth="1"/>
    <col min="5" max="5" width="15.7142857142857" style="129" customWidth="1"/>
    <col min="6" max="6" width="14.4285714285714" style="129" customWidth="1"/>
    <col min="7" max="7" width="15.2857142857143" style="129" customWidth="1"/>
    <col min="8" max="8" width="14.4285714285714" style="129" customWidth="1"/>
    <col min="9" max="9" width="28.1428571428571" style="130" customWidth="1"/>
    <col min="10" max="10" width="18.4285714285714" style="130" customWidth="1"/>
  </cols>
  <sheetData>
    <row r="1" ht="48.95" customHeight="1" spans="1:14">
      <c r="A1" s="131" t="s">
        <v>167</v>
      </c>
      <c r="B1" s="132"/>
      <c r="C1" s="132"/>
      <c r="D1" s="132"/>
      <c r="E1" s="132"/>
      <c r="F1" s="132"/>
      <c r="G1" s="132"/>
      <c r="H1" s="132"/>
      <c r="I1" s="132"/>
      <c r="J1" s="132"/>
    </row>
    <row r="2" ht="30" customHeight="1" spans="1:14">
      <c r="A2" s="133" t="s">
        <v>1</v>
      </c>
      <c r="B2" s="133" t="s">
        <v>20</v>
      </c>
      <c r="C2" s="133" t="s">
        <v>168</v>
      </c>
      <c r="D2" s="134" t="s">
        <v>169</v>
      </c>
      <c r="E2" s="134" t="s">
        <v>24</v>
      </c>
      <c r="F2" s="134" t="s">
        <v>170</v>
      </c>
      <c r="G2" s="134" t="s">
        <v>171</v>
      </c>
      <c r="H2" s="134" t="s">
        <v>172</v>
      </c>
      <c r="I2" s="134" t="s">
        <v>173</v>
      </c>
      <c r="J2" s="134" t="s">
        <v>174</v>
      </c>
    </row>
    <row r="3" s="126" customFormat="1" ht="30" customHeight="1" spans="1:14">
      <c r="A3" s="135" t="s">
        <v>10</v>
      </c>
      <c r="B3" s="135" t="s">
        <v>175</v>
      </c>
      <c r="C3" s="135">
        <v>12361.35</v>
      </c>
      <c r="D3" s="136"/>
      <c r="E3" s="137"/>
      <c r="F3" s="137"/>
      <c r="G3" s="137"/>
      <c r="H3" s="137"/>
      <c r="I3" s="138"/>
      <c r="J3" s="138"/>
    </row>
    <row r="4" s="126" customFormat="1" ht="30" customHeight="1" spans="1:14">
      <c r="A4" s="135"/>
      <c r="B4" s="133" t="s">
        <v>176</v>
      </c>
      <c r="C4" s="135">
        <v>12361.35</v>
      </c>
      <c r="D4" s="136"/>
      <c r="E4" s="133" t="s">
        <v>136</v>
      </c>
      <c r="F4" s="133">
        <f>66*87*2</f>
        <v>11484</v>
      </c>
      <c r="G4" s="133">
        <v>223</v>
      </c>
      <c r="H4" s="134">
        <f>G4*F4/10000</f>
        <v>256.0932</v>
      </c>
      <c r="I4" s="139">
        <f>H4/C4*10000</f>
        <v>207.172517564829</v>
      </c>
      <c r="J4" s="138"/>
    </row>
    <row r="5" s="126" customFormat="1" ht="30" customHeight="1" spans="1:14">
      <c r="A5" s="135"/>
      <c r="B5" s="133" t="s">
        <v>177</v>
      </c>
      <c r="C5" s="133">
        <v>12361.35</v>
      </c>
      <c r="D5" s="140"/>
      <c r="E5" s="133" t="s">
        <v>136</v>
      </c>
      <c r="F5" s="133">
        <f>66*87*2</f>
        <v>11484</v>
      </c>
      <c r="G5" s="133">
        <v>25</v>
      </c>
      <c r="H5" s="134">
        <f>G5*F5/10000</f>
        <v>28.71</v>
      </c>
      <c r="I5" s="139">
        <f>H5/C5*10000</f>
        <v>23.2256185610795</v>
      </c>
      <c r="J5" s="138"/>
    </row>
    <row r="6" s="127" customFormat="1" ht="30" customHeight="1" spans="1:14">
      <c r="A6" s="141">
        <v>1</v>
      </c>
      <c r="B6" s="142" t="s">
        <v>178</v>
      </c>
      <c r="C6" s="142">
        <v>12361.35</v>
      </c>
      <c r="D6" s="143"/>
      <c r="E6" s="143" t="s">
        <v>179</v>
      </c>
      <c r="F6" s="144">
        <v>300</v>
      </c>
      <c r="G6" s="144">
        <v>4300</v>
      </c>
      <c r="H6" s="144">
        <f>F6*G6/10000</f>
        <v>129</v>
      </c>
      <c r="I6" s="145">
        <f>H6/C6*10000</f>
        <v>104.357533764516</v>
      </c>
      <c r="J6" s="145"/>
    </row>
    <row r="7" ht="30" customHeight="1" spans="1:14">
      <c r="A7" s="146">
        <v>2</v>
      </c>
      <c r="B7" s="133" t="s">
        <v>180</v>
      </c>
      <c r="C7" s="133">
        <v>12361.35</v>
      </c>
      <c r="D7" s="134">
        <v>2.6</v>
      </c>
      <c r="E7" s="147" t="s">
        <v>136</v>
      </c>
      <c r="F7" s="147">
        <f>D7*C7</f>
        <v>32139.51</v>
      </c>
      <c r="G7" s="147">
        <v>60</v>
      </c>
      <c r="H7" s="147">
        <f>G7*F7/10000</f>
        <v>192.83706</v>
      </c>
      <c r="I7" s="148">
        <f t="shared" ref="I7:I16" si="0">H7/C7*10000</f>
        <v>156</v>
      </c>
      <c r="J7" s="148"/>
    </row>
    <row r="8" ht="30" customHeight="1" spans="1:14">
      <c r="A8" s="146">
        <v>3</v>
      </c>
      <c r="B8" s="133" t="s">
        <v>181</v>
      </c>
      <c r="C8" s="133">
        <v>12361.35</v>
      </c>
      <c r="D8" s="134">
        <v>0.49</v>
      </c>
      <c r="E8" s="147" t="s">
        <v>136</v>
      </c>
      <c r="F8" s="147">
        <f>D8*C8</f>
        <v>6057.0615</v>
      </c>
      <c r="G8" s="147">
        <v>580</v>
      </c>
      <c r="H8" s="147">
        <f>F8*G8/10000</f>
        <v>351.309567</v>
      </c>
      <c r="I8" s="148">
        <f t="shared" si="0"/>
        <v>284.2</v>
      </c>
      <c r="J8" s="148"/>
    </row>
    <row r="9" ht="30" customHeight="1" spans="1:14">
      <c r="A9" s="146">
        <v>4</v>
      </c>
      <c r="B9" s="133" t="s">
        <v>182</v>
      </c>
      <c r="C9" s="133">
        <v>12361.35</v>
      </c>
      <c r="D9" s="134">
        <v>0.11</v>
      </c>
      <c r="E9" s="147" t="s">
        <v>136</v>
      </c>
      <c r="F9" s="147">
        <f>D9*C9</f>
        <v>1359.7485</v>
      </c>
      <c r="G9" s="147">
        <v>595</v>
      </c>
      <c r="H9" s="147">
        <f>G9*F9/10000</f>
        <v>80.90503575</v>
      </c>
      <c r="I9" s="148">
        <f t="shared" si="0"/>
        <v>65.45</v>
      </c>
      <c r="J9" s="148"/>
    </row>
    <row r="10" ht="30" customHeight="1" spans="1:14">
      <c r="A10" s="146">
        <v>5</v>
      </c>
      <c r="B10" s="133" t="s">
        <v>183</v>
      </c>
      <c r="C10" s="133">
        <v>12361.35</v>
      </c>
      <c r="D10" s="143"/>
      <c r="E10" s="134" t="s">
        <v>27</v>
      </c>
      <c r="F10" s="147">
        <v>1000</v>
      </c>
      <c r="G10" s="147">
        <v>1200</v>
      </c>
      <c r="H10" s="147">
        <f>F10*G10/10000</f>
        <v>120</v>
      </c>
      <c r="I10" s="148">
        <f t="shared" si="0"/>
        <v>97.0767755948986</v>
      </c>
      <c r="J10" s="148"/>
    </row>
    <row r="11" ht="30" customHeight="1" spans="1:14">
      <c r="A11" s="146">
        <v>6</v>
      </c>
      <c r="B11" s="133" t="s">
        <v>184</v>
      </c>
      <c r="C11" s="133">
        <v>12361.35</v>
      </c>
      <c r="D11" s="143">
        <v>90</v>
      </c>
      <c r="E11" s="147" t="s">
        <v>185</v>
      </c>
      <c r="F11" s="147">
        <f>D11*C11/1000</f>
        <v>1112.5215</v>
      </c>
      <c r="G11" s="147">
        <v>6300</v>
      </c>
      <c r="H11" s="147">
        <f>G11*F11/10000</f>
        <v>700.888545</v>
      </c>
      <c r="I11" s="148">
        <f t="shared" si="0"/>
        <v>567</v>
      </c>
      <c r="J11" s="148"/>
    </row>
    <row r="12" ht="30" customHeight="1" spans="1:14">
      <c r="A12" s="146">
        <v>7</v>
      </c>
      <c r="B12" s="133" t="s">
        <v>186</v>
      </c>
      <c r="C12" s="135">
        <v>12361.35</v>
      </c>
      <c r="D12" s="134">
        <v>3</v>
      </c>
      <c r="E12" s="134" t="s">
        <v>27</v>
      </c>
      <c r="F12" s="147">
        <f>D12*C12</f>
        <v>37084.05</v>
      </c>
      <c r="G12" s="147">
        <v>70</v>
      </c>
      <c r="H12" s="147">
        <f>G12*F12/10000</f>
        <v>259.58835</v>
      </c>
      <c r="I12" s="148">
        <f t="shared" si="0"/>
        <v>210</v>
      </c>
      <c r="J12" s="148"/>
    </row>
    <row r="13" ht="30" customHeight="1" spans="1:14">
      <c r="A13" s="146">
        <v>8</v>
      </c>
      <c r="B13" s="133" t="s">
        <v>187</v>
      </c>
      <c r="C13" s="133">
        <v>12361.35</v>
      </c>
      <c r="D13" s="134"/>
      <c r="E13" s="147" t="s">
        <v>185</v>
      </c>
      <c r="F13" s="147">
        <f>120*5000/1000</f>
        <v>600</v>
      </c>
      <c r="G13" s="147">
        <v>13000</v>
      </c>
      <c r="H13" s="147">
        <f>F13*G13/10000</f>
        <v>780</v>
      </c>
      <c r="I13" s="148">
        <f t="shared" si="0"/>
        <v>630.999041366841</v>
      </c>
      <c r="J13" s="148"/>
    </row>
    <row r="14" ht="30" customHeight="1" spans="1:14">
      <c r="A14" s="146">
        <v>9</v>
      </c>
      <c r="B14" s="133" t="s">
        <v>188</v>
      </c>
      <c r="C14" s="135">
        <v>12361.35</v>
      </c>
      <c r="D14" s="134"/>
      <c r="E14" s="134" t="s">
        <v>27</v>
      </c>
      <c r="F14" s="147">
        <v>5000</v>
      </c>
      <c r="G14" s="147">
        <v>1000</v>
      </c>
      <c r="H14" s="147">
        <f>F14*G14/10000</f>
        <v>500</v>
      </c>
      <c r="I14" s="148">
        <f t="shared" si="0"/>
        <v>404.486564978744</v>
      </c>
      <c r="J14" s="148"/>
    </row>
    <row r="15" ht="30" customHeight="1" spans="1:14">
      <c r="A15" s="146">
        <v>10</v>
      </c>
      <c r="B15" s="133" t="s">
        <v>189</v>
      </c>
      <c r="C15" s="135">
        <v>12361.35</v>
      </c>
      <c r="D15" s="134"/>
      <c r="E15" s="134" t="s">
        <v>27</v>
      </c>
      <c r="F15" s="147">
        <v>1180</v>
      </c>
      <c r="G15" s="147">
        <v>1500</v>
      </c>
      <c r="H15" s="147">
        <f>F15*G15/10000</f>
        <v>177</v>
      </c>
      <c r="I15" s="148">
        <f t="shared" si="0"/>
        <v>143.188244002475</v>
      </c>
      <c r="J15" s="148"/>
    </row>
    <row r="16" s="126" customFormat="1" ht="30" customHeight="1" spans="1:14">
      <c r="A16" s="149"/>
      <c r="B16" s="135" t="s">
        <v>190</v>
      </c>
      <c r="C16" s="135">
        <v>12361.35</v>
      </c>
      <c r="D16" s="136"/>
      <c r="E16" s="136" t="s">
        <v>27</v>
      </c>
      <c r="F16" s="137">
        <f>C16</f>
        <v>12361.35</v>
      </c>
      <c r="G16" s="137">
        <v>183.3</v>
      </c>
      <c r="H16" s="137">
        <f>G16*F16/10000</f>
        <v>226.5835455</v>
      </c>
      <c r="I16" s="138">
        <f t="shared" si="0"/>
        <v>183.3</v>
      </c>
      <c r="J16" s="138"/>
      <c r="N16" s="126">
        <v>2265781</v>
      </c>
    </row>
    <row r="17" ht="30" customHeight="1" spans="1:10">
      <c r="A17" s="133" t="s">
        <v>12</v>
      </c>
      <c r="B17" s="133" t="s">
        <v>191</v>
      </c>
      <c r="C17" s="133">
        <v>12361.35</v>
      </c>
      <c r="D17" s="134"/>
      <c r="E17" s="147"/>
      <c r="F17" s="147"/>
      <c r="G17" s="147"/>
      <c r="H17" s="147"/>
      <c r="I17" s="148"/>
      <c r="J17" s="148"/>
    </row>
    <row r="18" ht="30" customHeight="1" spans="1:10">
      <c r="A18" s="146">
        <v>1</v>
      </c>
      <c r="B18" s="133" t="s">
        <v>192</v>
      </c>
      <c r="C18" s="133">
        <v>12361.35</v>
      </c>
      <c r="D18" s="150"/>
      <c r="E18" s="134" t="s">
        <v>27</v>
      </c>
      <c r="F18" s="147">
        <v>550</v>
      </c>
      <c r="G18" s="147">
        <v>1000</v>
      </c>
      <c r="H18" s="147">
        <f>G18*F18/10000</f>
        <v>55</v>
      </c>
      <c r="I18" s="148">
        <f t="shared" ref="I18:I24" si="1">H18/C18*10000</f>
        <v>44.4935221476619</v>
      </c>
      <c r="J18" s="148"/>
    </row>
    <row r="19" ht="30" customHeight="1" spans="1:10">
      <c r="A19" s="146">
        <v>2</v>
      </c>
      <c r="B19" s="133" t="s">
        <v>193</v>
      </c>
      <c r="C19" s="135">
        <v>12361.35</v>
      </c>
      <c r="D19" s="147">
        <v>0.92</v>
      </c>
      <c r="E19" s="134" t="s">
        <v>27</v>
      </c>
      <c r="F19" s="147">
        <f>D19*C19</f>
        <v>11372.442</v>
      </c>
      <c r="G19" s="147">
        <v>140</v>
      </c>
      <c r="H19" s="147">
        <f>G19*C19/10000</f>
        <v>173.0589</v>
      </c>
      <c r="I19" s="148">
        <f t="shared" si="1"/>
        <v>140</v>
      </c>
      <c r="J19" s="148"/>
    </row>
    <row r="20" ht="30" customHeight="1" spans="1:10">
      <c r="A20" s="146">
        <v>3</v>
      </c>
      <c r="B20" s="133" t="s">
        <v>194</v>
      </c>
      <c r="C20" s="133">
        <v>12361.35</v>
      </c>
      <c r="D20" s="147">
        <v>0.81</v>
      </c>
      <c r="E20" s="134" t="s">
        <v>27</v>
      </c>
      <c r="F20" s="147">
        <f>D20*C20</f>
        <v>10012.6935</v>
      </c>
      <c r="G20" s="147">
        <v>220</v>
      </c>
      <c r="H20" s="147">
        <f>F20*G20/10000</f>
        <v>220.279257</v>
      </c>
      <c r="I20" s="148">
        <f t="shared" si="1"/>
        <v>178.2</v>
      </c>
      <c r="J20" s="148"/>
    </row>
    <row r="21" ht="30" customHeight="1" spans="1:10">
      <c r="A21" s="146">
        <v>4</v>
      </c>
      <c r="B21" s="133" t="s">
        <v>195</v>
      </c>
      <c r="C21" s="133">
        <v>12361.35</v>
      </c>
      <c r="D21" s="147">
        <v>1.5</v>
      </c>
      <c r="E21" s="134" t="s">
        <v>27</v>
      </c>
      <c r="F21" s="147">
        <f>D21*C21</f>
        <v>18542.025</v>
      </c>
      <c r="G21" s="147">
        <v>130</v>
      </c>
      <c r="H21" s="147">
        <f>G21*C21/10000</f>
        <v>160.69755</v>
      </c>
      <c r="I21" s="148">
        <f t="shared" si="1"/>
        <v>130</v>
      </c>
      <c r="J21" s="148"/>
    </row>
    <row r="22" ht="30" customHeight="1" spans="1:10">
      <c r="A22" s="146">
        <v>5</v>
      </c>
      <c r="B22" s="133" t="s">
        <v>196</v>
      </c>
      <c r="C22" s="133">
        <v>12361.35</v>
      </c>
      <c r="D22" s="147"/>
      <c r="E22" s="134" t="s">
        <v>27</v>
      </c>
      <c r="F22" s="147">
        <v>3500</v>
      </c>
      <c r="G22" s="147">
        <v>950</v>
      </c>
      <c r="H22" s="147">
        <f>G22*F22/10000</f>
        <v>332.5</v>
      </c>
      <c r="I22" s="148">
        <f t="shared" si="1"/>
        <v>268.983565710865</v>
      </c>
      <c r="J22" s="148"/>
    </row>
    <row r="23" ht="30" customHeight="1" spans="1:10">
      <c r="A23" s="146">
        <v>6</v>
      </c>
      <c r="B23" s="133" t="s">
        <v>197</v>
      </c>
      <c r="C23" s="133">
        <v>12361.35</v>
      </c>
      <c r="D23" s="147"/>
      <c r="E23" s="134" t="s">
        <v>27</v>
      </c>
      <c r="F23" s="147">
        <v>4700</v>
      </c>
      <c r="G23" s="147">
        <v>160</v>
      </c>
      <c r="H23" s="147">
        <f>G23*F23/10000</f>
        <v>75.2</v>
      </c>
      <c r="I23" s="148">
        <f t="shared" si="1"/>
        <v>60.8347793728031</v>
      </c>
      <c r="J23" s="148"/>
    </row>
    <row r="24" ht="30" customHeight="1" spans="1:10">
      <c r="A24" s="146">
        <v>7</v>
      </c>
      <c r="B24" s="133" t="s">
        <v>198</v>
      </c>
      <c r="C24" s="135">
        <v>12361.35</v>
      </c>
      <c r="D24" s="147"/>
      <c r="E24" s="134" t="s">
        <v>27</v>
      </c>
      <c r="F24" s="147">
        <v>1600</v>
      </c>
      <c r="G24" s="147">
        <v>226</v>
      </c>
      <c r="H24" s="147">
        <f>G24*F24/10000</f>
        <v>36.16</v>
      </c>
      <c r="I24" s="148">
        <f t="shared" si="1"/>
        <v>29.2524683792628</v>
      </c>
      <c r="J24" s="148"/>
    </row>
    <row r="25" s="126" customFormat="1" ht="30" customHeight="1" spans="1:10">
      <c r="A25" s="135" t="s">
        <v>12</v>
      </c>
      <c r="B25" s="135" t="s">
        <v>199</v>
      </c>
      <c r="C25" s="135">
        <v>12361.35</v>
      </c>
      <c r="D25" s="137"/>
      <c r="E25" s="134"/>
      <c r="F25" s="137"/>
      <c r="G25" s="137"/>
      <c r="H25" s="137">
        <f>SUM(H26:H30)</f>
        <v>1039.589535</v>
      </c>
      <c r="I25" s="138"/>
      <c r="J25" s="138"/>
    </row>
    <row r="26" ht="30" customHeight="1" spans="1:10">
      <c r="A26" s="146">
        <v>1</v>
      </c>
      <c r="B26" s="133" t="s">
        <v>31</v>
      </c>
      <c r="C26" s="133">
        <v>12361.35</v>
      </c>
      <c r="D26" s="147"/>
      <c r="E26" s="134" t="s">
        <v>27</v>
      </c>
      <c r="F26" s="134">
        <v>12361.35</v>
      </c>
      <c r="G26" s="147">
        <v>150</v>
      </c>
      <c r="H26" s="147">
        <f>G26*F26/10000</f>
        <v>185.42025</v>
      </c>
      <c r="I26" s="148"/>
      <c r="J26" s="148"/>
    </row>
    <row r="27" ht="30" customHeight="1" spans="1:10">
      <c r="A27" s="146">
        <v>2</v>
      </c>
      <c r="B27" s="133" t="s">
        <v>200</v>
      </c>
      <c r="C27" s="135">
        <v>12361.35</v>
      </c>
      <c r="D27" s="147"/>
      <c r="E27" s="134" t="s">
        <v>27</v>
      </c>
      <c r="F27" s="136">
        <v>12361.35</v>
      </c>
      <c r="G27" s="147">
        <v>220</v>
      </c>
      <c r="H27" s="147">
        <f>G27*F27/10000</f>
        <v>271.9497</v>
      </c>
      <c r="I27" s="148"/>
      <c r="J27" s="148"/>
    </row>
    <row r="28" s="127" customFormat="1" ht="30" customHeight="1" spans="1:10">
      <c r="A28" s="141">
        <v>3</v>
      </c>
      <c r="B28" s="142" t="s">
        <v>201</v>
      </c>
      <c r="C28" s="142">
        <v>12361.35</v>
      </c>
      <c r="D28" s="144"/>
      <c r="E28" s="143" t="s">
        <v>27</v>
      </c>
      <c r="F28" s="143">
        <v>12361.35</v>
      </c>
      <c r="G28" s="144">
        <v>300</v>
      </c>
      <c r="H28" s="144">
        <f>G28*F28/10000*0</f>
        <v>0</v>
      </c>
      <c r="I28" s="145"/>
      <c r="J28" s="145"/>
    </row>
    <row r="29" ht="30" customHeight="1" spans="1:10">
      <c r="A29" s="146">
        <v>4</v>
      </c>
      <c r="B29" s="133" t="s">
        <v>202</v>
      </c>
      <c r="C29" s="133">
        <v>12361.35</v>
      </c>
      <c r="D29" s="147"/>
      <c r="E29" s="134" t="s">
        <v>27</v>
      </c>
      <c r="F29" s="134">
        <v>12361.35</v>
      </c>
      <c r="G29" s="147">
        <v>315</v>
      </c>
      <c r="H29" s="147">
        <f>G29*F29/10000</f>
        <v>389.382525</v>
      </c>
      <c r="I29" s="148"/>
      <c r="J29" s="148"/>
    </row>
    <row r="30" ht="30" customHeight="1" spans="1:10">
      <c r="A30" s="146">
        <v>5</v>
      </c>
      <c r="B30" s="133" t="s">
        <v>203</v>
      </c>
      <c r="C30" s="135">
        <v>12361.35</v>
      </c>
      <c r="D30" s="147"/>
      <c r="E30" s="134" t="s">
        <v>27</v>
      </c>
      <c r="F30" s="136">
        <v>12361.35</v>
      </c>
      <c r="G30" s="147">
        <v>156</v>
      </c>
      <c r="H30" s="147">
        <f>G30*F30/10000</f>
        <v>192.83706</v>
      </c>
      <c r="I30" s="148"/>
      <c r="J30" s="148"/>
    </row>
    <row r="31" ht="30" customHeight="1" spans="1:10">
      <c r="A31" s="133" t="s">
        <v>204</v>
      </c>
      <c r="B31" s="133" t="s">
        <v>205</v>
      </c>
      <c r="C31" s="133">
        <v>12361.35</v>
      </c>
      <c r="D31" s="147"/>
      <c r="E31" s="134" t="s">
        <v>206</v>
      </c>
      <c r="F31" s="134">
        <v>150</v>
      </c>
      <c r="G31" s="147">
        <v>10000</v>
      </c>
      <c r="H31" s="147">
        <f>G31*F31/10000</f>
        <v>150</v>
      </c>
      <c r="I31" s="148">
        <f>H31/C31*10000</f>
        <v>121.345969493623</v>
      </c>
      <c r="J31" s="148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"/>
  <sheetViews>
    <sheetView zoomScale="70" zoomScaleNormal="70" zoomScaleSheetLayoutView="85" topLeftCell="A5" workbookViewId="0">
      <selection activeCell="B14" sqref="B14"/>
    </sheetView>
  </sheetViews>
  <sheetFormatPr defaultColWidth="10.2857142857143" defaultRowHeight="27.95" customHeight="1"/>
  <cols>
    <col min="1" max="1" width="10.4285714285714" style="6"/>
    <col min="2" max="2" width="40.5714285714286" style="7" customWidth="1"/>
    <col min="3" max="3" width="16.8571428571429" style="6"/>
    <col min="4" max="4" width="18.5714285714286" style="6"/>
    <col min="5" max="5" width="15.2857142857143" style="7" customWidth="1"/>
    <col min="6" max="6" width="13.5714285714286" style="7" customWidth="1"/>
    <col min="7" max="7" width="16.8571428571429" style="8"/>
    <col min="8" max="8" width="10.2857142857143" style="6"/>
    <col min="9" max="9" width="20.1428571428571" style="6"/>
    <col min="10" max="10" width="20" style="6"/>
    <col min="11" max="11" width="17.7142857142857" style="7" customWidth="1"/>
    <col min="12" max="12" width="16.1428571428571" style="7" hidden="1" customWidth="1"/>
    <col min="13" max="13" width="10.2857142857143" style="7" hidden="1" customWidth="1"/>
    <col min="14" max="14" width="14.4285714285714" style="7" hidden="1" customWidth="1"/>
    <col min="15" max="16" width="10.2857142857143" style="7"/>
    <col min="17" max="17" width="27.5714285714286" style="7" customWidth="1"/>
    <col min="18" max="19" width="16.2857142857143" style="7"/>
    <col min="20" max="20" width="23.2857142857143" style="7" customWidth="1"/>
    <col min="21" max="21" width="15.8571428571429" style="7"/>
    <col min="22" max="16384" width="10.2857142857143" style="7"/>
  </cols>
  <sheetData>
    <row r="1" ht="42" customHeight="1" spans="1:18">
      <c r="A1" s="9" t="s">
        <v>122</v>
      </c>
      <c r="B1" s="9"/>
      <c r="C1" s="9"/>
      <c r="D1" s="9"/>
      <c r="E1" s="9"/>
      <c r="F1" s="9"/>
      <c r="G1" s="10"/>
      <c r="H1" s="9"/>
      <c r="I1" s="9"/>
      <c r="J1" s="9"/>
      <c r="K1" s="9"/>
    </row>
    <row r="2" customHeight="1" spans="1:18">
      <c r="A2" s="11" t="s">
        <v>207</v>
      </c>
      <c r="B2" s="11"/>
      <c r="C2" s="11"/>
      <c r="D2" s="11"/>
      <c r="E2" s="11"/>
      <c r="F2" s="11"/>
      <c r="G2" s="12"/>
      <c r="H2" s="11"/>
      <c r="I2" s="11"/>
      <c r="J2" s="11"/>
      <c r="K2" s="11"/>
    </row>
    <row r="3" ht="37.5" spans="1:18">
      <c r="A3" s="13" t="s">
        <v>1</v>
      </c>
      <c r="B3" s="14" t="s">
        <v>20</v>
      </c>
      <c r="C3" s="15" t="s">
        <v>86</v>
      </c>
      <c r="D3" s="15"/>
      <c r="E3" s="15"/>
      <c r="F3" s="15"/>
      <c r="G3" s="16"/>
      <c r="H3" s="15" t="s">
        <v>22</v>
      </c>
      <c r="I3" s="15"/>
      <c r="J3" s="15"/>
      <c r="K3" s="17" t="s">
        <v>23</v>
      </c>
    </row>
    <row r="4" customHeight="1" spans="1:18">
      <c r="A4" s="18"/>
      <c r="B4" s="19"/>
      <c r="C4" s="19" t="s">
        <v>175</v>
      </c>
      <c r="D4" s="19" t="s">
        <v>199</v>
      </c>
      <c r="E4" s="19" t="s">
        <v>6</v>
      </c>
      <c r="F4" s="19" t="s">
        <v>8</v>
      </c>
      <c r="G4" s="20" t="s">
        <v>9</v>
      </c>
      <c r="H4" s="21" t="s">
        <v>24</v>
      </c>
      <c r="I4" s="21" t="s">
        <v>25</v>
      </c>
      <c r="J4" s="19" t="s">
        <v>208</v>
      </c>
      <c r="K4" s="22"/>
    </row>
    <row r="5" s="1" customFormat="1" customHeight="1" spans="1:18">
      <c r="A5" s="23" t="s">
        <v>10</v>
      </c>
      <c r="B5" s="24" t="s">
        <v>11</v>
      </c>
      <c r="C5" s="25">
        <f t="shared" ref="C5:G5" si="0">C6+C14</f>
        <v>2045.048</v>
      </c>
      <c r="D5" s="26">
        <f t="shared" si="0"/>
        <v>325.15</v>
      </c>
      <c r="E5" s="25">
        <f t="shared" si="0"/>
        <v>127.5</v>
      </c>
      <c r="F5" s="26"/>
      <c r="G5" s="25">
        <f t="shared" si="0"/>
        <v>2497.698</v>
      </c>
      <c r="H5" s="24" t="s">
        <v>56</v>
      </c>
      <c r="I5" s="26"/>
      <c r="J5" s="24"/>
      <c r="K5" s="27">
        <f>G5/G49</f>
        <v>0.830715879106989</v>
      </c>
    </row>
    <row r="6" s="1" customFormat="1" customHeight="1" spans="1:18">
      <c r="A6" s="28">
        <v>1</v>
      </c>
      <c r="B6" s="29" t="s">
        <v>209</v>
      </c>
      <c r="C6" s="25">
        <f t="shared" ref="C6:G6" si="1">SUM(C7:C13)</f>
        <v>912</v>
      </c>
      <c r="D6" s="25">
        <f t="shared" si="1"/>
        <v>187.8</v>
      </c>
      <c r="E6" s="25">
        <f t="shared" si="1"/>
        <v>127.5</v>
      </c>
      <c r="F6" s="25"/>
      <c r="G6" s="25">
        <f t="shared" si="1"/>
        <v>1227.3</v>
      </c>
      <c r="H6" s="21" t="s">
        <v>27</v>
      </c>
      <c r="I6" s="26">
        <v>2850</v>
      </c>
      <c r="J6" s="26">
        <f>G6/I6*10000</f>
        <v>4306.31578947368</v>
      </c>
      <c r="K6" s="27"/>
      <c r="R6" s="1">
        <f>2850*300</f>
        <v>855000</v>
      </c>
    </row>
    <row r="7" s="1" customFormat="1" customHeight="1" spans="1:18">
      <c r="A7" s="30">
        <v>1.1</v>
      </c>
      <c r="B7" s="31" t="s">
        <v>210</v>
      </c>
      <c r="C7" s="32">
        <f>I7*J7/10000</f>
        <v>912</v>
      </c>
      <c r="D7" s="26"/>
      <c r="E7" s="26"/>
      <c r="F7" s="24"/>
      <c r="G7" s="32">
        <f t="shared" ref="G7:G13" si="2">SUM(C7:F7)</f>
        <v>912</v>
      </c>
      <c r="H7" s="21" t="s">
        <v>27</v>
      </c>
      <c r="I7" s="32">
        <v>2850</v>
      </c>
      <c r="J7" s="32">
        <v>3200</v>
      </c>
      <c r="K7" s="27"/>
    </row>
    <row r="8" s="1" customFormat="1" customHeight="1" spans="1:18">
      <c r="A8" s="30">
        <v>1.2</v>
      </c>
      <c r="B8" s="31" t="s">
        <v>211</v>
      </c>
      <c r="C8" s="25"/>
      <c r="D8" s="32">
        <f t="shared" ref="D8:D12" si="3">I8*J8/10000</f>
        <v>37.05</v>
      </c>
      <c r="E8" s="26"/>
      <c r="F8" s="24"/>
      <c r="G8" s="32">
        <f t="shared" si="2"/>
        <v>37.05</v>
      </c>
      <c r="H8" s="21" t="s">
        <v>27</v>
      </c>
      <c r="I8" s="32">
        <v>2850</v>
      </c>
      <c r="J8" s="32">
        <v>130</v>
      </c>
      <c r="K8" s="27"/>
    </row>
    <row r="9" s="1" customFormat="1" customHeight="1" spans="1:18">
      <c r="A9" s="30">
        <v>1.3</v>
      </c>
      <c r="B9" s="31" t="s">
        <v>212</v>
      </c>
      <c r="C9" s="25"/>
      <c r="D9" s="32">
        <f t="shared" si="3"/>
        <v>22.8</v>
      </c>
      <c r="E9" s="26"/>
      <c r="F9" s="24"/>
      <c r="G9" s="32">
        <f t="shared" si="2"/>
        <v>22.8</v>
      </c>
      <c r="H9" s="21" t="s">
        <v>27</v>
      </c>
      <c r="I9" s="32">
        <v>2850</v>
      </c>
      <c r="J9" s="32">
        <v>80</v>
      </c>
      <c r="K9" s="27"/>
    </row>
    <row r="10" s="1" customFormat="1" customHeight="1" spans="1:18">
      <c r="A10" s="30">
        <v>1.4</v>
      </c>
      <c r="B10" s="31" t="s">
        <v>213</v>
      </c>
      <c r="C10" s="25"/>
      <c r="D10" s="32">
        <f t="shared" si="3"/>
        <v>25.65</v>
      </c>
      <c r="E10" s="26"/>
      <c r="F10" s="24"/>
      <c r="G10" s="32">
        <f t="shared" si="2"/>
        <v>25.65</v>
      </c>
      <c r="H10" s="21" t="s">
        <v>27</v>
      </c>
      <c r="I10" s="32">
        <v>2850</v>
      </c>
      <c r="J10" s="32">
        <v>90</v>
      </c>
      <c r="K10" s="27"/>
    </row>
    <row r="11" s="1" customFormat="1" customHeight="1" spans="1:18">
      <c r="A11" s="30">
        <v>1.4</v>
      </c>
      <c r="B11" s="31" t="s">
        <v>90</v>
      </c>
      <c r="C11" s="25"/>
      <c r="D11" s="32">
        <f t="shared" si="3"/>
        <v>51.3</v>
      </c>
      <c r="E11" s="26"/>
      <c r="F11" s="24"/>
      <c r="G11" s="32">
        <f t="shared" si="2"/>
        <v>51.3</v>
      </c>
      <c r="H11" s="21" t="s">
        <v>27</v>
      </c>
      <c r="I11" s="32">
        <v>2850</v>
      </c>
      <c r="J11" s="32">
        <v>180</v>
      </c>
      <c r="K11" s="27"/>
    </row>
    <row r="12" s="1" customFormat="1" customHeight="1" spans="1:18">
      <c r="A12" s="119">
        <v>1.5</v>
      </c>
      <c r="B12" s="31" t="s">
        <v>91</v>
      </c>
      <c r="C12" s="25"/>
      <c r="D12" s="32">
        <f t="shared" si="3"/>
        <v>28.5</v>
      </c>
      <c r="E12" s="26"/>
      <c r="F12" s="24"/>
      <c r="G12" s="32">
        <f t="shared" si="2"/>
        <v>28.5</v>
      </c>
      <c r="H12" s="21" t="s">
        <v>27</v>
      </c>
      <c r="I12" s="32">
        <v>2850</v>
      </c>
      <c r="J12" s="32">
        <v>100</v>
      </c>
      <c r="K12" s="27"/>
    </row>
    <row r="13" s="118" customFormat="1" customHeight="1" spans="1:18">
      <c r="A13" s="119">
        <v>1.6</v>
      </c>
      <c r="B13" s="31" t="s">
        <v>214</v>
      </c>
      <c r="C13" s="120"/>
      <c r="D13" s="57">
        <f>I13*J13/10000*0.15</f>
        <v>22.5</v>
      </c>
      <c r="E13" s="57">
        <f>I13*J13/10000*0.85</f>
        <v>127.5</v>
      </c>
      <c r="F13" s="121"/>
      <c r="G13" s="32">
        <f t="shared" si="2"/>
        <v>150</v>
      </c>
      <c r="H13" s="58" t="s">
        <v>53</v>
      </c>
      <c r="I13" s="57">
        <v>1</v>
      </c>
      <c r="J13" s="57">
        <v>1500000</v>
      </c>
      <c r="K13" s="117"/>
    </row>
    <row r="14" s="1" customFormat="1" customHeight="1" spans="1:18">
      <c r="A14" s="28">
        <v>2</v>
      </c>
      <c r="B14" s="29" t="s">
        <v>215</v>
      </c>
      <c r="C14" s="25">
        <f t="shared" ref="C14:G14" si="4">SUM(C15:C29)</f>
        <v>1133.048</v>
      </c>
      <c r="D14" s="25">
        <f t="shared" si="4"/>
        <v>137.35</v>
      </c>
      <c r="E14" s="25"/>
      <c r="F14" s="25"/>
      <c r="G14" s="25">
        <f t="shared" si="4"/>
        <v>1270.398</v>
      </c>
      <c r="H14" s="24"/>
      <c r="I14" s="26"/>
      <c r="J14" s="24"/>
      <c r="K14" s="27"/>
    </row>
    <row r="15" s="1" customFormat="1" customHeight="1" spans="1:18">
      <c r="A15" s="33">
        <v>2.1</v>
      </c>
      <c r="B15" s="35" t="s">
        <v>180</v>
      </c>
      <c r="C15" s="32">
        <f t="shared" ref="C15:C17" si="5">I15*J15/10000</f>
        <v>20</v>
      </c>
      <c r="D15" s="25"/>
      <c r="E15" s="25"/>
      <c r="F15" s="25"/>
      <c r="G15" s="32">
        <f t="shared" ref="G15:G29" si="6">SUM(C15:F15)</f>
        <v>20</v>
      </c>
      <c r="H15" s="21" t="s">
        <v>53</v>
      </c>
      <c r="I15" s="32">
        <v>1</v>
      </c>
      <c r="J15" s="32">
        <v>200000</v>
      </c>
      <c r="K15" s="27"/>
    </row>
    <row r="16" s="1" customFormat="1" customHeight="1" spans="1:18">
      <c r="A16" s="33">
        <v>2.2</v>
      </c>
      <c r="B16" s="35" t="s">
        <v>216</v>
      </c>
      <c r="C16" s="32">
        <f t="shared" si="5"/>
        <v>63.588</v>
      </c>
      <c r="D16" s="32"/>
      <c r="E16" s="32"/>
      <c r="F16" s="32"/>
      <c r="G16" s="32">
        <f t="shared" si="6"/>
        <v>63.588</v>
      </c>
      <c r="H16" s="20" t="s">
        <v>27</v>
      </c>
      <c r="I16" s="32">
        <v>3028</v>
      </c>
      <c r="J16" s="32">
        <v>210</v>
      </c>
      <c r="K16" s="27"/>
    </row>
    <row r="17" s="1" customFormat="1" customHeight="1" spans="1:20">
      <c r="A17" s="33">
        <v>2.3</v>
      </c>
      <c r="B17" s="35" t="s">
        <v>138</v>
      </c>
      <c r="C17" s="32">
        <f t="shared" si="5"/>
        <v>84.3</v>
      </c>
      <c r="D17" s="32"/>
      <c r="E17" s="32"/>
      <c r="F17" s="32"/>
      <c r="G17" s="32">
        <f t="shared" si="6"/>
        <v>84.3</v>
      </c>
      <c r="H17" s="20" t="s">
        <v>27</v>
      </c>
      <c r="I17" s="32">
        <v>2810</v>
      </c>
      <c r="J17" s="32">
        <v>300</v>
      </c>
      <c r="K17" s="27"/>
    </row>
    <row r="18" s="1" customFormat="1" customHeight="1" spans="1:20">
      <c r="A18" s="33">
        <v>2.4</v>
      </c>
      <c r="B18" s="35" t="s">
        <v>217</v>
      </c>
      <c r="C18" s="32"/>
      <c r="D18" s="32">
        <f t="shared" ref="D18:D20" si="7">I18*J18/10000</f>
        <v>34.2</v>
      </c>
      <c r="E18" s="32"/>
      <c r="F18" s="32"/>
      <c r="G18" s="32">
        <f t="shared" si="6"/>
        <v>34.2</v>
      </c>
      <c r="H18" s="20" t="s">
        <v>27</v>
      </c>
      <c r="I18" s="32">
        <v>2850</v>
      </c>
      <c r="J18" s="32">
        <v>120</v>
      </c>
      <c r="K18" s="27"/>
    </row>
    <row r="19" s="1" customFormat="1" customHeight="1" spans="1:20">
      <c r="A19" s="33">
        <v>2.5</v>
      </c>
      <c r="B19" s="35" t="s">
        <v>218</v>
      </c>
      <c r="C19" s="32"/>
      <c r="D19" s="32">
        <f t="shared" si="7"/>
        <v>25.65</v>
      </c>
      <c r="E19" s="32"/>
      <c r="F19" s="32"/>
      <c r="G19" s="32">
        <f t="shared" si="6"/>
        <v>25.65</v>
      </c>
      <c r="H19" s="20" t="s">
        <v>27</v>
      </c>
      <c r="I19" s="32">
        <v>2850</v>
      </c>
      <c r="J19" s="32">
        <v>90</v>
      </c>
      <c r="K19" s="27"/>
    </row>
    <row r="20" s="1" customFormat="1" customHeight="1" spans="1:20">
      <c r="A20" s="33">
        <v>2.6</v>
      </c>
      <c r="B20" s="35" t="s">
        <v>219</v>
      </c>
      <c r="C20" s="32"/>
      <c r="D20" s="32">
        <f t="shared" si="7"/>
        <v>39.9</v>
      </c>
      <c r="E20" s="32"/>
      <c r="F20" s="32"/>
      <c r="G20" s="32">
        <f t="shared" si="6"/>
        <v>39.9</v>
      </c>
      <c r="H20" s="20" t="s">
        <v>27</v>
      </c>
      <c r="I20" s="32">
        <v>2850</v>
      </c>
      <c r="J20" s="32">
        <v>140</v>
      </c>
      <c r="K20" s="27"/>
    </row>
    <row r="21" s="118" customFormat="1" customHeight="1" spans="1:20">
      <c r="A21" s="122">
        <v>2.7</v>
      </c>
      <c r="B21" s="123" t="s">
        <v>46</v>
      </c>
      <c r="C21" s="57">
        <f t="shared" ref="C21:C23" si="8">I21*J21/10000</f>
        <v>62.4</v>
      </c>
      <c r="D21" s="57"/>
      <c r="E21" s="57"/>
      <c r="F21" s="57"/>
      <c r="G21" s="57">
        <f t="shared" si="6"/>
        <v>62.4</v>
      </c>
      <c r="H21" s="58" t="s">
        <v>27</v>
      </c>
      <c r="I21" s="57">
        <v>5200</v>
      </c>
      <c r="J21" s="57">
        <v>120</v>
      </c>
      <c r="K21" s="117"/>
    </row>
    <row r="22" s="1" customFormat="1" customHeight="1" spans="1:20">
      <c r="A22" s="33">
        <v>2.8</v>
      </c>
      <c r="B22" s="35" t="s">
        <v>220</v>
      </c>
      <c r="C22" s="32">
        <f t="shared" si="8"/>
        <v>582.08</v>
      </c>
      <c r="D22" s="32"/>
      <c r="E22" s="32"/>
      <c r="F22" s="32"/>
      <c r="G22" s="32">
        <f t="shared" si="6"/>
        <v>582.08</v>
      </c>
      <c r="H22" s="21" t="s">
        <v>27</v>
      </c>
      <c r="I22" s="32">
        <v>14552</v>
      </c>
      <c r="J22" s="32">
        <v>400</v>
      </c>
      <c r="K22" s="27"/>
    </row>
    <row r="23" s="1" customFormat="1" customHeight="1" spans="1:20">
      <c r="A23" s="33">
        <v>2.9</v>
      </c>
      <c r="B23" s="35" t="s">
        <v>221</v>
      </c>
      <c r="C23" s="32">
        <f t="shared" si="8"/>
        <v>25</v>
      </c>
      <c r="D23" s="32"/>
      <c r="E23" s="32"/>
      <c r="F23" s="32"/>
      <c r="G23" s="32">
        <f t="shared" si="6"/>
        <v>25</v>
      </c>
      <c r="H23" s="21" t="s">
        <v>27</v>
      </c>
      <c r="I23" s="32">
        <v>2500</v>
      </c>
      <c r="J23" s="32">
        <v>100</v>
      </c>
      <c r="K23" s="27"/>
    </row>
    <row r="24" s="1" customFormat="1" customHeight="1" spans="1:20">
      <c r="A24" s="37">
        <v>2.1</v>
      </c>
      <c r="B24" s="35" t="s">
        <v>222</v>
      </c>
      <c r="C24" s="32"/>
      <c r="D24" s="32">
        <f>I24*J24/10000</f>
        <v>12</v>
      </c>
      <c r="E24" s="32"/>
      <c r="F24" s="32"/>
      <c r="G24" s="32">
        <f t="shared" si="6"/>
        <v>12</v>
      </c>
      <c r="H24" s="20" t="s">
        <v>97</v>
      </c>
      <c r="I24" s="32">
        <v>4</v>
      </c>
      <c r="J24" s="32">
        <v>30000</v>
      </c>
      <c r="K24" s="27"/>
    </row>
    <row r="25" s="1" customFormat="1" customHeight="1" spans="1:20">
      <c r="A25" s="37">
        <v>2.11</v>
      </c>
      <c r="B25" s="35" t="s">
        <v>223</v>
      </c>
      <c r="C25" s="32">
        <f t="shared" ref="C25:C29" si="9">I25*J25/10000</f>
        <v>58.8</v>
      </c>
      <c r="D25" s="32"/>
      <c r="E25" s="32"/>
      <c r="F25" s="32"/>
      <c r="G25" s="32">
        <f t="shared" si="6"/>
        <v>58.8</v>
      </c>
      <c r="H25" s="20" t="s">
        <v>27</v>
      </c>
      <c r="I25" s="32">
        <v>980</v>
      </c>
      <c r="J25" s="32">
        <v>600</v>
      </c>
      <c r="K25" s="27"/>
    </row>
    <row r="26" s="1" customFormat="1" customHeight="1" spans="1:20">
      <c r="A26" s="37">
        <v>2.12</v>
      </c>
      <c r="B26" s="35" t="s">
        <v>224</v>
      </c>
      <c r="C26" s="32"/>
      <c r="D26" s="32">
        <f>I26*J26/10000</f>
        <v>25.6</v>
      </c>
      <c r="E26" s="32"/>
      <c r="F26" s="32"/>
      <c r="G26" s="32">
        <f t="shared" si="6"/>
        <v>25.6</v>
      </c>
      <c r="H26" s="20" t="s">
        <v>97</v>
      </c>
      <c r="I26" s="32">
        <v>3200</v>
      </c>
      <c r="J26" s="32">
        <v>80</v>
      </c>
      <c r="K26" s="27"/>
    </row>
    <row r="27" s="1" customFormat="1" customHeight="1" spans="1:20">
      <c r="A27" s="37">
        <v>2.13</v>
      </c>
      <c r="B27" s="35" t="s">
        <v>225</v>
      </c>
      <c r="C27" s="32">
        <f t="shared" si="9"/>
        <v>228.48</v>
      </c>
      <c r="D27" s="32"/>
      <c r="E27" s="32"/>
      <c r="F27" s="32"/>
      <c r="G27" s="32">
        <f t="shared" si="6"/>
        <v>228.48</v>
      </c>
      <c r="H27" s="20" t="s">
        <v>27</v>
      </c>
      <c r="I27" s="32">
        <v>7140</v>
      </c>
      <c r="J27" s="32">
        <v>320</v>
      </c>
      <c r="K27" s="27"/>
    </row>
    <row r="28" s="1" customFormat="1" customHeight="1" spans="1:20">
      <c r="A28" s="37">
        <v>2.14</v>
      </c>
      <c r="B28" s="35" t="s">
        <v>226</v>
      </c>
      <c r="C28" s="32">
        <f t="shared" si="9"/>
        <v>5.4</v>
      </c>
      <c r="D28" s="32"/>
      <c r="E28" s="32"/>
      <c r="F28" s="32"/>
      <c r="G28" s="32">
        <f t="shared" si="6"/>
        <v>5.4</v>
      </c>
      <c r="H28" s="20" t="s">
        <v>27</v>
      </c>
      <c r="I28" s="32">
        <v>108</v>
      </c>
      <c r="J28" s="32">
        <v>500</v>
      </c>
      <c r="K28" s="27"/>
    </row>
    <row r="29" s="1" customFormat="1" customHeight="1" spans="1:20">
      <c r="A29" s="37">
        <v>2.15</v>
      </c>
      <c r="B29" s="35" t="s">
        <v>227</v>
      </c>
      <c r="C29" s="32">
        <f t="shared" si="9"/>
        <v>3</v>
      </c>
      <c r="D29" s="32"/>
      <c r="E29" s="32"/>
      <c r="F29" s="32"/>
      <c r="G29" s="32">
        <f t="shared" si="6"/>
        <v>3</v>
      </c>
      <c r="H29" s="20" t="s">
        <v>53</v>
      </c>
      <c r="I29" s="32">
        <v>1</v>
      </c>
      <c r="J29" s="32">
        <v>30000</v>
      </c>
      <c r="K29" s="27"/>
    </row>
    <row r="30" s="4" customFormat="1" customHeight="1" spans="1:20">
      <c r="A30" s="42" t="s">
        <v>12</v>
      </c>
      <c r="B30" s="43" t="s">
        <v>13</v>
      </c>
      <c r="C30" s="25"/>
      <c r="D30" s="44"/>
      <c r="E30" s="44"/>
      <c r="F30" s="26">
        <f>SUM(F31:F47)</f>
        <v>235.648746538002</v>
      </c>
      <c r="G30" s="26">
        <f>SUM(G31:G47)</f>
        <v>235.648746538002</v>
      </c>
      <c r="H30" s="45" t="s">
        <v>56</v>
      </c>
      <c r="I30" s="46"/>
      <c r="J30" s="47"/>
      <c r="K30" s="27">
        <f>G30/G49</f>
        <v>0.0783750299839199</v>
      </c>
      <c r="Q30" s="3"/>
      <c r="R30" s="3"/>
      <c r="S30" s="3"/>
      <c r="T30" s="3"/>
    </row>
    <row r="31" s="2" customFormat="1" customHeight="1" spans="1:20">
      <c r="A31" s="48">
        <v>1</v>
      </c>
      <c r="B31" s="49" t="s">
        <v>158</v>
      </c>
      <c r="C31" s="34"/>
      <c r="D31" s="50"/>
      <c r="E31" s="50"/>
      <c r="F31" s="32">
        <f t="shared" ref="F31:F38" si="10">I31*J31</f>
        <v>24.97698</v>
      </c>
      <c r="G31" s="32">
        <f t="shared" ref="G31:G48" si="11">F31</f>
        <v>24.97698</v>
      </c>
      <c r="H31" s="21" t="s">
        <v>56</v>
      </c>
      <c r="I31" s="32">
        <f>G5</f>
        <v>2497.698</v>
      </c>
      <c r="J31" s="51">
        <v>0.01</v>
      </c>
      <c r="K31" s="52"/>
      <c r="L31" s="53"/>
      <c r="Q31" s="3"/>
      <c r="R31" s="3"/>
      <c r="S31" s="3"/>
      <c r="T31" s="3"/>
    </row>
    <row r="32" s="2" customFormat="1" customHeight="1" spans="1:20">
      <c r="A32" s="48">
        <v>2</v>
      </c>
      <c r="B32" s="49" t="s">
        <v>58</v>
      </c>
      <c r="C32" s="34"/>
      <c r="D32" s="32"/>
      <c r="E32" s="32"/>
      <c r="F32" s="32">
        <f t="shared" si="10"/>
        <v>29.972376</v>
      </c>
      <c r="G32" s="32">
        <f t="shared" si="11"/>
        <v>29.972376</v>
      </c>
      <c r="H32" s="21" t="s">
        <v>56</v>
      </c>
      <c r="I32" s="32">
        <f>G5</f>
        <v>2497.698</v>
      </c>
      <c r="J32" s="51">
        <v>0.012</v>
      </c>
      <c r="K32" s="36"/>
      <c r="Q32" s="54"/>
      <c r="R32" s="54"/>
      <c r="S32" s="54"/>
      <c r="T32" s="54"/>
    </row>
    <row r="33" s="2" customFormat="1" customHeight="1" spans="1:21">
      <c r="A33" s="48">
        <v>3</v>
      </c>
      <c r="B33" s="49" t="s">
        <v>59</v>
      </c>
      <c r="C33" s="34"/>
      <c r="D33" s="32"/>
      <c r="E33" s="32"/>
      <c r="F33" s="32">
        <f t="shared" si="10"/>
        <v>8.741943</v>
      </c>
      <c r="G33" s="32">
        <f t="shared" si="11"/>
        <v>8.741943</v>
      </c>
      <c r="H33" s="21" t="s">
        <v>56</v>
      </c>
      <c r="I33" s="32">
        <f>G5</f>
        <v>2497.698</v>
      </c>
      <c r="J33" s="51">
        <v>0.0035</v>
      </c>
      <c r="K33" s="36"/>
    </row>
    <row r="34" s="2" customFormat="1" customHeight="1" spans="1:21">
      <c r="A34" s="48">
        <v>4</v>
      </c>
      <c r="B34" s="49" t="s">
        <v>228</v>
      </c>
      <c r="C34" s="34"/>
      <c r="D34" s="32"/>
      <c r="E34" s="32"/>
      <c r="F34" s="32">
        <f t="shared" si="10"/>
        <v>13.4875692</v>
      </c>
      <c r="G34" s="32">
        <f t="shared" si="11"/>
        <v>13.4875692</v>
      </c>
      <c r="H34" s="21" t="s">
        <v>56</v>
      </c>
      <c r="I34" s="32">
        <f>G5</f>
        <v>2497.698</v>
      </c>
      <c r="J34" s="51">
        <v>0.0054</v>
      </c>
      <c r="K34" s="36"/>
    </row>
    <row r="35" s="2" customFormat="1" customHeight="1" spans="1:21">
      <c r="A35" s="48">
        <v>5</v>
      </c>
      <c r="B35" s="49" t="s">
        <v>229</v>
      </c>
      <c r="C35" s="34"/>
      <c r="D35" s="32"/>
      <c r="E35" s="32"/>
      <c r="F35" s="32">
        <f t="shared" si="10"/>
        <v>19.981584</v>
      </c>
      <c r="G35" s="32">
        <f t="shared" si="11"/>
        <v>19.981584</v>
      </c>
      <c r="H35" s="21" t="s">
        <v>56</v>
      </c>
      <c r="I35" s="32">
        <f>G5</f>
        <v>2497.698</v>
      </c>
      <c r="J35" s="51">
        <v>0.008</v>
      </c>
      <c r="K35" s="36"/>
    </row>
    <row r="36" s="2" customFormat="1" customHeight="1" spans="1:21">
      <c r="A36" s="48">
        <v>6</v>
      </c>
      <c r="B36" s="49" t="s">
        <v>230</v>
      </c>
      <c r="C36" s="34"/>
      <c r="D36" s="32"/>
      <c r="E36" s="32"/>
      <c r="F36" s="32">
        <f t="shared" si="10"/>
        <v>3.746547</v>
      </c>
      <c r="G36" s="32">
        <f t="shared" si="11"/>
        <v>3.746547</v>
      </c>
      <c r="H36" s="21" t="s">
        <v>56</v>
      </c>
      <c r="I36" s="32">
        <f>G5</f>
        <v>2497.698</v>
      </c>
      <c r="J36" s="51">
        <v>0.0015</v>
      </c>
      <c r="K36" s="36"/>
      <c r="Q36" s="2" t="s">
        <v>231</v>
      </c>
      <c r="R36" s="2" t="s">
        <v>232</v>
      </c>
      <c r="T36" s="2" t="s">
        <v>233</v>
      </c>
    </row>
    <row r="37" s="5" customFormat="1" customHeight="1" spans="1:21">
      <c r="A37" s="48">
        <v>7</v>
      </c>
      <c r="B37" s="55" t="s">
        <v>234</v>
      </c>
      <c r="C37" s="56"/>
      <c r="D37" s="57"/>
      <c r="E37" s="57"/>
      <c r="F37" s="57">
        <f t="shared" si="10"/>
        <v>4.995396</v>
      </c>
      <c r="G37" s="32">
        <f t="shared" si="11"/>
        <v>4.995396</v>
      </c>
      <c r="H37" s="58" t="s">
        <v>56</v>
      </c>
      <c r="I37" s="57">
        <f>G5</f>
        <v>2497.698</v>
      </c>
      <c r="J37" s="59">
        <v>0.002</v>
      </c>
      <c r="K37" s="60"/>
      <c r="N37" s="61"/>
      <c r="Q37" s="61">
        <v>3177.51</v>
      </c>
      <c r="R37" s="61">
        <v>3159.47035926418</v>
      </c>
      <c r="S37" s="61"/>
      <c r="T37" s="61">
        <f>G49</f>
        <v>3006.6814211918</v>
      </c>
    </row>
    <row r="38" s="5" customFormat="1" customHeight="1" spans="1:21">
      <c r="A38" s="48">
        <v>8</v>
      </c>
      <c r="B38" s="55" t="s">
        <v>235</v>
      </c>
      <c r="C38" s="56"/>
      <c r="D38" s="57"/>
      <c r="E38" s="57"/>
      <c r="F38" s="57">
        <f t="shared" si="10"/>
        <v>69.935544</v>
      </c>
      <c r="G38" s="32">
        <f t="shared" si="11"/>
        <v>69.935544</v>
      </c>
      <c r="H38" s="58" t="s">
        <v>56</v>
      </c>
      <c r="I38" s="57">
        <f>G5</f>
        <v>2497.698</v>
      </c>
      <c r="J38" s="59">
        <v>0.028</v>
      </c>
      <c r="K38" s="60"/>
      <c r="Q38" s="61">
        <v>9364.08</v>
      </c>
      <c r="R38" s="61">
        <v>9384.10711563977</v>
      </c>
      <c r="S38" s="61"/>
      <c r="T38" s="61">
        <f>宁夏石嘴山市平罗县公共实训基地建设项目!G57</f>
        <v>3625.99803775996</v>
      </c>
      <c r="U38" s="5">
        <f>T39-T47</f>
        <v>-5927.32054104824</v>
      </c>
    </row>
    <row r="39" s="5" customFormat="1" customHeight="1" spans="1:21">
      <c r="A39" s="48">
        <v>9</v>
      </c>
      <c r="B39" s="55" t="s">
        <v>105</v>
      </c>
      <c r="C39" s="56"/>
      <c r="D39" s="57"/>
      <c r="E39" s="57"/>
      <c r="F39" s="57">
        <f>((I39-1000)*(12-5)/2000+5)</f>
        <v>11.0920620294081</v>
      </c>
      <c r="G39" s="32">
        <f t="shared" si="11"/>
        <v>11.0920620294081</v>
      </c>
      <c r="H39" s="58" t="s">
        <v>56</v>
      </c>
      <c r="I39" s="57">
        <f>G5+G31+G32+G33+G34+G35+G36+G37+G38+G40+G41+G42+G43+G45+G46+G47+(G31+G32+G33+G34+G35+G36+G37+G38+G40+G41+G42+G43+G45+G46+G47)*J48</f>
        <v>2740.58915125945</v>
      </c>
      <c r="J39" s="59">
        <f>G39/I39</f>
        <v>0.00404732756980763</v>
      </c>
      <c r="K39" s="60"/>
      <c r="Q39" s="61">
        <v>12541.59</v>
      </c>
      <c r="R39" s="61">
        <v>12543.577474904</v>
      </c>
      <c r="S39" s="61"/>
      <c r="T39" s="61">
        <f>T37+T38</f>
        <v>6632.67945895176</v>
      </c>
    </row>
    <row r="40" s="5" customFormat="1" customHeight="1" spans="1:21">
      <c r="A40" s="48">
        <v>10</v>
      </c>
      <c r="B40" s="55" t="s">
        <v>106</v>
      </c>
      <c r="C40" s="56"/>
      <c r="D40" s="57"/>
      <c r="E40" s="57"/>
      <c r="F40" s="57">
        <f>((I40-3000)*(14-6)/7000+6)</f>
        <v>5.69636930859429</v>
      </c>
      <c r="G40" s="32">
        <f t="shared" si="11"/>
        <v>5.69636930859429</v>
      </c>
      <c r="H40" s="58" t="s">
        <v>56</v>
      </c>
      <c r="I40" s="57">
        <f>G5+G31+G32+G33+G34+G35+G36+G37+G38+G41+G42+G43+G45+G46+G47+(G31+G32+G33+G34+G35+G36+G37+G38+G41+G42+G43+G45+G46+G47)*J48</f>
        <v>2734.32314502</v>
      </c>
      <c r="J40" s="59">
        <f>G40/I40</f>
        <v>0.00208328314046167</v>
      </c>
      <c r="K40" s="60"/>
      <c r="Q40" s="61"/>
      <c r="R40" s="61"/>
      <c r="S40" s="61"/>
      <c r="T40" s="61"/>
    </row>
    <row r="41" s="5" customFormat="1" customHeight="1" spans="1:21">
      <c r="A41" s="48">
        <v>11</v>
      </c>
      <c r="B41" s="55" t="s">
        <v>160</v>
      </c>
      <c r="C41" s="56"/>
      <c r="D41" s="57"/>
      <c r="E41" s="57"/>
      <c r="F41" s="57">
        <f t="shared" ref="F41:F45" si="12">I41*J41</f>
        <v>3.746547</v>
      </c>
      <c r="G41" s="32">
        <f t="shared" si="11"/>
        <v>3.746547</v>
      </c>
      <c r="H41" s="58" t="s">
        <v>56</v>
      </c>
      <c r="I41" s="57">
        <f>G5</f>
        <v>2497.698</v>
      </c>
      <c r="J41" s="59">
        <v>0.0015</v>
      </c>
      <c r="K41" s="60"/>
      <c r="Q41" s="61">
        <v>-1.98747490394999</v>
      </c>
      <c r="T41" s="5">
        <f>Q39-T39</f>
        <v>5908.91054104824</v>
      </c>
      <c r="U41" s="5">
        <f>T39-R39</f>
        <v>-5910.89801595223</v>
      </c>
    </row>
    <row r="42" s="2" customFormat="1" customHeight="1" spans="1:21">
      <c r="A42" s="48">
        <v>12</v>
      </c>
      <c r="B42" s="49" t="s">
        <v>236</v>
      </c>
      <c r="C42" s="34"/>
      <c r="D42" s="32"/>
      <c r="E42" s="32"/>
      <c r="F42" s="32">
        <f>1+2.8+2.75+(I42-1000)*0.0035</f>
        <v>11.791943</v>
      </c>
      <c r="G42" s="32">
        <f t="shared" si="11"/>
        <v>11.791943</v>
      </c>
      <c r="H42" s="21" t="s">
        <v>56</v>
      </c>
      <c r="I42" s="32">
        <f>G5</f>
        <v>2497.698</v>
      </c>
      <c r="J42" s="51">
        <v>0.0073</v>
      </c>
      <c r="K42" s="36"/>
      <c r="L42" s="53"/>
      <c r="R42" s="2">
        <f>T47-R39</f>
        <v>16.4225250960008</v>
      </c>
    </row>
    <row r="43" s="2" customFormat="1" customHeight="1" spans="1:21">
      <c r="A43" s="48">
        <v>13</v>
      </c>
      <c r="B43" s="49" t="s">
        <v>166</v>
      </c>
      <c r="C43" s="34"/>
      <c r="D43" s="32"/>
      <c r="E43" s="32"/>
      <c r="F43" s="32">
        <f>J43/10000</f>
        <v>5</v>
      </c>
      <c r="G43" s="32">
        <f t="shared" si="11"/>
        <v>5</v>
      </c>
      <c r="H43" s="21" t="s">
        <v>56</v>
      </c>
      <c r="I43" s="32">
        <v>1</v>
      </c>
      <c r="J43" s="32">
        <v>50000</v>
      </c>
      <c r="K43" s="36"/>
      <c r="L43" s="53"/>
    </row>
    <row r="44" s="2" customFormat="1" customHeight="1" spans="1:21">
      <c r="A44" s="48">
        <v>14</v>
      </c>
      <c r="B44" s="49" t="s">
        <v>109</v>
      </c>
      <c r="C44" s="34"/>
      <c r="D44" s="32"/>
      <c r="E44" s="32"/>
      <c r="F44" s="32">
        <f t="shared" si="12"/>
        <v>3.746547</v>
      </c>
      <c r="G44" s="32">
        <f t="shared" si="11"/>
        <v>3.746547</v>
      </c>
      <c r="H44" s="21" t="s">
        <v>56</v>
      </c>
      <c r="I44" s="32">
        <f>G5</f>
        <v>2497.698</v>
      </c>
      <c r="J44" s="51">
        <v>0.0015</v>
      </c>
      <c r="K44" s="36"/>
      <c r="L44" s="53"/>
      <c r="U44" s="2">
        <f>R37-R45</f>
        <v>152.788938072377</v>
      </c>
    </row>
    <row r="45" s="2" customFormat="1" customHeight="1" spans="1:21">
      <c r="A45" s="48">
        <v>15</v>
      </c>
      <c r="B45" s="49" t="s">
        <v>73</v>
      </c>
      <c r="C45" s="34"/>
      <c r="D45" s="32"/>
      <c r="E45" s="32"/>
      <c r="F45" s="32">
        <f t="shared" si="12"/>
        <v>12.48849</v>
      </c>
      <c r="G45" s="32">
        <f t="shared" si="11"/>
        <v>12.48849</v>
      </c>
      <c r="H45" s="21" t="s">
        <v>56</v>
      </c>
      <c r="I45" s="32">
        <f>G5</f>
        <v>2497.698</v>
      </c>
      <c r="J45" s="51">
        <v>0.005</v>
      </c>
      <c r="K45" s="36"/>
      <c r="L45" s="53"/>
      <c r="Q45" s="2">
        <v>3177.51</v>
      </c>
      <c r="R45" s="53">
        <f>G49</f>
        <v>3006.6814211918</v>
      </c>
      <c r="S45" s="53">
        <f>Q45-R45</f>
        <v>170.828578808198</v>
      </c>
      <c r="T45" s="2">
        <v>3920</v>
      </c>
    </row>
    <row r="46" s="2" customFormat="1" customHeight="1" spans="1:21">
      <c r="A46" s="48">
        <v>16</v>
      </c>
      <c r="B46" s="49" t="s">
        <v>110</v>
      </c>
      <c r="C46" s="34"/>
      <c r="D46" s="32"/>
      <c r="E46" s="32"/>
      <c r="F46" s="32">
        <f>I46*J46/10000</f>
        <v>5</v>
      </c>
      <c r="G46" s="32">
        <f t="shared" si="11"/>
        <v>5</v>
      </c>
      <c r="H46" s="21" t="s">
        <v>56</v>
      </c>
      <c r="I46" s="32">
        <v>1</v>
      </c>
      <c r="J46" s="124">
        <v>50000</v>
      </c>
      <c r="K46" s="36"/>
      <c r="L46" s="53"/>
      <c r="Q46" s="2">
        <v>9364.08</v>
      </c>
      <c r="R46" s="53">
        <f>宁夏石嘴山市平罗县公共实训基地建设项目!G57</f>
        <v>3625.99803775996</v>
      </c>
      <c r="S46" s="53">
        <f>Q46-R46</f>
        <v>5738.08196224003</v>
      </c>
      <c r="T46" s="2">
        <v>8640</v>
      </c>
    </row>
    <row r="47" s="2" customFormat="1" customHeight="1" spans="1:21">
      <c r="A47" s="48">
        <v>17</v>
      </c>
      <c r="B47" s="49" t="s">
        <v>237</v>
      </c>
      <c r="C47" s="34"/>
      <c r="D47" s="32"/>
      <c r="E47" s="32"/>
      <c r="F47" s="32">
        <f>I47*J47</f>
        <v>1.248849</v>
      </c>
      <c r="G47" s="32">
        <f t="shared" si="11"/>
        <v>1.248849</v>
      </c>
      <c r="H47" s="21" t="s">
        <v>56</v>
      </c>
      <c r="I47" s="32">
        <f>G5</f>
        <v>2497.698</v>
      </c>
      <c r="J47" s="51">
        <v>0.0005</v>
      </c>
      <c r="K47" s="36"/>
      <c r="L47" s="53"/>
      <c r="Q47" s="2">
        <f t="shared" ref="Q47:T47" si="13">Q45+Q46</f>
        <v>12541.59</v>
      </c>
      <c r="R47" s="53">
        <f t="shared" si="13"/>
        <v>6632.67945895176</v>
      </c>
      <c r="S47" s="53"/>
      <c r="T47" s="2">
        <f t="shared" si="13"/>
        <v>12560</v>
      </c>
    </row>
    <row r="48" s="4" customFormat="1" customHeight="1" spans="1:21">
      <c r="A48" s="42" t="s">
        <v>14</v>
      </c>
      <c r="B48" s="62" t="s">
        <v>82</v>
      </c>
      <c r="C48" s="25"/>
      <c r="D48" s="26"/>
      <c r="E48" s="26"/>
      <c r="F48" s="26">
        <f>I48*J48</f>
        <v>273.3346746538</v>
      </c>
      <c r="G48" s="26">
        <f t="shared" si="11"/>
        <v>273.3346746538</v>
      </c>
      <c r="H48" s="45" t="s">
        <v>56</v>
      </c>
      <c r="I48" s="26">
        <f>G30+G5</f>
        <v>2733.346746538</v>
      </c>
      <c r="J48" s="63">
        <v>0.1</v>
      </c>
      <c r="K48" s="64">
        <f>G48/G49</f>
        <v>0.0909090909090909</v>
      </c>
      <c r="R48" s="125"/>
      <c r="S48" s="125"/>
    </row>
    <row r="49" s="4" customFormat="1" customHeight="1" spans="1:18">
      <c r="A49" s="65" t="s">
        <v>83</v>
      </c>
      <c r="B49" s="66" t="s">
        <v>17</v>
      </c>
      <c r="C49" s="67">
        <f>C5</f>
        <v>2045.048</v>
      </c>
      <c r="D49" s="67">
        <f>D5</f>
        <v>325.15</v>
      </c>
      <c r="E49" s="68"/>
      <c r="F49" s="68">
        <f>F30+F48</f>
        <v>508.983421191803</v>
      </c>
      <c r="G49" s="68">
        <f>G5+G30+G48</f>
        <v>3006.6814211918</v>
      </c>
      <c r="H49" s="69" t="s">
        <v>56</v>
      </c>
      <c r="I49" s="68">
        <f>G5+G30</f>
        <v>2733.346746538</v>
      </c>
      <c r="J49" s="70"/>
      <c r="K49" s="71">
        <v>1</v>
      </c>
      <c r="Q49" s="125">
        <f>Q47-R47</f>
        <v>5908.91054104824</v>
      </c>
      <c r="R49" s="4">
        <f>T47-R47</f>
        <v>5927.32054104824</v>
      </c>
    </row>
  </sheetData>
  <sheetProtection formatCells="0" formatColumns="0" formatRows="0" insertRows="0" insertColumns="0" insertHyperlinks="0" deleteColumns="0" deleteRows="0" sort="0" autoFilter="0" pivotTables="0"/>
  <mergeCells count="6">
    <mergeCell ref="A1:K1"/>
    <mergeCell ref="A2:K2"/>
    <mergeCell ref="C3:G3"/>
    <mergeCell ref="H3:J3"/>
    <mergeCell ref="A3:A4"/>
    <mergeCell ref="B3:B4"/>
  </mergeCells>
  <pageMargins left="0.590277777777778" right="0.590277777777778" top="0.590277777777778" bottom="0.590277777777778" header="0.5" footer="0.5"/>
  <pageSetup paperSize="9" scale="7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0"/>
  <sheetViews>
    <sheetView zoomScale="70" zoomScaleNormal="70" zoomScaleSheetLayoutView="85" workbookViewId="0">
      <selection activeCell="J14" sqref="J14"/>
    </sheetView>
  </sheetViews>
  <sheetFormatPr defaultColWidth="10.2857142857143" defaultRowHeight="27.95" customHeight="1"/>
  <cols>
    <col min="1" max="1" width="11.4285714285714" style="6"/>
    <col min="2" max="2" width="46.5714285714286" style="7" customWidth="1"/>
    <col min="3" max="3" width="20.1428571428571" style="75"/>
    <col min="4" max="4" width="18.5714285714286" style="6"/>
    <col min="5" max="5" width="15.2857142857143" style="7" customWidth="1"/>
    <col min="6" max="6" width="13.5714285714286" style="7" customWidth="1"/>
    <col min="7" max="7" width="17.7142857142857" style="8" customWidth="1"/>
    <col min="8" max="8" width="10.2857142857143" style="6"/>
    <col min="9" max="9" width="20.1428571428571" style="75"/>
    <col min="10" max="10" width="20" style="75"/>
    <col min="11" max="11" width="17.7142857142857" style="7" customWidth="1"/>
    <col min="12" max="12" width="10.2857142857143" style="7"/>
    <col min="13" max="13" width="12" style="7"/>
    <col min="14" max="14" width="14.5714285714286" style="7"/>
    <col min="15" max="15" width="30.4285714285714" style="7" customWidth="1"/>
    <col min="16" max="16" width="27.7142857142857" style="7" customWidth="1"/>
    <col min="17" max="17" width="10.4285714285714" style="7"/>
    <col min="18" max="18" width="24.5714285714286" style="7" customWidth="1"/>
    <col min="19" max="19" width="15.5714285714286" style="7" customWidth="1"/>
    <col min="20" max="16384" width="10.2857142857143" style="7"/>
  </cols>
  <sheetData>
    <row r="1" ht="42" customHeight="1" spans="1:18">
      <c r="A1" s="76" t="s">
        <v>122</v>
      </c>
      <c r="B1" s="76"/>
      <c r="C1" s="77"/>
      <c r="D1" s="76"/>
      <c r="E1" s="76"/>
      <c r="F1" s="76"/>
      <c r="G1" s="78"/>
      <c r="H1" s="76"/>
      <c r="I1" s="77"/>
      <c r="J1" s="77"/>
      <c r="K1" s="76"/>
    </row>
    <row r="2" customHeight="1" spans="1:18">
      <c r="A2" s="11" t="s">
        <v>238</v>
      </c>
      <c r="B2" s="11"/>
      <c r="C2" s="79"/>
      <c r="D2" s="11"/>
      <c r="E2" s="11"/>
      <c r="F2" s="11"/>
      <c r="G2" s="12"/>
      <c r="H2" s="11"/>
      <c r="I2" s="79"/>
      <c r="J2" s="79"/>
      <c r="K2" s="11"/>
    </row>
    <row r="3" ht="37.5" spans="1:18">
      <c r="A3" s="13" t="s">
        <v>1</v>
      </c>
      <c r="B3" s="14" t="s">
        <v>20</v>
      </c>
      <c r="C3" s="15" t="s">
        <v>86</v>
      </c>
      <c r="D3" s="15"/>
      <c r="E3" s="15"/>
      <c r="F3" s="15"/>
      <c r="G3" s="16"/>
      <c r="H3" s="15" t="s">
        <v>22</v>
      </c>
      <c r="I3" s="80"/>
      <c r="J3" s="80"/>
      <c r="K3" s="17" t="s">
        <v>23</v>
      </c>
    </row>
    <row r="4" customHeight="1" spans="1:18">
      <c r="A4" s="18"/>
      <c r="B4" s="19"/>
      <c r="C4" s="19" t="s">
        <v>175</v>
      </c>
      <c r="D4" s="19" t="s">
        <v>199</v>
      </c>
      <c r="E4" s="19" t="s">
        <v>6</v>
      </c>
      <c r="F4" s="19" t="s">
        <v>8</v>
      </c>
      <c r="G4" s="20" t="s">
        <v>9</v>
      </c>
      <c r="H4" s="21" t="s">
        <v>24</v>
      </c>
      <c r="I4" s="21" t="s">
        <v>25</v>
      </c>
      <c r="J4" s="19" t="s">
        <v>208</v>
      </c>
      <c r="K4" s="22"/>
    </row>
    <row r="5" s="1" customFormat="1" customHeight="1" spans="1:18">
      <c r="A5" s="23" t="s">
        <v>10</v>
      </c>
      <c r="B5" s="24" t="s">
        <v>11</v>
      </c>
      <c r="C5" s="26">
        <f t="shared" ref="C5:G5" si="0">C6+C16+C54+C55+C56</f>
        <v>6179.5324</v>
      </c>
      <c r="D5" s="26">
        <f t="shared" si="0"/>
        <v>918.012738</v>
      </c>
      <c r="E5" s="26">
        <f t="shared" si="0"/>
        <v>1095.495902</v>
      </c>
      <c r="F5" s="26"/>
      <c r="G5" s="26">
        <f t="shared" si="0"/>
        <v>8193.04104</v>
      </c>
      <c r="H5" s="24" t="s">
        <v>56</v>
      </c>
      <c r="I5" s="26"/>
      <c r="J5" s="26"/>
      <c r="K5" s="27">
        <f>G5/G76</f>
        <v>0.823121490135211</v>
      </c>
    </row>
    <row r="6" s="72" customFormat="1" customHeight="1" spans="1:18">
      <c r="A6" s="81" t="s">
        <v>28</v>
      </c>
      <c r="B6" s="82" t="s">
        <v>124</v>
      </c>
      <c r="C6" s="26">
        <f t="shared" ref="C6:G6" si="1">SUM(C7:C15)</f>
        <v>5313.3804</v>
      </c>
      <c r="D6" s="26">
        <f t="shared" si="1"/>
        <v>784.422738</v>
      </c>
      <c r="E6" s="26">
        <f t="shared" si="1"/>
        <v>935.695902</v>
      </c>
      <c r="F6" s="26"/>
      <c r="G6" s="26">
        <f t="shared" si="1"/>
        <v>7033.49904</v>
      </c>
      <c r="H6" s="45" t="s">
        <v>56</v>
      </c>
      <c r="I6" s="26"/>
      <c r="J6" s="26"/>
      <c r="K6" s="83"/>
      <c r="P6" s="72">
        <v>300</v>
      </c>
      <c r="R6" s="72">
        <v>4000</v>
      </c>
    </row>
    <row r="7" s="2" customFormat="1" ht="33" customHeight="1" spans="1:18">
      <c r="A7" s="84">
        <v>1</v>
      </c>
      <c r="B7" s="85" t="s">
        <v>239</v>
      </c>
      <c r="C7" s="32">
        <f>I7*J7/10000</f>
        <v>3215.9934</v>
      </c>
      <c r="D7" s="32"/>
      <c r="E7" s="32"/>
      <c r="F7" s="35"/>
      <c r="G7" s="32">
        <f t="shared" ref="G7:G15" si="2">SUM(C7:F7)</f>
        <v>3215.9934</v>
      </c>
      <c r="H7" s="21" t="s">
        <v>27</v>
      </c>
      <c r="I7" s="32">
        <v>13982.58</v>
      </c>
      <c r="J7" s="32">
        <v>2300</v>
      </c>
      <c r="K7" s="36"/>
    </row>
    <row r="8" s="2" customFormat="1" ht="33" customHeight="1" spans="1:18">
      <c r="A8" s="84">
        <v>2</v>
      </c>
      <c r="B8" s="85" t="s">
        <v>240</v>
      </c>
      <c r="C8" s="32">
        <f>I8*J8/10000</f>
        <v>2097.387</v>
      </c>
      <c r="D8" s="32"/>
      <c r="E8" s="32"/>
      <c r="F8" s="35"/>
      <c r="G8" s="32">
        <f t="shared" si="2"/>
        <v>2097.387</v>
      </c>
      <c r="H8" s="21" t="s">
        <v>27</v>
      </c>
      <c r="I8" s="32">
        <v>13982.58</v>
      </c>
      <c r="J8" s="32">
        <v>1500</v>
      </c>
      <c r="K8" s="36"/>
    </row>
    <row r="9" s="2" customFormat="1" customHeight="1" spans="1:18">
      <c r="A9" s="84">
        <v>3</v>
      </c>
      <c r="B9" s="86" t="s">
        <v>241</v>
      </c>
      <c r="C9" s="32"/>
      <c r="D9" s="32">
        <f>I9*J9/10000*0.6</f>
        <v>167.79096</v>
      </c>
      <c r="E9" s="32">
        <f>I9*J9/10000*0.4</f>
        <v>111.86064</v>
      </c>
      <c r="F9" s="35"/>
      <c r="G9" s="32">
        <f t="shared" si="2"/>
        <v>279.6516</v>
      </c>
      <c r="H9" s="21" t="s">
        <v>27</v>
      </c>
      <c r="I9" s="32">
        <v>13982.58</v>
      </c>
      <c r="J9" s="32">
        <v>200</v>
      </c>
      <c r="K9" s="36"/>
    </row>
    <row r="10" s="2" customFormat="1" customHeight="1" spans="1:18">
      <c r="A10" s="84">
        <v>4</v>
      </c>
      <c r="B10" s="87" t="s">
        <v>32</v>
      </c>
      <c r="C10" s="32"/>
      <c r="D10" s="32">
        <f>I10*J10/10000*0.7</f>
        <v>176.180508</v>
      </c>
      <c r="E10" s="32">
        <f>I10*J10/10000*0.3</f>
        <v>75.505932</v>
      </c>
      <c r="F10" s="35"/>
      <c r="G10" s="32">
        <f t="shared" si="2"/>
        <v>251.68644</v>
      </c>
      <c r="H10" s="21" t="s">
        <v>27</v>
      </c>
      <c r="I10" s="32">
        <v>13982.58</v>
      </c>
      <c r="J10" s="32">
        <v>180</v>
      </c>
      <c r="K10" s="36"/>
      <c r="O10" s="88" t="s">
        <v>33</v>
      </c>
      <c r="P10" s="86"/>
      <c r="Q10" s="86"/>
      <c r="R10" s="86"/>
    </row>
    <row r="11" s="2" customFormat="1" customHeight="1" spans="1:18">
      <c r="A11" s="84">
        <v>5</v>
      </c>
      <c r="B11" s="86" t="s">
        <v>128</v>
      </c>
      <c r="C11" s="32"/>
      <c r="D11" s="32">
        <f>I11*J11/10000*0.3</f>
        <v>104.86935</v>
      </c>
      <c r="E11" s="32">
        <f>I11*J11/10000*0.7</f>
        <v>244.69515</v>
      </c>
      <c r="F11" s="35"/>
      <c r="G11" s="32">
        <f t="shared" si="2"/>
        <v>349.5645</v>
      </c>
      <c r="H11" s="21" t="s">
        <v>27</v>
      </c>
      <c r="I11" s="32">
        <v>13982.58</v>
      </c>
      <c r="J11" s="32">
        <v>250</v>
      </c>
      <c r="K11" s="36"/>
      <c r="O11" s="89"/>
      <c r="P11" s="86" t="s">
        <v>242</v>
      </c>
      <c r="Q11" s="86"/>
      <c r="R11" s="86"/>
    </row>
    <row r="12" s="2" customFormat="1" customHeight="1" spans="1:18">
      <c r="A12" s="84">
        <v>6</v>
      </c>
      <c r="B12" s="86" t="s">
        <v>129</v>
      </c>
      <c r="C12" s="32"/>
      <c r="D12" s="32">
        <f>I12*J12/10000*0.3</f>
        <v>125.84322</v>
      </c>
      <c r="E12" s="32">
        <f>I12*J12/10000*0.7</f>
        <v>293.63418</v>
      </c>
      <c r="F12" s="35"/>
      <c r="G12" s="32">
        <f t="shared" si="2"/>
        <v>419.4774</v>
      </c>
      <c r="H12" s="21" t="s">
        <v>27</v>
      </c>
      <c r="I12" s="32">
        <v>13982.58</v>
      </c>
      <c r="J12" s="32">
        <v>300</v>
      </c>
      <c r="K12" s="36"/>
      <c r="O12" s="89"/>
      <c r="P12" s="86"/>
      <c r="Q12" s="86"/>
      <c r="R12" s="86"/>
    </row>
    <row r="13" s="2" customFormat="1" customHeight="1" spans="1:18">
      <c r="A13" s="84">
        <v>7</v>
      </c>
      <c r="B13" s="86" t="s">
        <v>130</v>
      </c>
      <c r="C13" s="32"/>
      <c r="D13" s="32">
        <f>I13*J13/10000</f>
        <v>209.7387</v>
      </c>
      <c r="E13" s="32"/>
      <c r="F13" s="35"/>
      <c r="G13" s="32">
        <f t="shared" si="2"/>
        <v>209.7387</v>
      </c>
      <c r="H13" s="21" t="s">
        <v>27</v>
      </c>
      <c r="I13" s="32">
        <v>13982.58</v>
      </c>
      <c r="J13" s="32">
        <v>150</v>
      </c>
      <c r="K13" s="36"/>
      <c r="O13" s="89"/>
      <c r="P13" s="86" t="s">
        <v>243</v>
      </c>
      <c r="Q13" s="86" t="s">
        <v>244</v>
      </c>
      <c r="R13" s="86" t="s">
        <v>245</v>
      </c>
    </row>
    <row r="14" s="2" customFormat="1" customHeight="1" spans="1:18">
      <c r="A14" s="84">
        <v>8</v>
      </c>
      <c r="B14" s="86" t="s">
        <v>246</v>
      </c>
      <c r="C14" s="32"/>
      <c r="D14" s="32"/>
      <c r="E14" s="32">
        <f>I14*J14/10000</f>
        <v>90</v>
      </c>
      <c r="F14" s="35"/>
      <c r="G14" s="32">
        <f t="shared" si="2"/>
        <v>90</v>
      </c>
      <c r="H14" s="21" t="s">
        <v>35</v>
      </c>
      <c r="I14" s="32">
        <v>3</v>
      </c>
      <c r="J14" s="32">
        <v>300000</v>
      </c>
      <c r="K14" s="36"/>
      <c r="O14" s="89"/>
      <c r="P14" s="86" t="s">
        <v>247</v>
      </c>
      <c r="Q14" s="86" t="s">
        <v>248</v>
      </c>
      <c r="R14" s="86" t="s">
        <v>249</v>
      </c>
    </row>
    <row r="15" s="2" customFormat="1" customHeight="1" spans="1:18">
      <c r="A15" s="84">
        <v>9</v>
      </c>
      <c r="B15" s="86" t="s">
        <v>250</v>
      </c>
      <c r="C15" s="32"/>
      <c r="D15" s="32"/>
      <c r="E15" s="32">
        <f>I15*J15/10000</f>
        <v>120</v>
      </c>
      <c r="F15" s="35"/>
      <c r="G15" s="32">
        <f t="shared" si="2"/>
        <v>120</v>
      </c>
      <c r="H15" s="21" t="s">
        <v>134</v>
      </c>
      <c r="I15" s="32">
        <v>300</v>
      </c>
      <c r="J15" s="32">
        <v>4000</v>
      </c>
      <c r="K15" s="36"/>
      <c r="O15" s="90"/>
      <c r="P15" s="86" t="s">
        <v>251</v>
      </c>
      <c r="Q15" s="86"/>
      <c r="R15" s="86" t="s">
        <v>252</v>
      </c>
    </row>
    <row r="16" s="4" customFormat="1" customHeight="1" spans="1:18">
      <c r="A16" s="28" t="s">
        <v>36</v>
      </c>
      <c r="B16" s="91" t="s">
        <v>93</v>
      </c>
      <c r="C16" s="26">
        <f t="shared" ref="C16:G16" si="3">C17+C18+C19+C20+C21+C22+C23+C24+C37+C44</f>
        <v>808.95</v>
      </c>
      <c r="D16" s="26">
        <f t="shared" si="3"/>
        <v>133.59</v>
      </c>
      <c r="E16" s="26">
        <f t="shared" si="3"/>
        <v>159.8</v>
      </c>
      <c r="F16" s="26"/>
      <c r="G16" s="26">
        <f t="shared" si="3"/>
        <v>1102.34</v>
      </c>
      <c r="H16" s="45" t="s">
        <v>56</v>
      </c>
      <c r="I16" s="26"/>
      <c r="J16" s="26"/>
      <c r="K16" s="92"/>
    </row>
    <row r="17" s="4" customFormat="1" customHeight="1" spans="1:19">
      <c r="A17" s="84">
        <v>1</v>
      </c>
      <c r="B17" s="31" t="s">
        <v>180</v>
      </c>
      <c r="C17" s="40">
        <f t="shared" ref="C17:C22" si="4">I17*J17/10000</f>
        <v>50</v>
      </c>
      <c r="D17" s="31"/>
      <c r="E17" s="31"/>
      <c r="F17" s="31"/>
      <c r="G17" s="40">
        <f t="shared" ref="G17:G23" si="5">SUM(C17:F17)</f>
        <v>50</v>
      </c>
      <c r="H17" s="41" t="s">
        <v>53</v>
      </c>
      <c r="I17" s="40">
        <v>1</v>
      </c>
      <c r="J17" s="40">
        <v>500000</v>
      </c>
      <c r="K17" s="92"/>
    </row>
    <row r="18" s="4" customFormat="1" customHeight="1" spans="1:19">
      <c r="A18" s="84">
        <v>2</v>
      </c>
      <c r="B18" s="31" t="s">
        <v>253</v>
      </c>
      <c r="C18" s="40">
        <f t="shared" si="4"/>
        <v>187.5</v>
      </c>
      <c r="D18" s="31"/>
      <c r="E18" s="31"/>
      <c r="F18" s="31"/>
      <c r="G18" s="40">
        <f t="shared" si="5"/>
        <v>187.5</v>
      </c>
      <c r="H18" s="41" t="s">
        <v>27</v>
      </c>
      <c r="I18" s="40">
        <v>7500</v>
      </c>
      <c r="J18" s="40">
        <v>250</v>
      </c>
      <c r="K18" s="92"/>
    </row>
    <row r="19" s="4" customFormat="1" customHeight="1" spans="1:19">
      <c r="A19" s="84">
        <v>3</v>
      </c>
      <c r="B19" s="3" t="s">
        <v>254</v>
      </c>
      <c r="C19" s="40">
        <f t="shared" si="4"/>
        <v>418</v>
      </c>
      <c r="D19" s="31"/>
      <c r="E19" s="31"/>
      <c r="F19" s="31"/>
      <c r="G19" s="40">
        <f t="shared" si="5"/>
        <v>418</v>
      </c>
      <c r="H19" s="41" t="s">
        <v>27</v>
      </c>
      <c r="I19" s="40">
        <v>11000</v>
      </c>
      <c r="J19" s="40">
        <v>380</v>
      </c>
      <c r="K19" s="92"/>
      <c r="O19" s="88" t="s">
        <v>212</v>
      </c>
      <c r="P19" s="86"/>
      <c r="Q19" s="86"/>
      <c r="R19" s="86"/>
      <c r="S19" s="86"/>
    </row>
    <row r="20" s="4" customFormat="1" customHeight="1" spans="1:19">
      <c r="A20" s="84">
        <v>7</v>
      </c>
      <c r="B20" s="31" t="s">
        <v>255</v>
      </c>
      <c r="C20" s="40">
        <f t="shared" si="4"/>
        <v>27.5</v>
      </c>
      <c r="D20" s="26"/>
      <c r="E20" s="26"/>
      <c r="F20" s="93"/>
      <c r="G20" s="32">
        <f t="shared" si="5"/>
        <v>27.5</v>
      </c>
      <c r="H20" s="21" t="s">
        <v>27</v>
      </c>
      <c r="I20" s="40">
        <v>2500</v>
      </c>
      <c r="J20" s="40">
        <v>110</v>
      </c>
      <c r="K20" s="92"/>
      <c r="O20" s="89"/>
      <c r="P20" s="86" t="s">
        <v>256</v>
      </c>
      <c r="Q20" s="86" t="s">
        <v>257</v>
      </c>
      <c r="R20" s="86" t="s">
        <v>258</v>
      </c>
      <c r="S20" s="86" t="s">
        <v>259</v>
      </c>
    </row>
    <row r="21" s="4" customFormat="1" customHeight="1" spans="1:19">
      <c r="A21" s="84">
        <v>8</v>
      </c>
      <c r="B21" s="3" t="s">
        <v>260</v>
      </c>
      <c r="C21" s="40">
        <f t="shared" si="4"/>
        <v>12.5</v>
      </c>
      <c r="D21" s="26"/>
      <c r="E21" s="26"/>
      <c r="F21" s="93"/>
      <c r="G21" s="32">
        <f t="shared" si="5"/>
        <v>12.5</v>
      </c>
      <c r="H21" s="21" t="s">
        <v>27</v>
      </c>
      <c r="I21" s="40">
        <v>2500</v>
      </c>
      <c r="J21" s="40">
        <v>50</v>
      </c>
      <c r="K21" s="92"/>
      <c r="O21" s="89"/>
      <c r="P21" s="86"/>
      <c r="Q21" s="86" t="s">
        <v>261</v>
      </c>
      <c r="R21" s="86" t="s">
        <v>262</v>
      </c>
      <c r="S21" s="86"/>
    </row>
    <row r="22" s="4" customFormat="1" customHeight="1" spans="1:19">
      <c r="A22" s="84">
        <v>9</v>
      </c>
      <c r="B22" s="3" t="s">
        <v>263</v>
      </c>
      <c r="C22" s="38">
        <f t="shared" si="4"/>
        <v>7.5</v>
      </c>
      <c r="D22" s="26"/>
      <c r="E22" s="26"/>
      <c r="F22" s="93"/>
      <c r="G22" s="32">
        <f t="shared" si="5"/>
        <v>7.5</v>
      </c>
      <c r="H22" s="21" t="s">
        <v>136</v>
      </c>
      <c r="I22" s="38">
        <v>50</v>
      </c>
      <c r="J22" s="38">
        <v>1500</v>
      </c>
      <c r="K22" s="92"/>
      <c r="O22" s="89"/>
      <c r="P22" s="86" t="s">
        <v>264</v>
      </c>
      <c r="Q22" s="86"/>
      <c r="R22" s="86"/>
      <c r="S22" s="86"/>
    </row>
    <row r="23" s="4" customFormat="1" customHeight="1" spans="1:19">
      <c r="A23" s="84">
        <v>10</v>
      </c>
      <c r="B23" s="3" t="s">
        <v>265</v>
      </c>
      <c r="C23" s="38"/>
      <c r="D23" s="40">
        <f t="shared" ref="D23:D29" si="6">I23*J23/10000</f>
        <v>5</v>
      </c>
      <c r="E23" s="26"/>
      <c r="F23" s="93"/>
      <c r="G23" s="32">
        <f t="shared" si="5"/>
        <v>5</v>
      </c>
      <c r="H23" s="21" t="s">
        <v>53</v>
      </c>
      <c r="I23" s="38">
        <v>1</v>
      </c>
      <c r="J23" s="38">
        <v>50000</v>
      </c>
      <c r="K23" s="92"/>
      <c r="O23" s="89"/>
      <c r="P23" s="86"/>
      <c r="Q23" s="86"/>
      <c r="R23" s="86"/>
      <c r="S23" s="86"/>
    </row>
    <row r="24" s="4" customFormat="1" ht="36.95" customHeight="1" spans="1:19">
      <c r="A24" s="28">
        <v>11</v>
      </c>
      <c r="B24" s="29" t="s">
        <v>98</v>
      </c>
      <c r="C24" s="26">
        <f t="shared" ref="C24:G24" si="7">SUM(C25:C36)</f>
        <v>80.36</v>
      </c>
      <c r="D24" s="26">
        <f t="shared" si="7"/>
        <v>70.71</v>
      </c>
      <c r="E24" s="26"/>
      <c r="F24" s="26"/>
      <c r="G24" s="26">
        <f t="shared" si="7"/>
        <v>151.07</v>
      </c>
      <c r="H24" s="45"/>
      <c r="I24" s="26"/>
      <c r="J24" s="26"/>
      <c r="K24" s="92"/>
      <c r="O24" s="94"/>
      <c r="P24" s="95" t="s">
        <v>266</v>
      </c>
      <c r="Q24" s="95" t="s">
        <v>143</v>
      </c>
      <c r="R24" s="95">
        <v>2</v>
      </c>
      <c r="S24" s="95"/>
    </row>
    <row r="25" s="4" customFormat="1" customHeight="1" spans="1:19">
      <c r="A25" s="96">
        <v>11.1</v>
      </c>
      <c r="B25" s="55" t="s">
        <v>267</v>
      </c>
      <c r="C25" s="26"/>
      <c r="D25" s="40">
        <f t="shared" si="6"/>
        <v>14.25</v>
      </c>
      <c r="E25" s="26"/>
      <c r="F25" s="93"/>
      <c r="G25" s="32">
        <f t="shared" ref="G25:G36" si="8">SUM(C25:F25)</f>
        <v>14.25</v>
      </c>
      <c r="H25" s="58" t="s">
        <v>45</v>
      </c>
      <c r="I25" s="38">
        <v>750</v>
      </c>
      <c r="J25" s="38">
        <v>190</v>
      </c>
      <c r="K25" s="92"/>
      <c r="O25" s="89"/>
      <c r="P25" s="86"/>
      <c r="Q25" s="86"/>
      <c r="R25" s="86"/>
      <c r="S25" s="86"/>
    </row>
    <row r="26" s="4" customFormat="1" customHeight="1" spans="1:19">
      <c r="A26" s="96">
        <v>11.2</v>
      </c>
      <c r="B26" s="55" t="s">
        <v>268</v>
      </c>
      <c r="C26" s="26"/>
      <c r="D26" s="40">
        <f t="shared" si="6"/>
        <v>28.6</v>
      </c>
      <c r="E26" s="26"/>
      <c r="F26" s="93"/>
      <c r="G26" s="32">
        <f t="shared" si="8"/>
        <v>28.6</v>
      </c>
      <c r="H26" s="58" t="s">
        <v>45</v>
      </c>
      <c r="I26" s="38">
        <v>1100</v>
      </c>
      <c r="J26" s="38">
        <v>260</v>
      </c>
      <c r="K26" s="92"/>
      <c r="O26" s="89"/>
      <c r="P26" s="86"/>
      <c r="Q26" s="86"/>
      <c r="R26" s="86"/>
      <c r="S26" s="86"/>
    </row>
    <row r="27" s="4" customFormat="1" customHeight="1" spans="1:19">
      <c r="A27" s="96">
        <v>11.3</v>
      </c>
      <c r="B27" s="55" t="s">
        <v>269</v>
      </c>
      <c r="C27" s="26"/>
      <c r="D27" s="40">
        <f t="shared" si="6"/>
        <v>0.36</v>
      </c>
      <c r="E27" s="26"/>
      <c r="F27" s="93"/>
      <c r="G27" s="32">
        <f t="shared" si="8"/>
        <v>0.36</v>
      </c>
      <c r="H27" s="58" t="s">
        <v>115</v>
      </c>
      <c r="I27" s="38">
        <v>3</v>
      </c>
      <c r="J27" s="38">
        <v>1200</v>
      </c>
      <c r="K27" s="92"/>
      <c r="O27" s="89"/>
      <c r="P27" s="86"/>
      <c r="Q27" s="86"/>
      <c r="R27" s="86"/>
      <c r="S27" s="86"/>
    </row>
    <row r="28" s="4" customFormat="1" customHeight="1" spans="1:19">
      <c r="A28" s="96">
        <v>11.4</v>
      </c>
      <c r="B28" s="55" t="s">
        <v>270</v>
      </c>
      <c r="C28" s="26"/>
      <c r="D28" s="40">
        <f t="shared" si="6"/>
        <v>13.75</v>
      </c>
      <c r="E28" s="26"/>
      <c r="F28" s="93"/>
      <c r="G28" s="32">
        <f t="shared" si="8"/>
        <v>13.75</v>
      </c>
      <c r="H28" s="58" t="s">
        <v>45</v>
      </c>
      <c r="I28" s="38">
        <v>550</v>
      </c>
      <c r="J28" s="38">
        <v>250</v>
      </c>
      <c r="K28" s="92"/>
      <c r="O28" s="89"/>
      <c r="P28" s="86"/>
      <c r="Q28" s="86"/>
      <c r="R28" s="86"/>
      <c r="S28" s="86"/>
    </row>
    <row r="29" s="4" customFormat="1" customHeight="1" spans="1:19">
      <c r="A29" s="96">
        <v>11.5</v>
      </c>
      <c r="B29" s="55" t="s">
        <v>271</v>
      </c>
      <c r="C29" s="26"/>
      <c r="D29" s="40">
        <f t="shared" si="6"/>
        <v>13.75</v>
      </c>
      <c r="E29" s="26"/>
      <c r="F29" s="93"/>
      <c r="G29" s="32">
        <f t="shared" si="8"/>
        <v>13.75</v>
      </c>
      <c r="H29" s="58" t="s">
        <v>45</v>
      </c>
      <c r="I29" s="38">
        <v>550</v>
      </c>
      <c r="J29" s="38">
        <v>250</v>
      </c>
      <c r="K29" s="92"/>
      <c r="O29" s="89"/>
      <c r="P29" s="86"/>
      <c r="Q29" s="86"/>
      <c r="R29" s="86"/>
      <c r="S29" s="86"/>
    </row>
    <row r="30" s="4" customFormat="1" customHeight="1" spans="1:19">
      <c r="A30" s="96">
        <v>11.6</v>
      </c>
      <c r="B30" s="55" t="s">
        <v>272</v>
      </c>
      <c r="C30" s="57">
        <f t="shared" ref="C30:C36" si="9">I30*J30/10000</f>
        <v>10</v>
      </c>
      <c r="D30" s="26"/>
      <c r="E30" s="26"/>
      <c r="F30" s="93"/>
      <c r="G30" s="32">
        <f t="shared" si="8"/>
        <v>10</v>
      </c>
      <c r="H30" s="58" t="s">
        <v>97</v>
      </c>
      <c r="I30" s="38">
        <v>20</v>
      </c>
      <c r="J30" s="38">
        <v>5000</v>
      </c>
      <c r="K30" s="92"/>
      <c r="O30" s="89"/>
      <c r="P30" s="86"/>
      <c r="Q30" s="86"/>
      <c r="R30" s="86"/>
      <c r="S30" s="86"/>
    </row>
    <row r="31" s="4" customFormat="1" customHeight="1" spans="1:19">
      <c r="A31" s="96">
        <v>11.7</v>
      </c>
      <c r="B31" s="55" t="s">
        <v>273</v>
      </c>
      <c r="C31" s="57">
        <f t="shared" si="9"/>
        <v>10</v>
      </c>
      <c r="D31" s="26"/>
      <c r="E31" s="26"/>
      <c r="F31" s="93"/>
      <c r="G31" s="32">
        <f t="shared" si="8"/>
        <v>10</v>
      </c>
      <c r="H31" s="58" t="s">
        <v>97</v>
      </c>
      <c r="I31" s="38">
        <v>20</v>
      </c>
      <c r="J31" s="38">
        <v>5000</v>
      </c>
      <c r="K31" s="92"/>
      <c r="O31" s="89"/>
      <c r="P31" s="86"/>
      <c r="Q31" s="86"/>
      <c r="R31" s="86"/>
      <c r="S31" s="86"/>
    </row>
    <row r="32" s="4" customFormat="1" ht="33" customHeight="1" spans="1:19">
      <c r="A32" s="96">
        <v>11.8</v>
      </c>
      <c r="B32" s="97" t="s">
        <v>274</v>
      </c>
      <c r="C32" s="57">
        <f t="shared" si="9"/>
        <v>1</v>
      </c>
      <c r="D32" s="26"/>
      <c r="E32" s="26"/>
      <c r="F32" s="93"/>
      <c r="G32" s="32">
        <f t="shared" si="8"/>
        <v>1</v>
      </c>
      <c r="H32" s="58" t="s">
        <v>97</v>
      </c>
      <c r="I32" s="38">
        <v>2</v>
      </c>
      <c r="J32" s="38">
        <v>5000</v>
      </c>
      <c r="K32" s="92"/>
      <c r="O32" s="89"/>
      <c r="P32" s="86"/>
      <c r="Q32" s="86"/>
      <c r="R32" s="86"/>
      <c r="S32" s="86"/>
    </row>
    <row r="33" s="4" customFormat="1" customHeight="1" spans="1:19">
      <c r="A33" s="96">
        <v>11.9</v>
      </c>
      <c r="B33" s="55" t="s">
        <v>275</v>
      </c>
      <c r="C33" s="57">
        <f t="shared" si="9"/>
        <v>1</v>
      </c>
      <c r="D33" s="26"/>
      <c r="E33" s="26"/>
      <c r="F33" s="93"/>
      <c r="G33" s="32">
        <f t="shared" si="8"/>
        <v>1</v>
      </c>
      <c r="H33" s="58" t="s">
        <v>97</v>
      </c>
      <c r="I33" s="38">
        <v>2</v>
      </c>
      <c r="J33" s="38">
        <v>5000</v>
      </c>
      <c r="K33" s="92"/>
      <c r="O33" s="89"/>
      <c r="P33" s="86" t="s">
        <v>276</v>
      </c>
      <c r="Q33" s="86" t="s">
        <v>277</v>
      </c>
      <c r="R33" s="86">
        <v>2</v>
      </c>
      <c r="S33" s="86"/>
    </row>
    <row r="34" s="4" customFormat="1" customHeight="1" spans="1:19">
      <c r="A34" s="98">
        <v>11.1</v>
      </c>
      <c r="B34" s="55" t="s">
        <v>278</v>
      </c>
      <c r="C34" s="57">
        <f t="shared" si="9"/>
        <v>1</v>
      </c>
      <c r="D34" s="26"/>
      <c r="E34" s="26"/>
      <c r="F34" s="93"/>
      <c r="G34" s="32">
        <f t="shared" si="8"/>
        <v>1</v>
      </c>
      <c r="H34" s="58" t="s">
        <v>97</v>
      </c>
      <c r="I34" s="38">
        <v>2</v>
      </c>
      <c r="J34" s="38">
        <v>5000</v>
      </c>
      <c r="K34" s="92"/>
      <c r="O34" s="89"/>
      <c r="P34" s="86"/>
      <c r="Q34" s="86"/>
      <c r="R34" s="86"/>
      <c r="S34" s="86"/>
    </row>
    <row r="35" s="4" customFormat="1" customHeight="1" spans="1:19">
      <c r="A35" s="98">
        <v>11.11</v>
      </c>
      <c r="B35" s="55" t="s">
        <v>279</v>
      </c>
      <c r="C35" s="57">
        <f t="shared" si="9"/>
        <v>14.96</v>
      </c>
      <c r="D35" s="26"/>
      <c r="E35" s="26"/>
      <c r="F35" s="93"/>
      <c r="G35" s="32">
        <f t="shared" si="8"/>
        <v>14.96</v>
      </c>
      <c r="H35" s="58" t="s">
        <v>136</v>
      </c>
      <c r="I35" s="38">
        <v>680</v>
      </c>
      <c r="J35" s="38">
        <v>220</v>
      </c>
      <c r="K35" s="99"/>
      <c r="O35" s="89"/>
      <c r="P35" s="86"/>
      <c r="Q35" s="86"/>
      <c r="R35" s="86"/>
      <c r="S35" s="86"/>
    </row>
    <row r="36" s="4" customFormat="1" customHeight="1" spans="1:19">
      <c r="A36" s="98">
        <v>11.12</v>
      </c>
      <c r="B36" s="55" t="s">
        <v>280</v>
      </c>
      <c r="C36" s="57">
        <f t="shared" si="9"/>
        <v>42.4</v>
      </c>
      <c r="D36" s="26"/>
      <c r="E36" s="26"/>
      <c r="F36" s="93"/>
      <c r="G36" s="32">
        <f t="shared" si="8"/>
        <v>42.4</v>
      </c>
      <c r="H36" s="58" t="s">
        <v>136</v>
      </c>
      <c r="I36" s="38">
        <v>5300</v>
      </c>
      <c r="J36" s="38">
        <v>80</v>
      </c>
      <c r="K36" s="92"/>
      <c r="O36" s="89"/>
      <c r="P36" s="86"/>
      <c r="Q36" s="86"/>
      <c r="R36" s="86"/>
      <c r="S36" s="86"/>
    </row>
    <row r="37" s="4" customFormat="1" customHeight="1" spans="1:19">
      <c r="A37" s="100">
        <v>12</v>
      </c>
      <c r="B37" s="62" t="s">
        <v>99</v>
      </c>
      <c r="C37" s="26">
        <f t="shared" ref="C37:G37" si="10">SUM(C38:C43)</f>
        <v>14.35</v>
      </c>
      <c r="D37" s="26">
        <f t="shared" si="10"/>
        <v>10.18</v>
      </c>
      <c r="E37" s="26"/>
      <c r="F37" s="26"/>
      <c r="G37" s="26">
        <f t="shared" si="10"/>
        <v>24.53</v>
      </c>
      <c r="H37" s="45" t="s">
        <v>56</v>
      </c>
      <c r="I37" s="26"/>
      <c r="J37" s="26"/>
      <c r="K37" s="92"/>
      <c r="O37" s="101"/>
      <c r="P37" s="102"/>
      <c r="Q37" s="102"/>
      <c r="R37" s="102"/>
      <c r="S37" s="102"/>
    </row>
    <row r="38" s="4" customFormat="1" customHeight="1" spans="1:19">
      <c r="A38" s="103">
        <v>12.1</v>
      </c>
      <c r="B38" s="55" t="s">
        <v>281</v>
      </c>
      <c r="C38" s="26"/>
      <c r="D38" s="104">
        <f t="shared" ref="D38:D40" si="11">I38*J38/10000</f>
        <v>7.31</v>
      </c>
      <c r="E38" s="26"/>
      <c r="F38" s="93"/>
      <c r="G38" s="32">
        <f t="shared" ref="G38:G43" si="12">SUM(C38:F38)</f>
        <v>7.31</v>
      </c>
      <c r="H38" s="58" t="s">
        <v>45</v>
      </c>
      <c r="I38" s="38">
        <v>170</v>
      </c>
      <c r="J38" s="38">
        <v>430</v>
      </c>
      <c r="K38" s="92"/>
      <c r="O38" s="105"/>
      <c r="P38" s="106"/>
      <c r="Q38" s="106"/>
      <c r="R38" s="106"/>
      <c r="S38" s="106"/>
    </row>
    <row r="39" s="4" customFormat="1" customHeight="1" spans="1:19">
      <c r="A39" s="103">
        <v>12.2</v>
      </c>
      <c r="B39" s="55" t="s">
        <v>282</v>
      </c>
      <c r="C39" s="26"/>
      <c r="D39" s="104">
        <f t="shared" si="11"/>
        <v>2.72</v>
      </c>
      <c r="E39" s="26"/>
      <c r="F39" s="93"/>
      <c r="G39" s="32">
        <f t="shared" si="12"/>
        <v>2.72</v>
      </c>
      <c r="H39" s="58" t="s">
        <v>45</v>
      </c>
      <c r="I39" s="38">
        <v>80</v>
      </c>
      <c r="J39" s="38">
        <v>340</v>
      </c>
      <c r="K39" s="92"/>
      <c r="O39" s="105"/>
      <c r="P39" s="106"/>
      <c r="Q39" s="106"/>
      <c r="R39" s="106"/>
      <c r="S39" s="106"/>
    </row>
    <row r="40" s="4" customFormat="1" customHeight="1" spans="1:19">
      <c r="A40" s="103">
        <v>12.3</v>
      </c>
      <c r="B40" s="55" t="s">
        <v>283</v>
      </c>
      <c r="C40" s="26"/>
      <c r="D40" s="104">
        <f t="shared" si="11"/>
        <v>0.15</v>
      </c>
      <c r="E40" s="26"/>
      <c r="F40" s="93"/>
      <c r="G40" s="32">
        <f t="shared" si="12"/>
        <v>0.15</v>
      </c>
      <c r="H40" s="58" t="s">
        <v>115</v>
      </c>
      <c r="I40" s="38">
        <v>1</v>
      </c>
      <c r="J40" s="38">
        <v>1500</v>
      </c>
      <c r="K40" s="92"/>
      <c r="O40" s="105"/>
      <c r="P40" s="106"/>
      <c r="Q40" s="106"/>
      <c r="R40" s="106"/>
      <c r="S40" s="106"/>
    </row>
    <row r="41" s="4" customFormat="1" customHeight="1" spans="1:19">
      <c r="A41" s="103">
        <v>12.4</v>
      </c>
      <c r="B41" s="55" t="s">
        <v>284</v>
      </c>
      <c r="C41" s="104">
        <f t="shared" ref="C41:C43" si="13">I41*J41/10000</f>
        <v>2.4</v>
      </c>
      <c r="D41" s="26"/>
      <c r="E41" s="26"/>
      <c r="F41" s="93"/>
      <c r="G41" s="32">
        <f t="shared" si="12"/>
        <v>2.4</v>
      </c>
      <c r="H41" s="58" t="s">
        <v>136</v>
      </c>
      <c r="I41" s="38">
        <v>300</v>
      </c>
      <c r="J41" s="38">
        <v>80</v>
      </c>
      <c r="K41" s="92"/>
      <c r="O41" s="105"/>
      <c r="P41" s="106"/>
      <c r="Q41" s="106"/>
      <c r="R41" s="106"/>
      <c r="S41" s="106"/>
    </row>
    <row r="42" s="4" customFormat="1" customHeight="1" spans="1:19">
      <c r="A42" s="103">
        <v>12.5</v>
      </c>
      <c r="B42" s="55" t="s">
        <v>285</v>
      </c>
      <c r="C42" s="104">
        <f t="shared" si="13"/>
        <v>4.95</v>
      </c>
      <c r="D42" s="26"/>
      <c r="E42" s="26"/>
      <c r="F42" s="93"/>
      <c r="G42" s="32">
        <f t="shared" si="12"/>
        <v>4.95</v>
      </c>
      <c r="H42" s="58" t="s">
        <v>136</v>
      </c>
      <c r="I42" s="38">
        <v>225</v>
      </c>
      <c r="J42" s="38">
        <v>220</v>
      </c>
      <c r="K42" s="92"/>
      <c r="O42" s="105"/>
      <c r="P42" s="106"/>
      <c r="Q42" s="106"/>
      <c r="R42" s="106"/>
      <c r="S42" s="106"/>
    </row>
    <row r="43" s="4" customFormat="1" customHeight="1" spans="1:19">
      <c r="A43" s="103">
        <v>12.6</v>
      </c>
      <c r="B43" s="55" t="s">
        <v>264</v>
      </c>
      <c r="C43" s="38">
        <f t="shared" si="13"/>
        <v>7</v>
      </c>
      <c r="D43" s="26"/>
      <c r="E43" s="26"/>
      <c r="F43" s="93"/>
      <c r="G43" s="32">
        <f t="shared" si="12"/>
        <v>7</v>
      </c>
      <c r="H43" s="58" t="s">
        <v>136</v>
      </c>
      <c r="I43" s="38">
        <v>70</v>
      </c>
      <c r="J43" s="38">
        <v>1000</v>
      </c>
      <c r="K43" s="92"/>
      <c r="O43" s="105"/>
      <c r="P43" s="106"/>
      <c r="Q43" s="106"/>
      <c r="R43" s="106"/>
      <c r="S43" s="106"/>
    </row>
    <row r="44" s="4" customFormat="1" customHeight="1" spans="1:19">
      <c r="A44" s="100">
        <v>13</v>
      </c>
      <c r="B44" s="62" t="s">
        <v>100</v>
      </c>
      <c r="C44" s="26">
        <f t="shared" ref="C44:G44" si="14">SUM(C45:C53)</f>
        <v>11.24</v>
      </c>
      <c r="D44" s="26">
        <f t="shared" si="14"/>
        <v>47.7</v>
      </c>
      <c r="E44" s="26">
        <f t="shared" si="14"/>
        <v>159.8</v>
      </c>
      <c r="F44" s="26"/>
      <c r="G44" s="26">
        <f t="shared" si="14"/>
        <v>218.74</v>
      </c>
      <c r="H44" s="45" t="s">
        <v>56</v>
      </c>
      <c r="I44" s="26"/>
      <c r="J44" s="26"/>
      <c r="K44" s="92"/>
      <c r="O44" s="101"/>
      <c r="P44" s="102"/>
      <c r="Q44" s="102"/>
      <c r="R44" s="102"/>
      <c r="S44" s="102"/>
    </row>
    <row r="45" s="4" customFormat="1" customHeight="1" spans="1:19">
      <c r="A45" s="48">
        <v>13.1</v>
      </c>
      <c r="B45" s="49" t="s">
        <v>243</v>
      </c>
      <c r="C45" s="26"/>
      <c r="D45" s="57">
        <f t="shared" ref="D45:D47" si="15">I45*J45/10000*0.15</f>
        <v>9.45</v>
      </c>
      <c r="E45" s="104">
        <f t="shared" ref="E45:E47" si="16">I45*J45/10000*0.85</f>
        <v>53.55</v>
      </c>
      <c r="F45" s="93"/>
      <c r="G45" s="32">
        <f t="shared" ref="G45:G55" si="17">SUM(C45:F45)</f>
        <v>63</v>
      </c>
      <c r="H45" s="20" t="s">
        <v>286</v>
      </c>
      <c r="I45" s="38">
        <v>9</v>
      </c>
      <c r="J45" s="38">
        <v>70000</v>
      </c>
      <c r="K45" s="92"/>
      <c r="O45" s="105"/>
      <c r="P45" s="106"/>
      <c r="Q45" s="106"/>
      <c r="R45" s="106"/>
      <c r="S45" s="106"/>
    </row>
    <row r="46" s="4" customFormat="1" customHeight="1" spans="1:19">
      <c r="A46" s="48">
        <v>13.2</v>
      </c>
      <c r="B46" s="49" t="s">
        <v>251</v>
      </c>
      <c r="C46" s="26"/>
      <c r="D46" s="57">
        <f t="shared" si="15"/>
        <v>11.25</v>
      </c>
      <c r="E46" s="104">
        <f t="shared" si="16"/>
        <v>63.75</v>
      </c>
      <c r="F46" s="93"/>
      <c r="G46" s="32">
        <f t="shared" si="17"/>
        <v>75</v>
      </c>
      <c r="H46" s="20" t="s">
        <v>286</v>
      </c>
      <c r="I46" s="38">
        <v>15</v>
      </c>
      <c r="J46" s="38">
        <v>50000</v>
      </c>
      <c r="K46" s="92"/>
      <c r="O46" s="105"/>
      <c r="P46" s="106"/>
      <c r="Q46" s="106"/>
      <c r="R46" s="106"/>
      <c r="S46" s="106"/>
    </row>
    <row r="47" s="4" customFormat="1" customHeight="1" spans="1:19">
      <c r="A47" s="48">
        <v>13.3</v>
      </c>
      <c r="B47" s="49" t="s">
        <v>287</v>
      </c>
      <c r="C47" s="26"/>
      <c r="D47" s="57">
        <f t="shared" si="15"/>
        <v>7.5</v>
      </c>
      <c r="E47" s="104">
        <f t="shared" si="16"/>
        <v>42.5</v>
      </c>
      <c r="F47" s="93"/>
      <c r="G47" s="32">
        <f t="shared" si="17"/>
        <v>50</v>
      </c>
      <c r="H47" s="20" t="s">
        <v>156</v>
      </c>
      <c r="I47" s="38">
        <v>2</v>
      </c>
      <c r="J47" s="38">
        <v>250000</v>
      </c>
      <c r="K47" s="92"/>
      <c r="O47" s="105"/>
      <c r="P47" s="106"/>
      <c r="Q47" s="106"/>
      <c r="R47" s="106"/>
      <c r="S47" s="106"/>
    </row>
    <row r="48" s="4" customFormat="1" customHeight="1" spans="1:19">
      <c r="A48" s="48">
        <v>13.4</v>
      </c>
      <c r="B48" s="49" t="s">
        <v>288</v>
      </c>
      <c r="C48" s="26"/>
      <c r="D48" s="57">
        <f>I48*J48/10000</f>
        <v>10.5</v>
      </c>
      <c r="E48" s="26"/>
      <c r="F48" s="93"/>
      <c r="G48" s="32">
        <f t="shared" si="17"/>
        <v>10.5</v>
      </c>
      <c r="H48" s="58" t="s">
        <v>45</v>
      </c>
      <c r="I48" s="38">
        <v>500</v>
      </c>
      <c r="J48" s="38">
        <v>210</v>
      </c>
      <c r="K48" s="92"/>
      <c r="O48" s="105"/>
      <c r="P48" s="106"/>
      <c r="Q48" s="106"/>
      <c r="R48" s="106"/>
      <c r="S48" s="106"/>
    </row>
    <row r="49" s="4" customFormat="1" customHeight="1" spans="1:19">
      <c r="A49" s="48">
        <v>13.5</v>
      </c>
      <c r="B49" s="49" t="s">
        <v>289</v>
      </c>
      <c r="C49" s="26"/>
      <c r="D49" s="57">
        <f>I49*J49/10000</f>
        <v>9</v>
      </c>
      <c r="E49" s="26"/>
      <c r="F49" s="93"/>
      <c r="G49" s="32">
        <f t="shared" si="17"/>
        <v>9</v>
      </c>
      <c r="H49" s="58" t="s">
        <v>45</v>
      </c>
      <c r="I49" s="38">
        <v>500</v>
      </c>
      <c r="J49" s="38">
        <v>180</v>
      </c>
      <c r="K49" s="92"/>
      <c r="O49" s="105"/>
      <c r="P49" s="106"/>
      <c r="Q49" s="106"/>
      <c r="R49" s="106"/>
      <c r="S49" s="106"/>
    </row>
    <row r="50" s="4" customFormat="1" customHeight="1" spans="1:19">
      <c r="A50" s="48">
        <v>13.6</v>
      </c>
      <c r="B50" s="49" t="s">
        <v>290</v>
      </c>
      <c r="C50" s="38">
        <f t="shared" ref="C50:C55" si="18">I50*J50/10000</f>
        <v>1.5</v>
      </c>
      <c r="D50" s="26"/>
      <c r="E50" s="26"/>
      <c r="F50" s="93"/>
      <c r="G50" s="32">
        <f t="shared" si="17"/>
        <v>1.5</v>
      </c>
      <c r="H50" s="20" t="s">
        <v>97</v>
      </c>
      <c r="I50" s="38">
        <v>5</v>
      </c>
      <c r="J50" s="38">
        <v>3000</v>
      </c>
      <c r="K50" s="92"/>
      <c r="O50" s="105"/>
      <c r="P50" s="106"/>
      <c r="Q50" s="106"/>
      <c r="R50" s="106"/>
      <c r="S50" s="106"/>
    </row>
    <row r="51" s="4" customFormat="1" customHeight="1" spans="1:19">
      <c r="A51" s="48">
        <v>13.7</v>
      </c>
      <c r="B51" s="49" t="s">
        <v>291</v>
      </c>
      <c r="C51" s="38">
        <f t="shared" si="18"/>
        <v>3</v>
      </c>
      <c r="D51" s="26"/>
      <c r="E51" s="26"/>
      <c r="F51" s="93"/>
      <c r="G51" s="32">
        <f t="shared" si="17"/>
        <v>3</v>
      </c>
      <c r="H51" s="20" t="s">
        <v>97</v>
      </c>
      <c r="I51" s="38">
        <v>10</v>
      </c>
      <c r="J51" s="38">
        <v>3000</v>
      </c>
      <c r="K51" s="92"/>
      <c r="O51" s="105"/>
      <c r="P51" s="106"/>
      <c r="Q51" s="106"/>
      <c r="R51" s="106"/>
      <c r="S51" s="106"/>
    </row>
    <row r="52" s="4" customFormat="1" customHeight="1" spans="1:19">
      <c r="A52" s="48">
        <v>13.8</v>
      </c>
      <c r="B52" s="49" t="s">
        <v>292</v>
      </c>
      <c r="C52" s="38">
        <f t="shared" si="18"/>
        <v>1.5</v>
      </c>
      <c r="D52" s="26"/>
      <c r="E52" s="26"/>
      <c r="F52" s="93"/>
      <c r="G52" s="32">
        <f t="shared" si="17"/>
        <v>1.5</v>
      </c>
      <c r="H52" s="20" t="s">
        <v>97</v>
      </c>
      <c r="I52" s="38">
        <v>5</v>
      </c>
      <c r="J52" s="38">
        <v>3000</v>
      </c>
      <c r="K52" s="92"/>
      <c r="O52" s="105"/>
      <c r="P52" s="106"/>
      <c r="Q52" s="106"/>
      <c r="R52" s="106"/>
      <c r="S52" s="106"/>
    </row>
    <row r="53" s="4" customFormat="1" customHeight="1" spans="1:19">
      <c r="A53" s="48">
        <v>13.9</v>
      </c>
      <c r="B53" s="49" t="s">
        <v>293</v>
      </c>
      <c r="C53" s="38">
        <f t="shared" si="18"/>
        <v>5.24</v>
      </c>
      <c r="D53" s="26"/>
      <c r="E53" s="26"/>
      <c r="F53" s="93"/>
      <c r="G53" s="32">
        <f t="shared" si="17"/>
        <v>5.24</v>
      </c>
      <c r="H53" s="20" t="s">
        <v>136</v>
      </c>
      <c r="I53" s="38">
        <v>655</v>
      </c>
      <c r="J53" s="38">
        <v>80</v>
      </c>
      <c r="K53" s="107"/>
      <c r="O53" s="105"/>
      <c r="P53" s="106"/>
      <c r="Q53" s="106"/>
      <c r="R53" s="106"/>
      <c r="S53" s="106"/>
    </row>
    <row r="54" s="73" customFormat="1" customHeight="1" spans="1:19">
      <c r="A54" s="26" t="s">
        <v>40</v>
      </c>
      <c r="B54" s="93" t="s">
        <v>294</v>
      </c>
      <c r="C54" s="26">
        <f t="shared" si="18"/>
        <v>47.79</v>
      </c>
      <c r="D54" s="26"/>
      <c r="E54" s="26"/>
      <c r="F54" s="26"/>
      <c r="G54" s="26">
        <f t="shared" si="17"/>
        <v>47.79</v>
      </c>
      <c r="H54" s="24" t="s">
        <v>97</v>
      </c>
      <c r="I54" s="26">
        <v>1062</v>
      </c>
      <c r="J54" s="108">
        <v>450</v>
      </c>
      <c r="K54" s="109"/>
      <c r="O54" s="110"/>
      <c r="P54" s="111"/>
      <c r="Q54" s="111"/>
      <c r="R54" s="111"/>
      <c r="S54" s="111"/>
    </row>
    <row r="55" s="73" customFormat="1" customHeight="1" spans="1:19">
      <c r="A55" s="26" t="s">
        <v>92</v>
      </c>
      <c r="B55" s="93" t="s">
        <v>295</v>
      </c>
      <c r="C55" s="26">
        <f t="shared" si="18"/>
        <v>9.412</v>
      </c>
      <c r="D55" s="26"/>
      <c r="E55" s="26"/>
      <c r="F55" s="26"/>
      <c r="G55" s="26">
        <f t="shared" si="17"/>
        <v>9.412</v>
      </c>
      <c r="H55" s="24" t="s">
        <v>97</v>
      </c>
      <c r="I55" s="26">
        <v>724</v>
      </c>
      <c r="J55" s="108">
        <v>130</v>
      </c>
      <c r="K55" s="109"/>
      <c r="O55" s="110"/>
      <c r="P55" s="111"/>
      <c r="Q55" s="111"/>
      <c r="R55" s="111"/>
      <c r="S55" s="111"/>
    </row>
    <row r="56" s="74" customFormat="1" customHeight="1" spans="1:19">
      <c r="A56" s="112" t="s">
        <v>296</v>
      </c>
      <c r="B56" s="113" t="s">
        <v>297</v>
      </c>
      <c r="C56" s="26"/>
      <c r="D56" s="112"/>
      <c r="E56" s="112"/>
      <c r="F56" s="112"/>
      <c r="G56" s="26"/>
      <c r="H56" s="114" t="s">
        <v>53</v>
      </c>
      <c r="I56" s="112"/>
      <c r="J56" s="112"/>
      <c r="K56" s="115"/>
      <c r="O56" s="116"/>
      <c r="P56" s="116"/>
      <c r="Q56" s="116"/>
      <c r="R56" s="116"/>
      <c r="S56" s="116"/>
    </row>
    <row r="57" s="4" customFormat="1" customHeight="1" spans="1:19">
      <c r="A57" s="42" t="s">
        <v>12</v>
      </c>
      <c r="B57" s="43" t="s">
        <v>13</v>
      </c>
      <c r="C57" s="26"/>
      <c r="D57" s="44"/>
      <c r="E57" s="44"/>
      <c r="F57" s="26">
        <f>SUM(F58:F74)</f>
        <v>855.707190409143</v>
      </c>
      <c r="G57" s="26">
        <f>SUM(G58:G74)</f>
        <v>855.707190409143</v>
      </c>
      <c r="H57" s="45" t="s">
        <v>56</v>
      </c>
      <c r="I57" s="108"/>
      <c r="J57" s="108"/>
      <c r="K57" s="117">
        <f>G57/G76</f>
        <v>0.0859694189556981</v>
      </c>
    </row>
    <row r="58" s="2" customFormat="1" customHeight="1" spans="1:19">
      <c r="A58" s="48">
        <v>1</v>
      </c>
      <c r="B58" s="49" t="s">
        <v>158</v>
      </c>
      <c r="C58" s="32"/>
      <c r="D58" s="50"/>
      <c r="E58" s="50"/>
      <c r="F58" s="32">
        <f>I58*J58</f>
        <v>122.8956156</v>
      </c>
      <c r="G58" s="32">
        <f t="shared" ref="G58:G75" si="19">F58</f>
        <v>122.8956156</v>
      </c>
      <c r="H58" s="21" t="s">
        <v>56</v>
      </c>
      <c r="I58" s="38">
        <f>G5</f>
        <v>8193.04104</v>
      </c>
      <c r="J58" s="59">
        <v>0.015</v>
      </c>
      <c r="K58" s="107"/>
    </row>
    <row r="59" s="2" customFormat="1" customHeight="1" spans="1:19">
      <c r="A59" s="48">
        <v>2</v>
      </c>
      <c r="B59" s="49" t="s">
        <v>58</v>
      </c>
      <c r="C59" s="32"/>
      <c r="D59" s="32"/>
      <c r="E59" s="32"/>
      <c r="F59" s="32">
        <f>((I59-8000)*(218.6-181)/2000+181)</f>
        <v>184.629171552</v>
      </c>
      <c r="G59" s="32">
        <f t="shared" si="19"/>
        <v>184.629171552</v>
      </c>
      <c r="H59" s="21" t="s">
        <v>56</v>
      </c>
      <c r="I59" s="38">
        <f>G5</f>
        <v>8193.04104</v>
      </c>
      <c r="J59" s="59">
        <f t="shared" ref="J59:J61" si="20">G59/I59</f>
        <v>0.0225348769340474</v>
      </c>
      <c r="K59" s="107"/>
    </row>
    <row r="60" s="5" customFormat="1" customHeight="1" spans="1:19">
      <c r="A60" s="103">
        <v>3</v>
      </c>
      <c r="B60" s="55" t="s">
        <v>298</v>
      </c>
      <c r="C60" s="57"/>
      <c r="D60" s="57"/>
      <c r="E60" s="57"/>
      <c r="F60" s="57">
        <f>((I60-3000)*(28-12)/7000+12)</f>
        <v>23.8698080914286</v>
      </c>
      <c r="G60" s="57">
        <f t="shared" si="19"/>
        <v>23.8698080914286</v>
      </c>
      <c r="H60" s="58" t="s">
        <v>56</v>
      </c>
      <c r="I60" s="38">
        <f>G5</f>
        <v>8193.04104</v>
      </c>
      <c r="J60" s="59">
        <f t="shared" si="20"/>
        <v>0.00291342469479789</v>
      </c>
      <c r="K60" s="107"/>
      <c r="N60" s="61"/>
    </row>
    <row r="61" s="5" customFormat="1" customHeight="1" spans="1:19">
      <c r="A61" s="48">
        <v>4</v>
      </c>
      <c r="B61" s="55" t="s">
        <v>163</v>
      </c>
      <c r="C61" s="57"/>
      <c r="D61" s="57"/>
      <c r="E61" s="57"/>
      <c r="F61" s="57">
        <f>((I61-3000)*(14-6)/7000+6)</f>
        <v>11.9349040457143</v>
      </c>
      <c r="G61" s="57">
        <f t="shared" si="19"/>
        <v>11.9349040457143</v>
      </c>
      <c r="H61" s="58" t="s">
        <v>56</v>
      </c>
      <c r="I61" s="38">
        <f>G5</f>
        <v>8193.04104</v>
      </c>
      <c r="J61" s="59">
        <f t="shared" si="20"/>
        <v>0.00145671234739894</v>
      </c>
      <c r="K61" s="107"/>
      <c r="N61" s="61"/>
    </row>
    <row r="62" s="5" customFormat="1" customHeight="1" spans="1:19">
      <c r="A62" s="48">
        <v>5</v>
      </c>
      <c r="B62" s="55" t="s">
        <v>59</v>
      </c>
      <c r="C62" s="57"/>
      <c r="D62" s="57"/>
      <c r="E62" s="57"/>
      <c r="F62" s="57">
        <f t="shared" ref="F62:F66" si="21">I62*J62</f>
        <v>28.67564364</v>
      </c>
      <c r="G62" s="57">
        <f t="shared" si="19"/>
        <v>28.67564364</v>
      </c>
      <c r="H62" s="58" t="s">
        <v>56</v>
      </c>
      <c r="I62" s="38">
        <f>G5</f>
        <v>8193.04104</v>
      </c>
      <c r="J62" s="59">
        <v>0.0035</v>
      </c>
      <c r="K62" s="107"/>
    </row>
    <row r="63" s="5" customFormat="1" customHeight="1" spans="1:19">
      <c r="A63" s="103">
        <v>6</v>
      </c>
      <c r="B63" s="55" t="s">
        <v>299</v>
      </c>
      <c r="C63" s="57"/>
      <c r="D63" s="57"/>
      <c r="E63" s="57"/>
      <c r="F63" s="57">
        <f>((I63-8000)*(304.8-249.6)/2000+249.6)</f>
        <v>254.927932704</v>
      </c>
      <c r="G63" s="57">
        <f t="shared" si="19"/>
        <v>254.927932704</v>
      </c>
      <c r="H63" s="58" t="s">
        <v>56</v>
      </c>
      <c r="I63" s="38">
        <f>G5</f>
        <v>8193.04104</v>
      </c>
      <c r="J63" s="59">
        <f>F63/I63</f>
        <v>0.0311151782908682</v>
      </c>
      <c r="K63" s="107"/>
    </row>
    <row r="64" s="5" customFormat="1" customHeight="1" spans="1:19">
      <c r="A64" s="103">
        <v>7</v>
      </c>
      <c r="B64" s="55" t="s">
        <v>160</v>
      </c>
      <c r="C64" s="57"/>
      <c r="D64" s="57"/>
      <c r="E64" s="57"/>
      <c r="F64" s="57">
        <f t="shared" si="21"/>
        <v>12.28956156</v>
      </c>
      <c r="G64" s="57">
        <f t="shared" si="19"/>
        <v>12.28956156</v>
      </c>
      <c r="H64" s="58" t="s">
        <v>56</v>
      </c>
      <c r="I64" s="38">
        <f>G5</f>
        <v>8193.04104</v>
      </c>
      <c r="J64" s="59">
        <v>0.0015</v>
      </c>
      <c r="K64" s="107"/>
    </row>
    <row r="65" s="2" customFormat="1" customHeight="1" spans="1:11">
      <c r="A65" s="48">
        <v>8</v>
      </c>
      <c r="B65" s="49" t="s">
        <v>229</v>
      </c>
      <c r="C65" s="32"/>
      <c r="D65" s="32"/>
      <c r="E65" s="32"/>
      <c r="F65" s="32">
        <f t="shared" si="21"/>
        <v>57.35128728</v>
      </c>
      <c r="G65" s="32">
        <f t="shared" si="19"/>
        <v>57.35128728</v>
      </c>
      <c r="H65" s="21" t="s">
        <v>56</v>
      </c>
      <c r="I65" s="38">
        <f>G5</f>
        <v>8193.04104</v>
      </c>
      <c r="J65" s="59">
        <v>0.007</v>
      </c>
      <c r="K65" s="107"/>
    </row>
    <row r="66" s="2" customFormat="1" customHeight="1" spans="1:11">
      <c r="A66" s="48">
        <v>9</v>
      </c>
      <c r="B66" s="49" t="s">
        <v>64</v>
      </c>
      <c r="C66" s="32"/>
      <c r="D66" s="32"/>
      <c r="E66" s="32"/>
      <c r="F66" s="32">
        <f t="shared" si="21"/>
        <v>44.242421616</v>
      </c>
      <c r="G66" s="57">
        <f t="shared" si="19"/>
        <v>44.242421616</v>
      </c>
      <c r="H66" s="21" t="s">
        <v>56</v>
      </c>
      <c r="I66" s="38">
        <f>G5</f>
        <v>8193.04104</v>
      </c>
      <c r="J66" s="59">
        <v>0.0054</v>
      </c>
      <c r="K66" s="107"/>
    </row>
    <row r="67" s="2" customFormat="1" customHeight="1" spans="1:11">
      <c r="A67" s="48">
        <v>10</v>
      </c>
      <c r="B67" s="49" t="s">
        <v>236</v>
      </c>
      <c r="C67" s="32"/>
      <c r="D67" s="32"/>
      <c r="E67" s="32"/>
      <c r="F67" s="32">
        <f>1+2.8+2.75+14+(I67-5000)*0.002</f>
        <v>26.93608208</v>
      </c>
      <c r="G67" s="32">
        <f t="shared" si="19"/>
        <v>26.93608208</v>
      </c>
      <c r="H67" s="21" t="s">
        <v>56</v>
      </c>
      <c r="I67" s="38">
        <f>G5</f>
        <v>8193.04104</v>
      </c>
      <c r="J67" s="59">
        <f>G67/I67</f>
        <v>0.003287678158634</v>
      </c>
      <c r="K67" s="107"/>
    </row>
    <row r="68" s="2" customFormat="1" customHeight="1" spans="1:11">
      <c r="A68" s="48">
        <v>11</v>
      </c>
      <c r="B68" s="49" t="s">
        <v>73</v>
      </c>
      <c r="C68" s="32"/>
      <c r="D68" s="32"/>
      <c r="E68" s="32"/>
      <c r="F68" s="32">
        <f>I68*J68</f>
        <v>40.9652052</v>
      </c>
      <c r="G68" s="32">
        <f t="shared" si="19"/>
        <v>40.9652052</v>
      </c>
      <c r="H68" s="21" t="s">
        <v>56</v>
      </c>
      <c r="I68" s="38">
        <f>G5</f>
        <v>8193.04104</v>
      </c>
      <c r="J68" s="59">
        <v>0.005</v>
      </c>
      <c r="K68" s="107"/>
    </row>
    <row r="69" s="2" customFormat="1" customHeight="1" spans="1:11">
      <c r="A69" s="103">
        <v>12</v>
      </c>
      <c r="B69" s="49" t="s">
        <v>300</v>
      </c>
      <c r="C69" s="32"/>
      <c r="D69" s="32"/>
      <c r="E69" s="32"/>
      <c r="F69" s="32">
        <f>I69*J69</f>
        <v>8.19304104</v>
      </c>
      <c r="G69" s="57">
        <f t="shared" si="19"/>
        <v>8.19304104</v>
      </c>
      <c r="H69" s="21" t="s">
        <v>56</v>
      </c>
      <c r="I69" s="38">
        <f>G5</f>
        <v>8193.04104</v>
      </c>
      <c r="J69" s="59">
        <v>0.001</v>
      </c>
      <c r="K69" s="107"/>
    </row>
    <row r="70" s="2" customFormat="1" customHeight="1" spans="1:11">
      <c r="A70" s="48">
        <v>13</v>
      </c>
      <c r="B70" s="49" t="s">
        <v>166</v>
      </c>
      <c r="C70" s="32"/>
      <c r="D70" s="32"/>
      <c r="E70" s="32"/>
      <c r="F70" s="32">
        <f t="shared" ref="F70:F74" si="22">I70*J70/10000</f>
        <v>20</v>
      </c>
      <c r="G70" s="32">
        <f t="shared" si="19"/>
        <v>20</v>
      </c>
      <c r="H70" s="21" t="s">
        <v>56</v>
      </c>
      <c r="I70" s="38">
        <v>1</v>
      </c>
      <c r="J70" s="38">
        <v>200000</v>
      </c>
      <c r="K70" s="107"/>
    </row>
    <row r="71" s="2" customFormat="1" customHeight="1" spans="1:11">
      <c r="A71" s="48">
        <v>14</v>
      </c>
      <c r="B71" s="49" t="s">
        <v>71</v>
      </c>
      <c r="C71" s="32"/>
      <c r="D71" s="32"/>
      <c r="E71" s="32"/>
      <c r="F71" s="32">
        <f>I71*2/10000</f>
        <v>2.796516</v>
      </c>
      <c r="G71" s="32">
        <f t="shared" si="19"/>
        <v>2.796516</v>
      </c>
      <c r="H71" s="21" t="s">
        <v>27</v>
      </c>
      <c r="I71" s="38">
        <v>13982.58</v>
      </c>
      <c r="J71" s="38" t="s">
        <v>301</v>
      </c>
      <c r="K71" s="107"/>
    </row>
    <row r="72" s="2" customFormat="1" customHeight="1" spans="1:11">
      <c r="A72" s="103">
        <v>15</v>
      </c>
      <c r="B72" s="49" t="s">
        <v>302</v>
      </c>
      <c r="C72" s="32"/>
      <c r="D72" s="32"/>
      <c r="E72" s="32"/>
      <c r="F72" s="32">
        <f t="shared" si="22"/>
        <v>5</v>
      </c>
      <c r="G72" s="32">
        <f t="shared" si="19"/>
        <v>5</v>
      </c>
      <c r="H72" s="21" t="s">
        <v>56</v>
      </c>
      <c r="I72" s="38">
        <v>1</v>
      </c>
      <c r="J72" s="38">
        <v>50000</v>
      </c>
      <c r="K72" s="107"/>
    </row>
    <row r="73" s="2" customFormat="1" customHeight="1" spans="1:11">
      <c r="A73" s="103">
        <v>16</v>
      </c>
      <c r="B73" s="49" t="s">
        <v>303</v>
      </c>
      <c r="C73" s="32"/>
      <c r="D73" s="32"/>
      <c r="E73" s="32"/>
      <c r="F73" s="32">
        <f t="shared" si="22"/>
        <v>5</v>
      </c>
      <c r="G73" s="32">
        <f t="shared" si="19"/>
        <v>5</v>
      </c>
      <c r="H73" s="21" t="s">
        <v>56</v>
      </c>
      <c r="I73" s="38">
        <v>1</v>
      </c>
      <c r="J73" s="38">
        <v>50000</v>
      </c>
      <c r="K73" s="107"/>
    </row>
    <row r="74" s="2" customFormat="1" customHeight="1" spans="1:11">
      <c r="A74" s="103">
        <v>17</v>
      </c>
      <c r="B74" s="49" t="s">
        <v>304</v>
      </c>
      <c r="C74" s="32"/>
      <c r="D74" s="32"/>
      <c r="E74" s="32"/>
      <c r="F74" s="32">
        <f t="shared" si="22"/>
        <v>6</v>
      </c>
      <c r="G74" s="32">
        <f t="shared" si="19"/>
        <v>6</v>
      </c>
      <c r="H74" s="21" t="s">
        <v>305</v>
      </c>
      <c r="I74" s="38">
        <v>500</v>
      </c>
      <c r="J74" s="38">
        <f>80*1.5</f>
        <v>120</v>
      </c>
      <c r="K74" s="107"/>
    </row>
    <row r="75" s="4" customFormat="1" customHeight="1" spans="1:11">
      <c r="A75" s="42" t="s">
        <v>14</v>
      </c>
      <c r="B75" s="62" t="s">
        <v>82</v>
      </c>
      <c r="C75" s="26"/>
      <c r="D75" s="26"/>
      <c r="E75" s="26"/>
      <c r="F75" s="26">
        <f>I75*J75</f>
        <v>904.874823040914</v>
      </c>
      <c r="G75" s="26">
        <f t="shared" si="19"/>
        <v>904.874823040914</v>
      </c>
      <c r="H75" s="45" t="s">
        <v>56</v>
      </c>
      <c r="I75" s="26">
        <f>G57+G5</f>
        <v>9048.74823040914</v>
      </c>
      <c r="J75" s="63">
        <v>0.1</v>
      </c>
      <c r="K75" s="27">
        <f>G75/G76</f>
        <v>0.0909090909090909</v>
      </c>
    </row>
    <row r="76" s="4" customFormat="1" customHeight="1" spans="1:11">
      <c r="A76" s="65" t="s">
        <v>83</v>
      </c>
      <c r="B76" s="66" t="s">
        <v>17</v>
      </c>
      <c r="C76" s="68">
        <f>C5</f>
        <v>6179.5324</v>
      </c>
      <c r="D76" s="67">
        <f>D5</f>
        <v>918.012738</v>
      </c>
      <c r="E76" s="68"/>
      <c r="F76" s="68">
        <f>F57+F75</f>
        <v>1760.58201345006</v>
      </c>
      <c r="G76" s="68">
        <f>G5+G57+G75</f>
        <v>9953.62305345006</v>
      </c>
      <c r="H76" s="69" t="s">
        <v>56</v>
      </c>
      <c r="I76" s="70"/>
      <c r="J76" s="70"/>
      <c r="K76" s="71">
        <v>1</v>
      </c>
    </row>
    <row r="79" customHeight="1" spans="1:11">
      <c r="G79" s="8">
        <f>86400000/10000</f>
        <v>8640</v>
      </c>
    </row>
    <row r="80" customHeight="1" spans="1:11">
      <c r="G80" s="8">
        <f>G76-G79</f>
        <v>1313.62305345006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1:K1"/>
    <mergeCell ref="A2:K2"/>
    <mergeCell ref="C3:G3"/>
    <mergeCell ref="H3:J3"/>
    <mergeCell ref="A3:A4"/>
    <mergeCell ref="B3:B4"/>
    <mergeCell ref="O10:O15"/>
    <mergeCell ref="O19:O36"/>
  </mergeCells>
  <pageMargins left="0.590277777777778" right="0.590277777777778" top="0.590277777777778" bottom="0.590277777777778" header="0.5" footer="0.5"/>
  <pageSetup paperSize="9" scale="7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zoomScale="70" zoomScaleNormal="70" zoomScaleSheetLayoutView="85" workbookViewId="0">
      <selection activeCell="G11" sqref="G11"/>
    </sheetView>
  </sheetViews>
  <sheetFormatPr defaultColWidth="10.2857142857143" defaultRowHeight="27.95" customHeight="1"/>
  <cols>
    <col min="1" max="1" width="10.4285714285714" style="6"/>
    <col min="2" max="2" width="40.5714285714286" style="7" customWidth="1"/>
    <col min="3" max="3" width="16" style="6"/>
    <col min="4" max="4" width="18.5714285714286" style="6"/>
    <col min="5" max="5" width="15.2857142857143" style="7" customWidth="1"/>
    <col min="6" max="6" width="13.5714285714286" style="7" customWidth="1"/>
    <col min="7" max="7" width="16" style="8"/>
    <col min="8" max="8" width="10.2857142857143" style="6"/>
    <col min="9" max="9" width="20.1428571428571" style="6"/>
    <col min="10" max="10" width="20" style="6"/>
    <col min="11" max="11" width="17.7142857142857" style="7" customWidth="1"/>
    <col min="12" max="12" width="16.1428571428571" style="7" hidden="1" customWidth="1"/>
    <col min="13" max="13" width="10.2857142857143" style="7" hidden="1" customWidth="1"/>
    <col min="14" max="14" width="14.4285714285714" style="7" hidden="1" customWidth="1"/>
    <col min="15" max="16" width="10.2857142857143" style="7"/>
    <col min="17" max="17" width="27.5714285714286" style="7" customWidth="1"/>
    <col min="18" max="18" width="16.2857142857143" style="7"/>
    <col min="19" max="19" width="23.2857142857143" style="7" customWidth="1"/>
    <col min="20" max="16384" width="10.2857142857143" style="7"/>
  </cols>
  <sheetData>
    <row r="1" ht="42" customHeight="1" spans="1:17">
      <c r="A1" s="9" t="s">
        <v>122</v>
      </c>
      <c r="B1" s="9"/>
      <c r="C1" s="9"/>
      <c r="D1" s="9"/>
      <c r="E1" s="9"/>
      <c r="F1" s="9"/>
      <c r="G1" s="10"/>
      <c r="H1" s="9"/>
      <c r="I1" s="9"/>
      <c r="J1" s="9"/>
      <c r="K1" s="9"/>
    </row>
    <row r="2" customHeight="1" spans="1:17">
      <c r="A2" s="11" t="s">
        <v>306</v>
      </c>
      <c r="B2" s="11"/>
      <c r="C2" s="11"/>
      <c r="D2" s="11"/>
      <c r="E2" s="11"/>
      <c r="F2" s="11"/>
      <c r="G2" s="12"/>
      <c r="H2" s="11"/>
      <c r="I2" s="11"/>
      <c r="J2" s="11"/>
      <c r="K2" s="11"/>
    </row>
    <row r="3" ht="37.5" spans="1:17">
      <c r="A3" s="13" t="s">
        <v>1</v>
      </c>
      <c r="B3" s="14" t="s">
        <v>20</v>
      </c>
      <c r="C3" s="15" t="s">
        <v>86</v>
      </c>
      <c r="D3" s="15"/>
      <c r="E3" s="15"/>
      <c r="F3" s="15"/>
      <c r="G3" s="16"/>
      <c r="H3" s="15" t="s">
        <v>22</v>
      </c>
      <c r="I3" s="15"/>
      <c r="J3" s="15"/>
      <c r="K3" s="17" t="s">
        <v>23</v>
      </c>
    </row>
    <row r="4" customHeight="1" spans="1:17">
      <c r="A4" s="18"/>
      <c r="B4" s="19"/>
      <c r="C4" s="19" t="s">
        <v>175</v>
      </c>
      <c r="D4" s="19" t="s">
        <v>199</v>
      </c>
      <c r="E4" s="19" t="s">
        <v>6</v>
      </c>
      <c r="F4" s="19" t="s">
        <v>8</v>
      </c>
      <c r="G4" s="20" t="s">
        <v>9</v>
      </c>
      <c r="H4" s="21" t="s">
        <v>24</v>
      </c>
      <c r="I4" s="21" t="s">
        <v>25</v>
      </c>
      <c r="J4" s="19" t="s">
        <v>208</v>
      </c>
      <c r="K4" s="22"/>
    </row>
    <row r="5" s="1" customFormat="1" customHeight="1" spans="1:17">
      <c r="A5" s="23" t="s">
        <v>10</v>
      </c>
      <c r="B5" s="24" t="s">
        <v>11</v>
      </c>
      <c r="C5" s="25">
        <f t="shared" ref="C5:G5" si="0">C6+C11</f>
        <v>1920.01</v>
      </c>
      <c r="D5" s="26">
        <f t="shared" si="0"/>
        <v>234.55</v>
      </c>
      <c r="E5" s="25"/>
      <c r="F5" s="26"/>
      <c r="G5" s="25">
        <f t="shared" si="0"/>
        <v>2154.56</v>
      </c>
      <c r="H5" s="24" t="s">
        <v>56</v>
      </c>
      <c r="I5" s="26"/>
      <c r="J5" s="24"/>
      <c r="K5" s="27">
        <f>G5/G46</f>
        <v>0.8182528651622</v>
      </c>
    </row>
    <row r="6" s="1" customFormat="1" customHeight="1" spans="1:17">
      <c r="A6" s="28">
        <v>1</v>
      </c>
      <c r="B6" s="29" t="s">
        <v>209</v>
      </c>
      <c r="C6" s="25">
        <f t="shared" ref="C6:G6" si="1">SUM(C7:C10)</f>
        <v>742.5</v>
      </c>
      <c r="D6" s="25">
        <f t="shared" si="1"/>
        <v>89.1</v>
      </c>
      <c r="E6" s="25"/>
      <c r="F6" s="25"/>
      <c r="G6" s="25">
        <f t="shared" si="1"/>
        <v>831.6</v>
      </c>
      <c r="H6" s="24"/>
      <c r="I6" s="26"/>
      <c r="J6" s="24"/>
      <c r="K6" s="27"/>
    </row>
    <row r="7" s="1" customFormat="1" customHeight="1" spans="1:17">
      <c r="A7" s="30">
        <v>1.1</v>
      </c>
      <c r="B7" s="31" t="s">
        <v>307</v>
      </c>
      <c r="C7" s="32">
        <f>I7*J7/10000</f>
        <v>742.5</v>
      </c>
      <c r="D7" s="26"/>
      <c r="E7" s="26"/>
      <c r="F7" s="24"/>
      <c r="G7" s="32">
        <f t="shared" ref="G7:G10" si="2">SUM(C7:F7)</f>
        <v>742.5</v>
      </c>
      <c r="H7" s="21" t="s">
        <v>27</v>
      </c>
      <c r="I7" s="32">
        <v>1650</v>
      </c>
      <c r="J7" s="32">
        <v>4500</v>
      </c>
      <c r="K7" s="27"/>
    </row>
    <row r="8" s="1" customFormat="1" customHeight="1" spans="1:17">
      <c r="A8" s="30">
        <v>1.2</v>
      </c>
      <c r="B8" s="31" t="s">
        <v>308</v>
      </c>
      <c r="C8" s="25"/>
      <c r="D8" s="32">
        <f t="shared" ref="D8:D10" si="3">I8*J8/10000</f>
        <v>26.4</v>
      </c>
      <c r="E8" s="26"/>
      <c r="F8" s="24"/>
      <c r="G8" s="32">
        <f t="shared" si="2"/>
        <v>26.4</v>
      </c>
      <c r="H8" s="21" t="s">
        <v>27</v>
      </c>
      <c r="I8" s="32">
        <v>1650</v>
      </c>
      <c r="J8" s="32">
        <v>160</v>
      </c>
      <c r="K8" s="27"/>
    </row>
    <row r="9" s="1" customFormat="1" customHeight="1" spans="1:17">
      <c r="A9" s="30">
        <v>1.3</v>
      </c>
      <c r="B9" s="31" t="s">
        <v>32</v>
      </c>
      <c r="C9" s="25"/>
      <c r="D9" s="32">
        <f t="shared" si="3"/>
        <v>23.1</v>
      </c>
      <c r="E9" s="26"/>
      <c r="F9" s="24"/>
      <c r="G9" s="32">
        <f t="shared" si="2"/>
        <v>23.1</v>
      </c>
      <c r="H9" s="21" t="s">
        <v>27</v>
      </c>
      <c r="I9" s="32">
        <v>1650</v>
      </c>
      <c r="J9" s="32">
        <v>140</v>
      </c>
      <c r="K9" s="27"/>
    </row>
    <row r="10" s="1" customFormat="1" customHeight="1" spans="1:17">
      <c r="A10" s="30">
        <v>1.4</v>
      </c>
      <c r="B10" s="31" t="s">
        <v>90</v>
      </c>
      <c r="C10" s="25"/>
      <c r="D10" s="32">
        <f t="shared" si="3"/>
        <v>39.6</v>
      </c>
      <c r="E10" s="26"/>
      <c r="F10" s="24"/>
      <c r="G10" s="32">
        <f t="shared" si="2"/>
        <v>39.6</v>
      </c>
      <c r="H10" s="21" t="s">
        <v>27</v>
      </c>
      <c r="I10" s="32">
        <v>1650</v>
      </c>
      <c r="J10" s="32">
        <v>240</v>
      </c>
      <c r="K10" s="27"/>
    </row>
    <row r="11" s="1" customFormat="1" customHeight="1" spans="1:17">
      <c r="A11" s="28">
        <v>2</v>
      </c>
      <c r="B11" s="29" t="s">
        <v>215</v>
      </c>
      <c r="C11" s="25">
        <f t="shared" ref="C11:G11" si="4">SUM(C12:C30)</f>
        <v>1177.51</v>
      </c>
      <c r="D11" s="25">
        <f t="shared" si="4"/>
        <v>145.45</v>
      </c>
      <c r="E11" s="25"/>
      <c r="F11" s="25"/>
      <c r="G11" s="25">
        <f t="shared" si="4"/>
        <v>1322.96</v>
      </c>
      <c r="H11" s="24"/>
      <c r="I11" s="26"/>
      <c r="J11" s="24"/>
      <c r="K11" s="27"/>
    </row>
    <row r="12" s="1" customFormat="1" customHeight="1" spans="1:17">
      <c r="A12" s="33">
        <v>2.1</v>
      </c>
      <c r="B12" s="31" t="s">
        <v>180</v>
      </c>
      <c r="C12" s="32">
        <f t="shared" ref="C12:C16" si="5">I12*J12/10000</f>
        <v>20</v>
      </c>
      <c r="D12" s="26"/>
      <c r="E12" s="26"/>
      <c r="F12" s="24"/>
      <c r="G12" s="32">
        <f t="shared" ref="G12:G30" si="6">SUM(C12:F12)</f>
        <v>20</v>
      </c>
      <c r="H12" s="21" t="s">
        <v>53</v>
      </c>
      <c r="I12" s="26">
        <v>1</v>
      </c>
      <c r="J12" s="26">
        <v>200000</v>
      </c>
      <c r="K12" s="27"/>
    </row>
    <row r="13" s="2" customFormat="1" customHeight="1" spans="1:17">
      <c r="A13" s="33">
        <v>2.3</v>
      </c>
      <c r="B13" s="3" t="s">
        <v>224</v>
      </c>
      <c r="C13" s="34"/>
      <c r="D13" s="32">
        <f t="shared" ref="D13:D21" si="7">I13*J13/10000</f>
        <v>33.75</v>
      </c>
      <c r="E13" s="32"/>
      <c r="F13" s="35"/>
      <c r="G13" s="32">
        <f t="shared" si="6"/>
        <v>33.75</v>
      </c>
      <c r="H13" s="21" t="s">
        <v>97</v>
      </c>
      <c r="I13" s="32">
        <v>2500</v>
      </c>
      <c r="J13" s="32">
        <v>135</v>
      </c>
      <c r="K13" s="36"/>
    </row>
    <row r="14" s="2" customFormat="1" customHeight="1" spans="1:17">
      <c r="A14" s="33">
        <v>2.4</v>
      </c>
      <c r="B14" s="3" t="s">
        <v>309</v>
      </c>
      <c r="C14" s="34">
        <f t="shared" si="5"/>
        <v>20.8</v>
      </c>
      <c r="D14" s="32"/>
      <c r="E14" s="32"/>
      <c r="F14" s="35"/>
      <c r="G14" s="32">
        <f t="shared" si="6"/>
        <v>20.8</v>
      </c>
      <c r="H14" s="21" t="s">
        <v>45</v>
      </c>
      <c r="I14" s="32">
        <v>260</v>
      </c>
      <c r="J14" s="32">
        <v>800</v>
      </c>
      <c r="K14" s="36"/>
      <c r="Q14" s="2" t="s">
        <v>310</v>
      </c>
    </row>
    <row r="15" s="2" customFormat="1" customHeight="1" spans="1:17">
      <c r="A15" s="33">
        <v>2.5</v>
      </c>
      <c r="B15" s="3" t="s">
        <v>145</v>
      </c>
      <c r="C15" s="34">
        <f>I17*J17/10000</f>
        <v>0.8</v>
      </c>
      <c r="D15" s="32"/>
      <c r="E15" s="32"/>
      <c r="F15" s="35"/>
      <c r="G15" s="32">
        <f t="shared" si="6"/>
        <v>0.8</v>
      </c>
      <c r="H15" s="21" t="s">
        <v>97</v>
      </c>
      <c r="I15" s="32">
        <v>3</v>
      </c>
      <c r="J15" s="32">
        <v>1000</v>
      </c>
      <c r="K15" s="36"/>
    </row>
    <row r="16" s="2" customFormat="1" customHeight="1" spans="1:17">
      <c r="A16" s="33">
        <v>2.6</v>
      </c>
      <c r="B16" s="3" t="s">
        <v>311</v>
      </c>
      <c r="C16" s="34">
        <f t="shared" si="5"/>
        <v>0.9</v>
      </c>
      <c r="D16" s="32"/>
      <c r="E16" s="32"/>
      <c r="F16" s="35"/>
      <c r="G16" s="32">
        <f t="shared" si="6"/>
        <v>0.9</v>
      </c>
      <c r="H16" s="21" t="s">
        <v>97</v>
      </c>
      <c r="I16" s="32">
        <v>3</v>
      </c>
      <c r="J16" s="32">
        <v>3000</v>
      </c>
      <c r="K16" s="36"/>
    </row>
    <row r="17" s="2" customFormat="1" customHeight="1" spans="1:19">
      <c r="A17" s="33">
        <v>2.74</v>
      </c>
      <c r="B17" s="3" t="s">
        <v>312</v>
      </c>
      <c r="C17" s="34"/>
      <c r="D17" s="32">
        <f t="shared" si="7"/>
        <v>0.8</v>
      </c>
      <c r="E17" s="32"/>
      <c r="F17" s="35"/>
      <c r="G17" s="32">
        <f t="shared" si="6"/>
        <v>0.8</v>
      </c>
      <c r="H17" s="21" t="s">
        <v>115</v>
      </c>
      <c r="I17" s="32">
        <v>1</v>
      </c>
      <c r="J17" s="32">
        <v>8000</v>
      </c>
      <c r="K17" s="36"/>
    </row>
    <row r="18" s="2" customFormat="1" customHeight="1" spans="1:19">
      <c r="A18" s="33">
        <v>2.8</v>
      </c>
      <c r="B18" s="3" t="s">
        <v>313</v>
      </c>
      <c r="C18" s="34"/>
      <c r="D18" s="32">
        <f t="shared" si="7"/>
        <v>14</v>
      </c>
      <c r="E18" s="32"/>
      <c r="F18" s="35"/>
      <c r="G18" s="32">
        <f t="shared" si="6"/>
        <v>14</v>
      </c>
      <c r="H18" s="21" t="s">
        <v>97</v>
      </c>
      <c r="I18" s="32">
        <v>4</v>
      </c>
      <c r="J18" s="32">
        <v>35000</v>
      </c>
      <c r="K18" s="36"/>
    </row>
    <row r="19" s="2" customFormat="1" customHeight="1" spans="1:19">
      <c r="A19" s="33">
        <v>2.9</v>
      </c>
      <c r="B19" s="3" t="s">
        <v>265</v>
      </c>
      <c r="C19" s="34"/>
      <c r="D19" s="32">
        <f t="shared" si="7"/>
        <v>5</v>
      </c>
      <c r="E19" s="32"/>
      <c r="F19" s="35"/>
      <c r="G19" s="32">
        <f t="shared" si="6"/>
        <v>5</v>
      </c>
      <c r="H19" s="21" t="s">
        <v>53</v>
      </c>
      <c r="I19" s="32">
        <v>1</v>
      </c>
      <c r="J19" s="32">
        <v>50000</v>
      </c>
      <c r="K19" s="36"/>
    </row>
    <row r="20" s="2" customFormat="1" customHeight="1" spans="1:19">
      <c r="A20" s="37">
        <v>2.1</v>
      </c>
      <c r="B20" s="3" t="s">
        <v>314</v>
      </c>
      <c r="C20" s="34"/>
      <c r="D20" s="32">
        <f t="shared" si="7"/>
        <v>1.5</v>
      </c>
      <c r="E20" s="32"/>
      <c r="F20" s="35"/>
      <c r="G20" s="32">
        <f t="shared" si="6"/>
        <v>1.5</v>
      </c>
      <c r="H20" s="21" t="s">
        <v>156</v>
      </c>
      <c r="I20" s="32">
        <v>1</v>
      </c>
      <c r="J20" s="32">
        <v>15000</v>
      </c>
      <c r="K20" s="36"/>
    </row>
    <row r="21" s="3" customFormat="1" customHeight="1" spans="1:19">
      <c r="A21" s="37">
        <v>2.11</v>
      </c>
      <c r="B21" s="3" t="s">
        <v>315</v>
      </c>
      <c r="D21" s="38">
        <f t="shared" si="7"/>
        <v>72</v>
      </c>
      <c r="E21" s="38"/>
      <c r="F21" s="38"/>
      <c r="G21" s="38">
        <f t="shared" si="6"/>
        <v>72</v>
      </c>
      <c r="H21" s="39" t="s">
        <v>27</v>
      </c>
      <c r="I21" s="38">
        <v>1200</v>
      </c>
      <c r="J21" s="32">
        <v>600</v>
      </c>
      <c r="K21" s="38"/>
    </row>
    <row r="22" s="2" customFormat="1" customHeight="1" spans="1:19">
      <c r="A22" s="37">
        <v>2.12</v>
      </c>
      <c r="B22" s="31" t="s">
        <v>316</v>
      </c>
      <c r="C22" s="34">
        <f t="shared" ref="C22:C29" si="8">I22*J22/10000</f>
        <v>504</v>
      </c>
      <c r="D22" s="32"/>
      <c r="E22" s="32"/>
      <c r="F22" s="35"/>
      <c r="G22" s="32">
        <f t="shared" si="6"/>
        <v>504</v>
      </c>
      <c r="H22" s="21" t="s">
        <v>27</v>
      </c>
      <c r="I22" s="32">
        <v>18000</v>
      </c>
      <c r="J22" s="32">
        <v>280</v>
      </c>
      <c r="K22" s="36"/>
    </row>
    <row r="23" s="2" customFormat="1" customHeight="1" spans="1:19">
      <c r="A23" s="37">
        <v>2.13</v>
      </c>
      <c r="B23" s="3" t="s">
        <v>317</v>
      </c>
      <c r="C23" s="34">
        <f t="shared" si="8"/>
        <v>172.8</v>
      </c>
      <c r="D23" s="32"/>
      <c r="E23" s="32"/>
      <c r="F23" s="35"/>
      <c r="G23" s="32">
        <f t="shared" si="6"/>
        <v>172.8</v>
      </c>
      <c r="H23" s="21" t="s">
        <v>136</v>
      </c>
      <c r="I23" s="32">
        <v>3600</v>
      </c>
      <c r="J23" s="32">
        <v>480</v>
      </c>
      <c r="K23" s="36"/>
      <c r="Q23" s="2">
        <f>18000*0.2</f>
        <v>3600</v>
      </c>
    </row>
    <row r="24" s="2" customFormat="1" customHeight="1" spans="1:19">
      <c r="A24" s="37">
        <v>2.14</v>
      </c>
      <c r="B24" s="3" t="s">
        <v>318</v>
      </c>
      <c r="C24" s="34">
        <f t="shared" si="8"/>
        <v>210</v>
      </c>
      <c r="D24" s="32"/>
      <c r="E24" s="32"/>
      <c r="F24" s="35"/>
      <c r="G24" s="32">
        <f t="shared" si="6"/>
        <v>210</v>
      </c>
      <c r="H24" s="21" t="s">
        <v>27</v>
      </c>
      <c r="I24" s="32">
        <v>7500</v>
      </c>
      <c r="J24" s="32">
        <v>280</v>
      </c>
      <c r="K24" s="36"/>
    </row>
    <row r="25" s="2" customFormat="1" customHeight="1" spans="1:19">
      <c r="A25" s="37">
        <v>2.15</v>
      </c>
      <c r="B25" s="3" t="s">
        <v>255</v>
      </c>
      <c r="C25" s="34">
        <f t="shared" si="8"/>
        <v>104.5</v>
      </c>
      <c r="D25" s="32"/>
      <c r="E25" s="32"/>
      <c r="F25" s="35"/>
      <c r="G25" s="32">
        <f t="shared" si="6"/>
        <v>104.5</v>
      </c>
      <c r="H25" s="21" t="s">
        <v>27</v>
      </c>
      <c r="I25" s="32">
        <v>9500</v>
      </c>
      <c r="J25" s="32">
        <v>110</v>
      </c>
      <c r="K25" s="36"/>
    </row>
    <row r="26" s="2" customFormat="1" customHeight="1" spans="1:19">
      <c r="A26" s="37">
        <v>2.16</v>
      </c>
      <c r="B26" s="3" t="s">
        <v>319</v>
      </c>
      <c r="C26" s="34">
        <f t="shared" si="8"/>
        <v>103.5</v>
      </c>
      <c r="D26" s="32"/>
      <c r="E26" s="32"/>
      <c r="F26" s="35"/>
      <c r="G26" s="32">
        <f t="shared" si="6"/>
        <v>103.5</v>
      </c>
      <c r="H26" s="21" t="s">
        <v>27</v>
      </c>
      <c r="I26" s="32">
        <v>4500</v>
      </c>
      <c r="J26" s="32">
        <v>230</v>
      </c>
      <c r="K26" s="36"/>
    </row>
    <row r="27" s="2" customFormat="1" customHeight="1" spans="1:19">
      <c r="A27" s="37">
        <v>2.17</v>
      </c>
      <c r="B27" s="3" t="s">
        <v>138</v>
      </c>
      <c r="C27" s="40">
        <f t="shared" si="8"/>
        <v>19.25</v>
      </c>
      <c r="D27" s="31"/>
      <c r="E27" s="31"/>
      <c r="F27" s="31"/>
      <c r="G27" s="40">
        <f t="shared" si="6"/>
        <v>19.25</v>
      </c>
      <c r="H27" s="41" t="s">
        <v>27</v>
      </c>
      <c r="I27" s="40">
        <v>550</v>
      </c>
      <c r="J27" s="40">
        <v>350</v>
      </c>
      <c r="K27" s="36"/>
    </row>
    <row r="28" s="2" customFormat="1" customHeight="1" spans="1:19">
      <c r="A28" s="37">
        <v>2.18</v>
      </c>
      <c r="B28" s="3" t="s">
        <v>320</v>
      </c>
      <c r="C28" s="34">
        <f t="shared" si="8"/>
        <v>15.2</v>
      </c>
      <c r="D28" s="32"/>
      <c r="E28" s="32"/>
      <c r="F28" s="35"/>
      <c r="G28" s="32">
        <f t="shared" si="6"/>
        <v>15.2</v>
      </c>
      <c r="H28" s="21" t="s">
        <v>45</v>
      </c>
      <c r="I28" s="32">
        <v>380</v>
      </c>
      <c r="J28" s="32">
        <v>400</v>
      </c>
      <c r="K28" s="36"/>
    </row>
    <row r="29" s="2" customFormat="1" customHeight="1" spans="1:19">
      <c r="A29" s="37">
        <v>2.19</v>
      </c>
      <c r="B29" s="3" t="s">
        <v>321</v>
      </c>
      <c r="C29" s="34">
        <f t="shared" si="8"/>
        <v>5.76</v>
      </c>
      <c r="D29" s="32"/>
      <c r="E29" s="32"/>
      <c r="F29" s="35"/>
      <c r="G29" s="32">
        <f t="shared" si="6"/>
        <v>5.76</v>
      </c>
      <c r="H29" s="21" t="s">
        <v>27</v>
      </c>
      <c r="I29" s="32">
        <v>160</v>
      </c>
      <c r="J29" s="32">
        <v>360</v>
      </c>
      <c r="K29" s="36"/>
      <c r="Q29" s="3">
        <f>86400000/10000</f>
        <v>8640</v>
      </c>
      <c r="R29" s="3">
        <f>宁夏石嘴山市平罗县公共实训基地建设项目!G57</f>
        <v>3625.99803775996</v>
      </c>
      <c r="S29" s="3">
        <f t="shared" ref="S29:S31" si="9">Q29-R29</f>
        <v>5014.00196224004</v>
      </c>
    </row>
    <row r="30" s="2" customFormat="1" customHeight="1" spans="1:19">
      <c r="A30" s="37">
        <v>2.2</v>
      </c>
      <c r="B30" s="3" t="s">
        <v>221</v>
      </c>
      <c r="C30" s="34"/>
      <c r="D30" s="32">
        <f>I30*J30/10000</f>
        <v>18.4</v>
      </c>
      <c r="E30" s="32"/>
      <c r="F30" s="35"/>
      <c r="G30" s="32">
        <f t="shared" si="6"/>
        <v>18.4</v>
      </c>
      <c r="H30" s="21" t="s">
        <v>27</v>
      </c>
      <c r="I30" s="32">
        <v>2300</v>
      </c>
      <c r="J30" s="32">
        <v>80</v>
      </c>
      <c r="K30" s="36"/>
      <c r="Q30" s="3">
        <f>39200000/10000</f>
        <v>3920</v>
      </c>
      <c r="R30" s="3">
        <f>G46</f>
        <v>2633.1224634</v>
      </c>
      <c r="S30" s="3">
        <f t="shared" si="9"/>
        <v>1286.8775366</v>
      </c>
    </row>
    <row r="31" s="4" customFormat="1" customHeight="1" spans="1:19">
      <c r="A31" s="42" t="s">
        <v>12</v>
      </c>
      <c r="B31" s="43" t="s">
        <v>13</v>
      </c>
      <c r="C31" s="25"/>
      <c r="D31" s="44"/>
      <c r="E31" s="44"/>
      <c r="F31" s="26">
        <f>SUM(F32:F44)</f>
        <v>239.187694</v>
      </c>
      <c r="G31" s="26">
        <f>SUM(G32:G44)</f>
        <v>239.187694</v>
      </c>
      <c r="H31" s="45" t="s">
        <v>56</v>
      </c>
      <c r="I31" s="46"/>
      <c r="J31" s="47"/>
      <c r="K31" s="27">
        <f>G31/G46</f>
        <v>0.0908380439287091</v>
      </c>
      <c r="Q31" s="3">
        <f>Q29+Q30</f>
        <v>12560</v>
      </c>
      <c r="R31" s="3">
        <f>R29+R30</f>
        <v>6259.12050115996</v>
      </c>
      <c r="S31" s="3">
        <f t="shared" si="9"/>
        <v>6300.87949884004</v>
      </c>
    </row>
    <row r="32" s="2" customFormat="1" customHeight="1" spans="1:19">
      <c r="A32" s="48">
        <v>1</v>
      </c>
      <c r="B32" s="49" t="s">
        <v>158</v>
      </c>
      <c r="C32" s="34"/>
      <c r="D32" s="50"/>
      <c r="E32" s="50"/>
      <c r="F32" s="32">
        <f t="shared" ref="F32:F36" si="10">I32*J32</f>
        <v>32.3184</v>
      </c>
      <c r="G32" s="32">
        <f t="shared" ref="G32:G45" si="11">F32</f>
        <v>32.3184</v>
      </c>
      <c r="H32" s="21" t="s">
        <v>56</v>
      </c>
      <c r="I32" s="32">
        <f>G5</f>
        <v>2154.56</v>
      </c>
      <c r="J32" s="51">
        <v>0.015</v>
      </c>
      <c r="K32" s="52"/>
      <c r="L32" s="53"/>
      <c r="Q32" s="3"/>
      <c r="R32" s="3"/>
      <c r="S32" s="3"/>
    </row>
    <row r="33" s="2" customFormat="1" customHeight="1" spans="1:19">
      <c r="A33" s="48">
        <v>2</v>
      </c>
      <c r="B33" s="49" t="s">
        <v>58</v>
      </c>
      <c r="C33" s="34"/>
      <c r="D33" s="32"/>
      <c r="E33" s="32"/>
      <c r="F33" s="32">
        <f>((I33-1000)*(78.1-30.1)/2000+30.1)</f>
        <v>57.80944</v>
      </c>
      <c r="G33" s="32">
        <f t="shared" si="11"/>
        <v>57.80944</v>
      </c>
      <c r="H33" s="21" t="s">
        <v>56</v>
      </c>
      <c r="I33" s="32">
        <f>G5</f>
        <v>2154.56</v>
      </c>
      <c r="J33" s="51">
        <f>G33/I33</f>
        <v>0.026831204515075</v>
      </c>
      <c r="K33" s="36"/>
      <c r="Q33" s="54"/>
      <c r="R33" s="54"/>
      <c r="S33" s="54"/>
    </row>
    <row r="34" s="2" customFormat="1" customHeight="1" spans="1:19">
      <c r="A34" s="48">
        <v>3</v>
      </c>
      <c r="B34" s="49" t="s">
        <v>59</v>
      </c>
      <c r="C34" s="34"/>
      <c r="D34" s="32"/>
      <c r="E34" s="32"/>
      <c r="F34" s="32">
        <f t="shared" si="10"/>
        <v>7.54096</v>
      </c>
      <c r="G34" s="32">
        <f t="shared" si="11"/>
        <v>7.54096</v>
      </c>
      <c r="H34" s="21" t="s">
        <v>56</v>
      </c>
      <c r="I34" s="32">
        <f>G5</f>
        <v>2154.56</v>
      </c>
      <c r="J34" s="51">
        <v>0.0035</v>
      </c>
      <c r="K34" s="36"/>
    </row>
    <row r="35" s="2" customFormat="1" customHeight="1" spans="1:19">
      <c r="A35" s="48">
        <v>4</v>
      </c>
      <c r="B35" s="49" t="s">
        <v>228</v>
      </c>
      <c r="C35" s="34"/>
      <c r="D35" s="32"/>
      <c r="E35" s="32"/>
      <c r="F35" s="32">
        <f t="shared" si="10"/>
        <v>11.634624</v>
      </c>
      <c r="G35" s="32">
        <f t="shared" si="11"/>
        <v>11.634624</v>
      </c>
      <c r="H35" s="21" t="s">
        <v>56</v>
      </c>
      <c r="I35" s="32">
        <f>G5</f>
        <v>2154.56</v>
      </c>
      <c r="J35" s="51">
        <v>0.0054</v>
      </c>
      <c r="K35" s="36"/>
    </row>
    <row r="36" s="2" customFormat="1" customHeight="1" spans="1:19">
      <c r="A36" s="48">
        <v>5</v>
      </c>
      <c r="B36" s="49" t="s">
        <v>230</v>
      </c>
      <c r="C36" s="34"/>
      <c r="D36" s="32"/>
      <c r="E36" s="32"/>
      <c r="F36" s="32">
        <f t="shared" si="10"/>
        <v>4.30912</v>
      </c>
      <c r="G36" s="32">
        <f t="shared" si="11"/>
        <v>4.30912</v>
      </c>
      <c r="H36" s="21" t="s">
        <v>56</v>
      </c>
      <c r="I36" s="32">
        <f>G5</f>
        <v>2154.56</v>
      </c>
      <c r="J36" s="51">
        <v>0.002</v>
      </c>
      <c r="K36" s="36"/>
    </row>
    <row r="37" s="5" customFormat="1" customHeight="1" spans="1:19">
      <c r="A37" s="48">
        <v>6</v>
      </c>
      <c r="B37" s="55" t="s">
        <v>298</v>
      </c>
      <c r="C37" s="56"/>
      <c r="D37" s="57"/>
      <c r="E37" s="57"/>
      <c r="F37" s="57">
        <f>((I37-1000)*(12-5)/2000+5)</f>
        <v>9.04096</v>
      </c>
      <c r="G37" s="32">
        <f t="shared" si="11"/>
        <v>9.04096</v>
      </c>
      <c r="H37" s="58" t="s">
        <v>56</v>
      </c>
      <c r="I37" s="57">
        <f>G5</f>
        <v>2154.56</v>
      </c>
      <c r="J37" s="59">
        <v>0.003</v>
      </c>
      <c r="K37" s="60"/>
      <c r="N37" s="61"/>
      <c r="R37" s="61"/>
    </row>
    <row r="38" s="5" customFormat="1" customHeight="1" spans="1:19">
      <c r="A38" s="48">
        <v>7</v>
      </c>
      <c r="B38" s="55" t="s">
        <v>299</v>
      </c>
      <c r="C38" s="56"/>
      <c r="D38" s="57"/>
      <c r="E38" s="57"/>
      <c r="F38" s="57">
        <f>((I38-1000)*(103.8-38.8)/2000+38.8)</f>
        <v>76.3232</v>
      </c>
      <c r="G38" s="32">
        <f t="shared" si="11"/>
        <v>76.3232</v>
      </c>
      <c r="H38" s="58" t="s">
        <v>56</v>
      </c>
      <c r="I38" s="57">
        <f>G5</f>
        <v>2154.56</v>
      </c>
      <c r="J38" s="59">
        <v>0.025</v>
      </c>
      <c r="K38" s="60"/>
    </row>
    <row r="39" s="5" customFormat="1" customHeight="1" spans="1:19">
      <c r="A39" s="48">
        <v>8</v>
      </c>
      <c r="B39" s="55" t="s">
        <v>160</v>
      </c>
      <c r="C39" s="56"/>
      <c r="D39" s="57"/>
      <c r="E39" s="57"/>
      <c r="F39" s="57">
        <f>I39*J39</f>
        <v>6.84723</v>
      </c>
      <c r="G39" s="32">
        <f t="shared" si="11"/>
        <v>6.84723</v>
      </c>
      <c r="H39" s="58" t="s">
        <v>56</v>
      </c>
      <c r="I39" s="57">
        <v>4564.82</v>
      </c>
      <c r="J39" s="59">
        <v>0.0015</v>
      </c>
      <c r="K39" s="60"/>
    </row>
    <row r="40" s="2" customFormat="1" customHeight="1" spans="1:19">
      <c r="A40" s="48">
        <v>9</v>
      </c>
      <c r="B40" s="49" t="s">
        <v>236</v>
      </c>
      <c r="C40" s="34"/>
      <c r="D40" s="32"/>
      <c r="E40" s="32"/>
      <c r="F40" s="32">
        <f>1+2.8+2.75+(I40-1000)*0.0035</f>
        <v>10.59096</v>
      </c>
      <c r="G40" s="32">
        <f t="shared" si="11"/>
        <v>10.59096</v>
      </c>
      <c r="H40" s="21" t="s">
        <v>56</v>
      </c>
      <c r="I40" s="32">
        <f>G5</f>
        <v>2154.56</v>
      </c>
      <c r="J40" s="51">
        <v>0.0073</v>
      </c>
      <c r="K40" s="36"/>
      <c r="L40" s="53"/>
    </row>
    <row r="41" s="2" customFormat="1" customHeight="1" spans="1:19">
      <c r="A41" s="48">
        <v>10</v>
      </c>
      <c r="B41" s="49" t="s">
        <v>166</v>
      </c>
      <c r="C41" s="34"/>
      <c r="D41" s="32"/>
      <c r="E41" s="32"/>
      <c r="F41" s="32">
        <f t="shared" ref="F41:F43" si="12">J41/10000</f>
        <v>2</v>
      </c>
      <c r="G41" s="32">
        <f t="shared" si="11"/>
        <v>2</v>
      </c>
      <c r="H41" s="21" t="s">
        <v>56</v>
      </c>
      <c r="I41" s="32">
        <v>1</v>
      </c>
      <c r="J41" s="32">
        <v>20000</v>
      </c>
      <c r="K41" s="36"/>
      <c r="L41" s="53"/>
    </row>
    <row r="42" s="2" customFormat="1" customHeight="1" spans="1:19">
      <c r="A42" s="48">
        <v>11</v>
      </c>
      <c r="B42" s="49" t="s">
        <v>303</v>
      </c>
      <c r="C42" s="34"/>
      <c r="D42" s="32"/>
      <c r="E42" s="32"/>
      <c r="F42" s="32">
        <f t="shared" si="12"/>
        <v>5</v>
      </c>
      <c r="G42" s="32">
        <f t="shared" si="11"/>
        <v>5</v>
      </c>
      <c r="H42" s="21" t="s">
        <v>56</v>
      </c>
      <c r="I42" s="32">
        <v>1</v>
      </c>
      <c r="J42" s="32">
        <v>50000</v>
      </c>
      <c r="K42" s="36"/>
      <c r="L42" s="53"/>
    </row>
    <row r="43" s="2" customFormat="1" customHeight="1" spans="1:19">
      <c r="A43" s="48">
        <v>12</v>
      </c>
      <c r="B43" s="49" t="s">
        <v>302</v>
      </c>
      <c r="C43" s="34"/>
      <c r="D43" s="32"/>
      <c r="E43" s="32"/>
      <c r="F43" s="32">
        <f t="shared" si="12"/>
        <v>5</v>
      </c>
      <c r="G43" s="32">
        <f t="shared" si="11"/>
        <v>5</v>
      </c>
      <c r="H43" s="21" t="s">
        <v>56</v>
      </c>
      <c r="I43" s="32">
        <v>1</v>
      </c>
      <c r="J43" s="32">
        <v>50000</v>
      </c>
      <c r="K43" s="36"/>
      <c r="L43" s="53"/>
    </row>
    <row r="44" s="2" customFormat="1" customHeight="1" spans="1:19">
      <c r="A44" s="48">
        <v>13</v>
      </c>
      <c r="B44" s="49" t="s">
        <v>73</v>
      </c>
      <c r="C44" s="34"/>
      <c r="D44" s="32"/>
      <c r="E44" s="32"/>
      <c r="F44" s="32">
        <f>I44*J44</f>
        <v>10.7728</v>
      </c>
      <c r="G44" s="32">
        <f t="shared" si="11"/>
        <v>10.7728</v>
      </c>
      <c r="H44" s="21" t="s">
        <v>56</v>
      </c>
      <c r="I44" s="32">
        <f>G5</f>
        <v>2154.56</v>
      </c>
      <c r="J44" s="51">
        <v>0.005</v>
      </c>
      <c r="K44" s="36"/>
      <c r="L44" s="53"/>
    </row>
    <row r="45" s="4" customFormat="1" customHeight="1" spans="1:19">
      <c r="A45" s="42" t="s">
        <v>14</v>
      </c>
      <c r="B45" s="62" t="s">
        <v>82</v>
      </c>
      <c r="C45" s="25"/>
      <c r="D45" s="26"/>
      <c r="E45" s="26"/>
      <c r="F45" s="26">
        <f>I45*J45</f>
        <v>239.3747694</v>
      </c>
      <c r="G45" s="26">
        <f t="shared" si="11"/>
        <v>239.3747694</v>
      </c>
      <c r="H45" s="45" t="s">
        <v>56</v>
      </c>
      <c r="I45" s="26">
        <f>G31+G5</f>
        <v>2393.747694</v>
      </c>
      <c r="J45" s="63">
        <v>0.1</v>
      </c>
      <c r="K45" s="64">
        <f>G45/G46</f>
        <v>0.0909090909090909</v>
      </c>
    </row>
    <row r="46" s="4" customFormat="1" customHeight="1" spans="1:19">
      <c r="A46" s="65" t="s">
        <v>83</v>
      </c>
      <c r="B46" s="66" t="s">
        <v>17</v>
      </c>
      <c r="C46" s="67">
        <f>C5</f>
        <v>1920.01</v>
      </c>
      <c r="D46" s="67">
        <f>D5</f>
        <v>234.55</v>
      </c>
      <c r="E46" s="68"/>
      <c r="F46" s="68">
        <f>F31+F45</f>
        <v>478.5624634</v>
      </c>
      <c r="G46" s="68">
        <f>G5+G31+G45</f>
        <v>2633.1224634</v>
      </c>
      <c r="H46" s="69" t="s">
        <v>56</v>
      </c>
      <c r="I46" s="70"/>
      <c r="J46" s="70"/>
      <c r="K46" s="71">
        <v>1</v>
      </c>
    </row>
  </sheetData>
  <sheetProtection formatCells="0" formatColumns="0" formatRows="0" insertRows="0" insertColumns="0" insertHyperlinks="0" deleteColumns="0" deleteRows="0" sort="0" autoFilter="0" pivotTables="0"/>
  <mergeCells count="6">
    <mergeCell ref="A1:K1"/>
    <mergeCell ref="A2:K2"/>
    <mergeCell ref="C3:G3"/>
    <mergeCell ref="H3:J3"/>
    <mergeCell ref="A3:A4"/>
    <mergeCell ref="B3:B4"/>
  </mergeCells>
  <pageMargins left="0.590277777777778" right="0.590277777777778" top="0.590277777777778" bottom="0.590277777777778" header="0.5" footer="0.5"/>
  <pageSetup paperSize="9" scale="7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3 6 0 9 9 3 0 5 5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0 " / > < p i x e l a t o r L i s t   s h e e t S t i d = " 6 " / > < p i x e l a t o r L i s t   s h e e t S t i d = " 1 6 " / > < p i x e l a t o r L i s t   s h e e t S t i d = " 1 5 " / > < p i x e l a t o r L i s t   s h e e t S t i d = " 1 4 " / > < p i x e l a t o r L i s t   s h e e t S t i d = " 1 3 " / > < p i x e l a t o r L i s t   s h e e t S t i d = " 1 2 " / > < p i x e l a t o r L i s t   s h e e t S t i d = " 9 " / > < p i x e l a t o r L i s t   s h e e t S t i d = " 8 " / > < p i x e l a t o r L i s t   s h e e t S t i d = " 1 7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估算概表</vt:lpstr>
      <vt:lpstr>宁夏石嘴山市平罗县公共实训基地建设项目</vt:lpstr>
      <vt:lpstr>方案一</vt:lpstr>
      <vt:lpstr>三层框架结构</vt:lpstr>
      <vt:lpstr>宁夏师范学院风雨操场项目 (3)</vt:lpstr>
      <vt:lpstr>成本测算</vt:lpstr>
      <vt:lpstr>标准运动场项目 (3)</vt:lpstr>
      <vt:lpstr>宁夏师范学院风雨操场项目 (2)</vt:lpstr>
      <vt:lpstr>标准运动场项目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蓝缘轩尛</cp:lastModifiedBy>
  <dcterms:created xsi:type="dcterms:W3CDTF">2022-09-11T21:23:00Z</dcterms:created>
  <cp:lastPrinted>2025-12-29T11:33:00Z</cp:lastPrinted>
  <dcterms:modified xsi:type="dcterms:W3CDTF">2026-01-09T07:57:07Z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6B62F9C83CF044938DABA5DF4ED2CE24_13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