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tabRatio="923" firstSheet="1" activeTab="1"/>
  </bookViews>
  <sheets>
    <sheet name="1-2工程概算总表" sheetId="1" state="hidden" r:id="rId1"/>
    <sheet name="总概算表" sheetId="2" r:id="rId2"/>
    <sheet name="维修养护" sheetId="3" r:id="rId3"/>
    <sheet name="建筑工程单价" sheetId="4" r:id="rId4"/>
    <sheet name="主要材料预算" sheetId="5" r:id="rId5"/>
    <sheet name="混凝土单价计算表" sheetId="6" r:id="rId6"/>
    <sheet name="费率表" sheetId="7" r:id="rId7"/>
    <sheet name="施工机械台时费" sheetId="8" r:id="rId8"/>
    <sheet name="混凝土" sheetId="9" r:id="rId9"/>
    <sheet name="堆砌石" sheetId="10" r:id="rId10"/>
    <sheet name="土方" sheetId="11" r:id="rId11"/>
    <sheet name="维修" sheetId="12" r:id="rId12"/>
    <sheet name="设备维修养护" sheetId="13" r:id="rId13"/>
    <sheet name="基础材料" sheetId="14" r:id="rId14"/>
    <sheet name="管材价格" sheetId="15" r:id="rId15"/>
  </sheets>
  <externalReferences>
    <externalReference r:id="rId16"/>
  </externalReferences>
  <definedNames>
    <definedName name="_xlnm._FilterDatabase" localSheetId="11" hidden="1">维修!$A$1484:$G$1514</definedName>
    <definedName name="_Fill" hidden="1">[1]eqpmad2!#REF!</definedName>
    <definedName name="_xlnm.Print_Area" localSheetId="3">建筑工程单价!$A$1:$N$191</definedName>
    <definedName name="_xlnm.Print_Area" localSheetId="7">施工机械台时费!$A$1:$J$65</definedName>
    <definedName name="_xlnm.Print_Area" localSheetId="2">维修养护!$A$1:$G$12</definedName>
    <definedName name="_xlnm.Print_Area" localSheetId="4">主要材料预算!$Q$1:$AE$28</definedName>
    <definedName name="_xlnm.Print_Titles" localSheetId="13">基础材料!#REF!</definedName>
    <definedName name="_xlnm.Print_Titles" localSheetId="3">建筑工程单价!$1:$5</definedName>
    <definedName name="_xlnm.Print_Titles" localSheetId="7">施工机械台时费!$1:$3</definedName>
    <definedName name="_xlnm.Print_Titles" localSheetId="2">维修养护!$1:$2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China</author>
  </authors>
  <commentList>
    <comment ref="A23" authorId="0">
      <text>
        <r>
          <rPr>
            <sz val="9"/>
            <rFont val="宋体"/>
            <charset val="134"/>
          </rPr>
          <t xml:space="preserve">China:
</t>
        </r>
      </text>
    </comment>
    <comment ref="A68" authorId="0">
      <text>
        <r>
          <rPr>
            <sz val="9"/>
            <rFont val="宋体"/>
            <charset val="134"/>
          </rPr>
          <t xml:space="preserve">China:
</t>
        </r>
      </text>
    </comment>
    <comment ref="A114" authorId="0">
      <text>
        <r>
          <rPr>
            <sz val="9"/>
            <rFont val="宋体"/>
            <charset val="134"/>
          </rPr>
          <t xml:space="preserve">China:
</t>
        </r>
      </text>
    </comment>
    <comment ref="A157" authorId="0">
      <text>
        <r>
          <rPr>
            <sz val="9"/>
            <rFont val="宋体"/>
            <charset val="134"/>
          </rPr>
          <t xml:space="preserve">China:
</t>
        </r>
      </text>
    </comment>
    <comment ref="A201" authorId="0">
      <text>
        <r>
          <rPr>
            <sz val="9"/>
            <rFont val="宋体"/>
            <charset val="134"/>
          </rPr>
          <t xml:space="preserve">China:
</t>
        </r>
      </text>
    </comment>
    <comment ref="A247" authorId="0">
      <text>
        <r>
          <rPr>
            <sz val="9"/>
            <rFont val="宋体"/>
            <charset val="134"/>
          </rPr>
          <t xml:space="preserve">China:
</t>
        </r>
      </text>
    </comment>
    <comment ref="A290" authorId="0">
      <text>
        <r>
          <rPr>
            <sz val="9"/>
            <rFont val="宋体"/>
            <charset val="134"/>
          </rPr>
          <t xml:space="preserve">China:
</t>
        </r>
      </text>
    </comment>
    <comment ref="A334" authorId="0">
      <text>
        <r>
          <rPr>
            <sz val="9"/>
            <rFont val="宋体"/>
            <charset val="134"/>
          </rPr>
          <t xml:space="preserve">China:
</t>
        </r>
      </text>
    </comment>
    <comment ref="A378" authorId="0">
      <text>
        <r>
          <rPr>
            <sz val="9"/>
            <rFont val="宋体"/>
            <charset val="134"/>
          </rPr>
          <t xml:space="preserve">China:
</t>
        </r>
      </text>
    </comment>
    <comment ref="A1446" authorId="0">
      <text>
        <r>
          <rPr>
            <sz val="9"/>
            <rFont val="宋体"/>
            <charset val="134"/>
          </rPr>
          <t xml:space="preserve">China:
</t>
        </r>
      </text>
    </comment>
    <comment ref="A1461" authorId="0">
      <text>
        <r>
          <rPr>
            <sz val="9"/>
            <rFont val="宋体"/>
            <charset val="134"/>
          </rPr>
          <t xml:space="preserve">China:
</t>
        </r>
      </text>
    </comment>
    <comment ref="A1475" authorId="0">
      <text>
        <r>
          <rPr>
            <sz val="9"/>
            <rFont val="宋体"/>
            <charset val="134"/>
          </rPr>
          <t xml:space="preserve">China:
</t>
        </r>
      </text>
    </comment>
  </commentList>
</comments>
</file>

<file path=xl/comments2.xml><?xml version="1.0" encoding="utf-8"?>
<comments xmlns="http://schemas.openxmlformats.org/spreadsheetml/2006/main">
  <authors>
    <author>China</author>
  </authors>
  <commentList>
    <comment ref="A13" authorId="0">
      <text>
        <r>
          <rPr>
            <sz val="9"/>
            <rFont val="宋体"/>
            <charset val="134"/>
          </rPr>
          <t xml:space="preserve">China:
</t>
        </r>
      </text>
    </comment>
    <comment ref="A41" authorId="0">
      <text>
        <r>
          <rPr>
            <sz val="9"/>
            <rFont val="宋体"/>
            <charset val="134"/>
          </rPr>
          <t xml:space="preserve">China:
</t>
        </r>
      </text>
    </comment>
    <comment ref="A65" authorId="0">
      <text>
        <r>
          <rPr>
            <sz val="9"/>
            <rFont val="宋体"/>
            <charset val="134"/>
          </rPr>
          <t xml:space="preserve">China:
</t>
        </r>
      </text>
    </comment>
    <comment ref="A90" authorId="0">
      <text>
        <r>
          <rPr>
            <sz val="9"/>
            <rFont val="宋体"/>
            <charset val="134"/>
          </rPr>
          <t xml:space="preserve">China:
</t>
        </r>
      </text>
    </comment>
    <comment ref="A115" authorId="0">
      <text>
        <r>
          <rPr>
            <sz val="9"/>
            <rFont val="宋体"/>
            <charset val="134"/>
          </rPr>
          <t xml:space="preserve">China:
</t>
        </r>
      </text>
    </comment>
    <comment ref="A142" authorId="0">
      <text>
        <r>
          <rPr>
            <sz val="9"/>
            <rFont val="宋体"/>
            <charset val="134"/>
          </rPr>
          <t xml:space="preserve">China:
</t>
        </r>
      </text>
    </comment>
    <comment ref="A171" authorId="0">
      <text>
        <r>
          <rPr>
            <sz val="9"/>
            <rFont val="宋体"/>
            <charset val="134"/>
          </rPr>
          <t xml:space="preserve">China:
</t>
        </r>
      </text>
    </comment>
    <comment ref="A200" authorId="0">
      <text>
        <r>
          <rPr>
            <sz val="9"/>
            <rFont val="宋体"/>
            <charset val="134"/>
          </rPr>
          <t xml:space="preserve">China:
</t>
        </r>
      </text>
    </comment>
    <comment ref="A229" authorId="0">
      <text>
        <r>
          <rPr>
            <sz val="9"/>
            <rFont val="宋体"/>
            <charset val="134"/>
          </rPr>
          <t xml:space="preserve">China:
</t>
        </r>
      </text>
    </comment>
    <comment ref="A258" authorId="0">
      <text>
        <r>
          <rPr>
            <sz val="9"/>
            <rFont val="宋体"/>
            <charset val="134"/>
          </rPr>
          <t xml:space="preserve">China:
</t>
        </r>
      </text>
    </comment>
    <comment ref="A287" authorId="0">
      <text>
        <r>
          <rPr>
            <sz val="9"/>
            <rFont val="宋体"/>
            <charset val="134"/>
          </rPr>
          <t xml:space="preserve">China:
</t>
        </r>
      </text>
    </comment>
    <comment ref="A316" authorId="0">
      <text>
        <r>
          <rPr>
            <sz val="9"/>
            <rFont val="宋体"/>
            <charset val="134"/>
          </rPr>
          <t xml:space="preserve">China:
</t>
        </r>
      </text>
    </comment>
    <comment ref="A367" authorId="0">
      <text>
        <r>
          <rPr>
            <sz val="9"/>
            <rFont val="宋体"/>
            <charset val="134"/>
          </rPr>
          <t xml:space="preserve">China:
</t>
        </r>
      </text>
    </comment>
    <comment ref="A394" authorId="0">
      <text>
        <r>
          <rPr>
            <sz val="9"/>
            <rFont val="宋体"/>
            <charset val="134"/>
          </rPr>
          <t xml:space="preserve">China:
</t>
        </r>
      </text>
    </comment>
    <comment ref="H394" authorId="0">
      <text>
        <r>
          <rPr>
            <sz val="9"/>
            <rFont val="宋体"/>
            <charset val="134"/>
          </rPr>
          <t xml:space="preserve">China:
</t>
        </r>
      </text>
    </comment>
    <comment ref="A420" authorId="0">
      <text>
        <r>
          <rPr>
            <sz val="9"/>
            <rFont val="宋体"/>
            <charset val="134"/>
          </rPr>
          <t xml:space="preserve">China:
</t>
        </r>
      </text>
    </comment>
    <comment ref="H420" authorId="0">
      <text>
        <r>
          <rPr>
            <sz val="9"/>
            <rFont val="宋体"/>
            <charset val="134"/>
          </rPr>
          <t xml:space="preserve">China:
</t>
        </r>
      </text>
    </comment>
    <comment ref="A445" authorId="0">
      <text>
        <r>
          <rPr>
            <sz val="9"/>
            <rFont val="宋体"/>
            <charset val="134"/>
          </rPr>
          <t xml:space="preserve">China:
</t>
        </r>
      </text>
    </comment>
    <comment ref="A469" authorId="0">
      <text>
        <r>
          <rPr>
            <sz val="9"/>
            <rFont val="宋体"/>
            <charset val="134"/>
          </rPr>
          <t xml:space="preserve">China:
</t>
        </r>
      </text>
    </comment>
    <comment ref="A493" authorId="0">
      <text>
        <r>
          <rPr>
            <sz val="9"/>
            <rFont val="宋体"/>
            <charset val="134"/>
          </rPr>
          <t xml:space="preserve">China:
</t>
        </r>
      </text>
    </comment>
    <comment ref="A567" authorId="0">
      <text>
        <r>
          <rPr>
            <sz val="9"/>
            <rFont val="宋体"/>
            <charset val="134"/>
          </rPr>
          <t xml:space="preserve">China:
</t>
        </r>
      </text>
    </comment>
    <comment ref="A587" authorId="0">
      <text>
        <r>
          <rPr>
            <sz val="9"/>
            <rFont val="宋体"/>
            <charset val="134"/>
          </rPr>
          <t xml:space="preserve">China:
</t>
        </r>
      </text>
    </comment>
    <comment ref="A608" authorId="0">
      <text>
        <r>
          <rPr>
            <sz val="9"/>
            <rFont val="宋体"/>
            <charset val="134"/>
          </rPr>
          <t xml:space="preserve">China:
</t>
        </r>
      </text>
    </comment>
    <comment ref="A629" authorId="0">
      <text>
        <r>
          <rPr>
            <sz val="9"/>
            <rFont val="宋体"/>
            <charset val="134"/>
          </rPr>
          <t xml:space="preserve">China:
</t>
        </r>
      </text>
    </comment>
    <comment ref="A650" authorId="0">
      <text>
        <r>
          <rPr>
            <sz val="9"/>
            <rFont val="宋体"/>
            <charset val="134"/>
          </rPr>
          <t xml:space="preserve">China:
</t>
        </r>
      </text>
    </comment>
    <comment ref="A671" authorId="0">
      <text>
        <r>
          <rPr>
            <sz val="9"/>
            <rFont val="宋体"/>
            <charset val="134"/>
          </rPr>
          <t xml:space="preserve">China:
</t>
        </r>
      </text>
    </comment>
    <comment ref="A693" authorId="0">
      <text>
        <r>
          <rPr>
            <sz val="9"/>
            <rFont val="宋体"/>
            <charset val="134"/>
          </rPr>
          <t xml:space="preserve">China:
</t>
        </r>
      </text>
    </comment>
    <comment ref="A715" authorId="0">
      <text>
        <r>
          <rPr>
            <sz val="9"/>
            <rFont val="宋体"/>
            <charset val="134"/>
          </rPr>
          <t xml:space="preserve">China:
</t>
        </r>
      </text>
    </comment>
    <comment ref="A737" authorId="0">
      <text>
        <r>
          <rPr>
            <sz val="9"/>
            <rFont val="宋体"/>
            <charset val="134"/>
          </rPr>
          <t xml:space="preserve">China:
</t>
        </r>
      </text>
    </comment>
    <comment ref="A759" authorId="0">
      <text>
        <r>
          <rPr>
            <sz val="9"/>
            <rFont val="宋体"/>
            <charset val="134"/>
          </rPr>
          <t xml:space="preserve">China:
</t>
        </r>
      </text>
    </comment>
    <comment ref="A781" authorId="0">
      <text>
        <r>
          <rPr>
            <sz val="9"/>
            <rFont val="宋体"/>
            <charset val="134"/>
          </rPr>
          <t xml:space="preserve">China:
</t>
        </r>
      </text>
    </comment>
    <comment ref="A805" authorId="0">
      <text>
        <r>
          <rPr>
            <sz val="9"/>
            <rFont val="宋体"/>
            <charset val="134"/>
          </rPr>
          <t xml:space="preserve">China:
</t>
        </r>
      </text>
    </comment>
    <comment ref="A838" authorId="0">
      <text>
        <r>
          <rPr>
            <sz val="9"/>
            <rFont val="宋体"/>
            <charset val="134"/>
          </rPr>
          <t xml:space="preserve">China:
</t>
        </r>
      </text>
    </comment>
    <comment ref="A871" authorId="0">
      <text>
        <r>
          <rPr>
            <sz val="9"/>
            <rFont val="宋体"/>
            <charset val="134"/>
          </rPr>
          <t xml:space="preserve">China:
</t>
        </r>
      </text>
    </comment>
    <comment ref="A904" authorId="0">
      <text>
        <r>
          <rPr>
            <sz val="9"/>
            <rFont val="宋体"/>
            <charset val="134"/>
          </rPr>
          <t xml:space="preserve">China:
</t>
        </r>
      </text>
    </comment>
    <comment ref="A937" authorId="0">
      <text>
        <r>
          <rPr>
            <sz val="9"/>
            <rFont val="宋体"/>
            <charset val="134"/>
          </rPr>
          <t xml:space="preserve">China:
</t>
        </r>
      </text>
    </comment>
  </commentList>
</comments>
</file>

<file path=xl/comments3.xml><?xml version="1.0" encoding="utf-8"?>
<comments xmlns="http://schemas.openxmlformats.org/spreadsheetml/2006/main">
  <authors>
    <author>China</author>
  </authors>
  <commentList>
    <comment ref="A12" authorId="0">
      <text>
        <r>
          <rPr>
            <sz val="9"/>
            <rFont val="宋体"/>
            <charset val="134"/>
          </rPr>
          <t xml:space="preserve">China:
</t>
        </r>
      </text>
    </comment>
    <comment ref="A13" authorId="0">
      <text>
        <r>
          <rPr>
            <sz val="9"/>
            <rFont val="宋体"/>
            <charset val="134"/>
          </rPr>
          <t xml:space="preserve">China:
</t>
        </r>
      </text>
    </comment>
    <comment ref="A32" authorId="0">
      <text>
        <r>
          <rPr>
            <sz val="9"/>
            <rFont val="宋体"/>
            <charset val="134"/>
          </rPr>
          <t xml:space="preserve">China:
</t>
        </r>
      </text>
    </comment>
    <comment ref="A33" authorId="0">
      <text>
        <r>
          <rPr>
            <sz val="9"/>
            <rFont val="宋体"/>
            <charset val="134"/>
          </rPr>
          <t xml:space="preserve">China:
</t>
        </r>
      </text>
    </comment>
    <comment ref="A51" authorId="0">
      <text>
        <r>
          <rPr>
            <sz val="9"/>
            <rFont val="宋体"/>
            <charset val="134"/>
          </rPr>
          <t xml:space="preserve">China:
</t>
        </r>
      </text>
    </comment>
    <comment ref="A52" authorId="0">
      <text>
        <r>
          <rPr>
            <sz val="9"/>
            <rFont val="宋体"/>
            <charset val="134"/>
          </rPr>
          <t xml:space="preserve">China:
</t>
        </r>
      </text>
    </comment>
    <comment ref="A71" authorId="0">
      <text>
        <r>
          <rPr>
            <sz val="9"/>
            <rFont val="宋体"/>
            <charset val="134"/>
          </rPr>
          <t xml:space="preserve">China:
</t>
        </r>
      </text>
    </comment>
    <comment ref="A72" authorId="0">
      <text>
        <r>
          <rPr>
            <sz val="9"/>
            <rFont val="宋体"/>
            <charset val="134"/>
          </rPr>
          <t xml:space="preserve">China:
</t>
        </r>
      </text>
    </comment>
    <comment ref="A92" authorId="0">
      <text>
        <r>
          <rPr>
            <sz val="9"/>
            <rFont val="宋体"/>
            <charset val="134"/>
          </rPr>
          <t xml:space="preserve">China:
</t>
        </r>
      </text>
    </comment>
    <comment ref="A112" authorId="0">
      <text>
        <r>
          <rPr>
            <sz val="9"/>
            <rFont val="宋体"/>
            <charset val="134"/>
          </rPr>
          <t xml:space="preserve">China:
</t>
        </r>
      </text>
    </comment>
    <comment ref="A132" authorId="0">
      <text>
        <r>
          <rPr>
            <sz val="9"/>
            <rFont val="宋体"/>
            <charset val="134"/>
          </rPr>
          <t xml:space="preserve">China:
</t>
        </r>
      </text>
    </comment>
    <comment ref="A156" authorId="0">
      <text>
        <r>
          <rPr>
            <sz val="9"/>
            <rFont val="宋体"/>
            <charset val="134"/>
          </rPr>
          <t xml:space="preserve">China:
</t>
        </r>
      </text>
    </comment>
    <comment ref="A180" authorId="0">
      <text>
        <r>
          <rPr>
            <sz val="9"/>
            <rFont val="宋体"/>
            <charset val="134"/>
          </rPr>
          <t xml:space="preserve">China:
</t>
        </r>
      </text>
    </comment>
    <comment ref="A204" authorId="0">
      <text>
        <r>
          <rPr>
            <sz val="9"/>
            <rFont val="宋体"/>
            <charset val="134"/>
          </rPr>
          <t xml:space="preserve">China:
</t>
        </r>
      </text>
    </comment>
    <comment ref="A228" authorId="0">
      <text>
        <r>
          <rPr>
            <sz val="9"/>
            <rFont val="宋体"/>
            <charset val="134"/>
          </rPr>
          <t xml:space="preserve">China:
</t>
        </r>
      </text>
    </comment>
    <comment ref="A252" authorId="0">
      <text>
        <r>
          <rPr>
            <sz val="9"/>
            <rFont val="宋体"/>
            <charset val="134"/>
          </rPr>
          <t xml:space="preserve">China:
</t>
        </r>
      </text>
    </comment>
    <comment ref="A278" authorId="0">
      <text>
        <r>
          <rPr>
            <sz val="9"/>
            <rFont val="宋体"/>
            <charset val="134"/>
          </rPr>
          <t xml:space="preserve">China:
</t>
        </r>
      </text>
    </comment>
    <comment ref="A304" authorId="0">
      <text>
        <r>
          <rPr>
            <sz val="9"/>
            <rFont val="宋体"/>
            <charset val="134"/>
          </rPr>
          <t xml:space="preserve">China:
</t>
        </r>
      </text>
    </comment>
    <comment ref="A330" authorId="0">
      <text>
        <r>
          <rPr>
            <sz val="9"/>
            <rFont val="宋体"/>
            <charset val="134"/>
          </rPr>
          <t xml:space="preserve">China:
</t>
        </r>
      </text>
    </comment>
    <comment ref="A356" authorId="0">
      <text>
        <r>
          <rPr>
            <sz val="9"/>
            <rFont val="宋体"/>
            <charset val="134"/>
          </rPr>
          <t xml:space="preserve">China:
</t>
        </r>
      </text>
    </comment>
    <comment ref="A382" authorId="0">
      <text>
        <r>
          <rPr>
            <sz val="9"/>
            <rFont val="宋体"/>
            <charset val="134"/>
          </rPr>
          <t xml:space="preserve">China:
</t>
        </r>
      </text>
    </comment>
    <comment ref="A406" authorId="0">
      <text>
        <r>
          <rPr>
            <sz val="9"/>
            <rFont val="宋体"/>
            <charset val="134"/>
          </rPr>
          <t xml:space="preserve">China:
</t>
        </r>
      </text>
    </comment>
    <comment ref="A432" authorId="0">
      <text>
        <r>
          <rPr>
            <sz val="9"/>
            <rFont val="宋体"/>
            <charset val="134"/>
          </rPr>
          <t xml:space="preserve">China:
</t>
        </r>
      </text>
    </comment>
    <comment ref="A460" authorId="0">
      <text>
        <r>
          <rPr>
            <sz val="9"/>
            <rFont val="宋体"/>
            <charset val="134"/>
          </rPr>
          <t xml:space="preserve">China:
</t>
        </r>
      </text>
    </comment>
    <comment ref="A480" authorId="0">
      <text>
        <r>
          <rPr>
            <sz val="9"/>
            <rFont val="宋体"/>
            <charset val="134"/>
          </rPr>
          <t xml:space="preserve">China:
</t>
        </r>
      </text>
    </comment>
    <comment ref="A500" authorId="0">
      <text>
        <r>
          <rPr>
            <sz val="9"/>
            <rFont val="宋体"/>
            <charset val="134"/>
          </rPr>
          <t xml:space="preserve">China:
</t>
        </r>
      </text>
    </comment>
    <comment ref="A520" authorId="0">
      <text>
        <r>
          <rPr>
            <sz val="9"/>
            <rFont val="宋体"/>
            <charset val="134"/>
          </rPr>
          <t xml:space="preserve">China:
</t>
        </r>
      </text>
    </comment>
    <comment ref="A542" authorId="0">
      <text>
        <r>
          <rPr>
            <sz val="9"/>
            <rFont val="宋体"/>
            <charset val="134"/>
          </rPr>
          <t xml:space="preserve">China:
</t>
        </r>
      </text>
    </comment>
    <comment ref="A565" authorId="0">
      <text>
        <r>
          <rPr>
            <sz val="9"/>
            <rFont val="宋体"/>
            <charset val="134"/>
          </rPr>
          <t xml:space="preserve">China:
</t>
        </r>
      </text>
    </comment>
    <comment ref="A566" authorId="0">
      <text>
        <r>
          <rPr>
            <sz val="9"/>
            <rFont val="宋体"/>
            <charset val="134"/>
          </rPr>
          <t xml:space="preserve">China:
</t>
        </r>
      </text>
    </comment>
    <comment ref="A589" authorId="0">
      <text>
        <r>
          <rPr>
            <sz val="9"/>
            <rFont val="宋体"/>
            <charset val="134"/>
          </rPr>
          <t xml:space="preserve">China:
</t>
        </r>
      </text>
    </comment>
  </commentList>
</comments>
</file>

<file path=xl/comments4.xml><?xml version="1.0" encoding="utf-8"?>
<comments xmlns="http://schemas.openxmlformats.org/spreadsheetml/2006/main">
  <authors>
    <author>China</author>
  </authors>
  <commentList>
    <comment ref="A13" authorId="0">
      <text>
        <r>
          <rPr>
            <sz val="9"/>
            <rFont val="宋体"/>
            <charset val="134"/>
          </rPr>
          <t xml:space="preserve">China:
</t>
        </r>
      </text>
    </comment>
    <comment ref="A35" authorId="0">
      <text>
        <r>
          <rPr>
            <sz val="9"/>
            <rFont val="宋体"/>
            <charset val="134"/>
          </rPr>
          <t xml:space="preserve">China:
</t>
        </r>
      </text>
    </comment>
    <comment ref="A55" authorId="0">
      <text>
        <r>
          <rPr>
            <sz val="9"/>
            <rFont val="宋体"/>
            <charset val="134"/>
          </rPr>
          <t xml:space="preserve">China:
</t>
        </r>
      </text>
    </comment>
    <comment ref="A75" authorId="0">
      <text>
        <r>
          <rPr>
            <sz val="9"/>
            <rFont val="宋体"/>
            <charset val="134"/>
          </rPr>
          <t xml:space="preserve">China:
</t>
        </r>
      </text>
    </comment>
    <comment ref="A99" authorId="0">
      <text>
        <r>
          <rPr>
            <sz val="9"/>
            <rFont val="宋体"/>
            <charset val="134"/>
          </rPr>
          <t xml:space="preserve">China:
</t>
        </r>
      </text>
    </comment>
    <comment ref="A123" authorId="0">
      <text>
        <r>
          <rPr>
            <sz val="9"/>
            <rFont val="宋体"/>
            <charset val="134"/>
          </rPr>
          <t xml:space="preserve">China:
</t>
        </r>
      </text>
    </comment>
    <comment ref="A146" authorId="0">
      <text>
        <r>
          <rPr>
            <sz val="9"/>
            <rFont val="宋体"/>
            <charset val="134"/>
          </rPr>
          <t xml:space="preserve">China:
</t>
        </r>
      </text>
    </comment>
    <comment ref="A170" authorId="0">
      <text>
        <r>
          <rPr>
            <sz val="9"/>
            <rFont val="宋体"/>
            <charset val="134"/>
          </rPr>
          <t xml:space="preserve">China:
</t>
        </r>
      </text>
    </comment>
    <comment ref="I171" authorId="0">
      <text>
        <r>
          <rPr>
            <sz val="9"/>
            <rFont val="宋体"/>
            <charset val="134"/>
          </rPr>
          <t xml:space="preserve">China:
</t>
        </r>
      </text>
    </comment>
    <comment ref="A197" authorId="0">
      <text>
        <r>
          <rPr>
            <sz val="9"/>
            <rFont val="宋体"/>
            <charset val="134"/>
          </rPr>
          <t xml:space="preserve">China:
</t>
        </r>
      </text>
    </comment>
    <comment ref="A224" authorId="0">
      <text>
        <r>
          <rPr>
            <sz val="9"/>
            <rFont val="宋体"/>
            <charset val="134"/>
          </rPr>
          <t xml:space="preserve">China:
</t>
        </r>
      </text>
    </comment>
    <comment ref="A251" authorId="0">
      <text>
        <r>
          <rPr>
            <sz val="9"/>
            <rFont val="宋体"/>
            <charset val="134"/>
          </rPr>
          <t xml:space="preserve">China:
</t>
        </r>
      </text>
    </comment>
    <comment ref="A278" authorId="0">
      <text>
        <r>
          <rPr>
            <sz val="9"/>
            <rFont val="宋体"/>
            <charset val="134"/>
          </rPr>
          <t xml:space="preserve">China:
</t>
        </r>
      </text>
    </comment>
    <comment ref="A305" authorId="0">
      <text>
        <r>
          <rPr>
            <sz val="9"/>
            <rFont val="宋体"/>
            <charset val="134"/>
          </rPr>
          <t xml:space="preserve">China:
</t>
        </r>
      </text>
    </comment>
    <comment ref="A332" authorId="0">
      <text>
        <r>
          <rPr>
            <sz val="9"/>
            <rFont val="宋体"/>
            <charset val="134"/>
          </rPr>
          <t xml:space="preserve">China:
</t>
        </r>
      </text>
    </comment>
    <comment ref="A358" authorId="0">
      <text>
        <r>
          <rPr>
            <sz val="9"/>
            <rFont val="宋体"/>
            <charset val="134"/>
          </rPr>
          <t xml:space="preserve">China:
</t>
        </r>
      </text>
    </comment>
    <comment ref="A384" authorId="0">
      <text>
        <r>
          <rPr>
            <sz val="9"/>
            <rFont val="宋体"/>
            <charset val="134"/>
          </rPr>
          <t xml:space="preserve">China:
</t>
        </r>
      </text>
    </comment>
    <comment ref="A410" authorId="0">
      <text>
        <r>
          <rPr>
            <sz val="9"/>
            <rFont val="宋体"/>
            <charset val="134"/>
          </rPr>
          <t xml:space="preserve">China:
</t>
        </r>
      </text>
    </comment>
    <comment ref="A436" authorId="0">
      <text>
        <r>
          <rPr>
            <sz val="9"/>
            <rFont val="宋体"/>
            <charset val="134"/>
          </rPr>
          <t xml:space="preserve">China:
</t>
        </r>
      </text>
    </comment>
    <comment ref="A462" authorId="0">
      <text>
        <r>
          <rPr>
            <sz val="9"/>
            <rFont val="宋体"/>
            <charset val="134"/>
          </rPr>
          <t xml:space="preserve">China:
</t>
        </r>
      </text>
    </comment>
    <comment ref="A488" authorId="0">
      <text>
        <r>
          <rPr>
            <sz val="9"/>
            <rFont val="宋体"/>
            <charset val="134"/>
          </rPr>
          <t xml:space="preserve">China:
</t>
        </r>
      </text>
    </comment>
    <comment ref="A514" authorId="0">
      <text>
        <r>
          <rPr>
            <sz val="9"/>
            <rFont val="宋体"/>
            <charset val="134"/>
          </rPr>
          <t xml:space="preserve">China:
</t>
        </r>
      </text>
    </comment>
    <comment ref="A540" authorId="0">
      <text>
        <r>
          <rPr>
            <sz val="9"/>
            <rFont val="宋体"/>
            <charset val="134"/>
          </rPr>
          <t xml:space="preserve">China:
</t>
        </r>
      </text>
    </comment>
    <comment ref="A566" authorId="0">
      <text>
        <r>
          <rPr>
            <sz val="9"/>
            <rFont val="宋体"/>
            <charset val="134"/>
          </rPr>
          <t xml:space="preserve">China:
</t>
        </r>
      </text>
    </comment>
    <comment ref="A592" authorId="0">
      <text>
        <r>
          <rPr>
            <sz val="9"/>
            <rFont val="宋体"/>
            <charset val="134"/>
          </rPr>
          <t xml:space="preserve">China:
</t>
        </r>
      </text>
    </comment>
    <comment ref="A618" authorId="0">
      <text>
        <r>
          <rPr>
            <sz val="9"/>
            <rFont val="宋体"/>
            <charset val="134"/>
          </rPr>
          <t xml:space="preserve">China:
</t>
        </r>
      </text>
    </comment>
    <comment ref="A644" authorId="0">
      <text>
        <r>
          <rPr>
            <sz val="9"/>
            <rFont val="宋体"/>
            <charset val="134"/>
          </rPr>
          <t xml:space="preserve">China:
</t>
        </r>
      </text>
    </comment>
    <comment ref="A672" authorId="0">
      <text>
        <r>
          <rPr>
            <sz val="9"/>
            <rFont val="宋体"/>
            <charset val="134"/>
          </rPr>
          <t xml:space="preserve">China:
</t>
        </r>
      </text>
    </comment>
    <comment ref="A697" authorId="0">
      <text>
        <r>
          <rPr>
            <sz val="9"/>
            <rFont val="宋体"/>
            <charset val="134"/>
          </rPr>
          <t xml:space="preserve">China:
</t>
        </r>
      </text>
    </comment>
    <comment ref="A721" authorId="0">
      <text>
        <r>
          <rPr>
            <sz val="9"/>
            <rFont val="宋体"/>
            <charset val="134"/>
          </rPr>
          <t xml:space="preserve">China:
</t>
        </r>
      </text>
    </comment>
    <comment ref="A743" authorId="0">
      <text>
        <r>
          <rPr>
            <sz val="9"/>
            <rFont val="宋体"/>
            <charset val="134"/>
          </rPr>
          <t xml:space="preserve">China:
</t>
        </r>
      </text>
    </comment>
    <comment ref="A767" authorId="0">
      <text>
        <r>
          <rPr>
            <sz val="9"/>
            <rFont val="宋体"/>
            <charset val="134"/>
          </rPr>
          <t xml:space="preserve">China:
</t>
        </r>
      </text>
    </comment>
    <comment ref="A997" authorId="0">
      <text>
        <r>
          <rPr>
            <sz val="9"/>
            <rFont val="宋体"/>
            <charset val="134"/>
          </rPr>
          <t xml:space="preserve">China:
</t>
        </r>
      </text>
    </comment>
    <comment ref="A1017" authorId="0">
      <text>
        <r>
          <rPr>
            <sz val="9"/>
            <rFont val="宋体"/>
            <charset val="134"/>
          </rPr>
          <t xml:space="preserve">China:
</t>
        </r>
      </text>
    </comment>
    <comment ref="A1092" authorId="0">
      <text>
        <r>
          <rPr>
            <sz val="9"/>
            <rFont val="宋体"/>
            <charset val="134"/>
          </rPr>
          <t xml:space="preserve">China:
</t>
        </r>
      </text>
    </comment>
    <comment ref="A1118" authorId="0">
      <text>
        <r>
          <rPr>
            <sz val="9"/>
            <rFont val="宋体"/>
            <charset val="134"/>
          </rPr>
          <t xml:space="preserve">China:
</t>
        </r>
      </text>
    </comment>
    <comment ref="A1223" authorId="0">
      <text>
        <r>
          <rPr>
            <sz val="9"/>
            <rFont val="宋体"/>
            <charset val="134"/>
          </rPr>
          <t xml:space="preserve">China:
</t>
        </r>
      </text>
    </comment>
    <comment ref="A1247" authorId="0">
      <text>
        <r>
          <rPr>
            <sz val="9"/>
            <rFont val="宋体"/>
            <charset val="134"/>
          </rPr>
          <t xml:space="preserve">China:
</t>
        </r>
      </text>
    </comment>
    <comment ref="A1277" authorId="0">
      <text>
        <r>
          <rPr>
            <sz val="9"/>
            <rFont val="宋体"/>
            <charset val="134"/>
          </rPr>
          <t xml:space="preserve">China:
</t>
        </r>
      </text>
    </comment>
    <comment ref="A1311" authorId="0">
      <text>
        <r>
          <rPr>
            <sz val="9"/>
            <rFont val="宋体"/>
            <charset val="134"/>
          </rPr>
          <t xml:space="preserve">China:
</t>
        </r>
      </text>
    </comment>
    <comment ref="I1311" authorId="0">
      <text>
        <r>
          <rPr>
            <sz val="9"/>
            <rFont val="宋体"/>
            <charset val="134"/>
          </rPr>
          <t xml:space="preserve">China:
</t>
        </r>
      </text>
    </comment>
    <comment ref="A1352" authorId="0">
      <text>
        <r>
          <rPr>
            <sz val="9"/>
            <rFont val="宋体"/>
            <charset val="134"/>
          </rPr>
          <t xml:space="preserve">China:
</t>
        </r>
      </text>
    </comment>
    <comment ref="A1392" authorId="0">
      <text>
        <r>
          <rPr>
            <sz val="9"/>
            <rFont val="宋体"/>
            <charset val="134"/>
          </rPr>
          <t xml:space="preserve">China:
</t>
        </r>
      </text>
    </comment>
    <comment ref="A1431" authorId="0">
      <text>
        <r>
          <rPr>
            <sz val="9"/>
            <rFont val="宋体"/>
            <charset val="134"/>
          </rPr>
          <t xml:space="preserve">China:
</t>
        </r>
      </text>
    </comment>
    <comment ref="A1466" authorId="0">
      <text>
        <r>
          <rPr>
            <sz val="9"/>
            <rFont val="宋体"/>
            <charset val="134"/>
          </rPr>
          <t xml:space="preserve">China:
</t>
        </r>
      </text>
    </comment>
  </commentList>
</comments>
</file>

<file path=xl/comments5.xml><?xml version="1.0" encoding="utf-8"?>
<comments xmlns="http://schemas.openxmlformats.org/spreadsheetml/2006/main">
  <authors>
    <author>China</author>
  </authors>
  <commentList>
    <comment ref="A21" authorId="0">
      <text>
        <r>
          <rPr>
            <sz val="9"/>
            <rFont val="宋体"/>
            <charset val="134"/>
          </rPr>
          <t xml:space="preserve">China:
</t>
        </r>
      </text>
    </comment>
    <comment ref="A49" authorId="0">
      <text>
        <r>
          <rPr>
            <sz val="9"/>
            <rFont val="宋体"/>
            <charset val="134"/>
          </rPr>
          <t xml:space="preserve">China:
</t>
        </r>
      </text>
    </comment>
    <comment ref="A77" authorId="0">
      <text>
        <r>
          <rPr>
            <sz val="9"/>
            <rFont val="宋体"/>
            <charset val="134"/>
          </rPr>
          <t xml:space="preserve">China:
</t>
        </r>
      </text>
    </comment>
    <comment ref="A105" authorId="0">
      <text>
        <r>
          <rPr>
            <sz val="9"/>
            <rFont val="宋体"/>
            <charset val="134"/>
          </rPr>
          <t xml:space="preserve">China:
</t>
        </r>
      </text>
    </comment>
    <comment ref="A133" authorId="0">
      <text>
        <r>
          <rPr>
            <sz val="9"/>
            <rFont val="宋体"/>
            <charset val="134"/>
          </rPr>
          <t xml:space="preserve">China:
</t>
        </r>
      </text>
    </comment>
    <comment ref="A161" authorId="0">
      <text>
        <r>
          <rPr>
            <sz val="9"/>
            <rFont val="宋体"/>
            <charset val="134"/>
          </rPr>
          <t xml:space="preserve">China:
</t>
        </r>
      </text>
    </comment>
    <comment ref="A189" authorId="0">
      <text>
        <r>
          <rPr>
            <sz val="9"/>
            <rFont val="宋体"/>
            <charset val="134"/>
          </rPr>
          <t xml:space="preserve">China:
</t>
        </r>
      </text>
    </comment>
    <comment ref="A218" authorId="0">
      <text>
        <r>
          <rPr>
            <sz val="9"/>
            <rFont val="宋体"/>
            <charset val="134"/>
          </rPr>
          <t xml:space="preserve">China:
</t>
        </r>
      </text>
    </comment>
    <comment ref="A247" authorId="0">
      <text>
        <r>
          <rPr>
            <sz val="9"/>
            <rFont val="宋体"/>
            <charset val="134"/>
          </rPr>
          <t xml:space="preserve">China:
</t>
        </r>
      </text>
    </comment>
    <comment ref="A275" authorId="0">
      <text>
        <r>
          <rPr>
            <sz val="9"/>
            <rFont val="宋体"/>
            <charset val="134"/>
          </rPr>
          <t xml:space="preserve">China:
</t>
        </r>
      </text>
    </comment>
    <comment ref="A307" authorId="0">
      <text>
        <r>
          <rPr>
            <sz val="9"/>
            <rFont val="宋体"/>
            <charset val="134"/>
          </rPr>
          <t xml:space="preserve">China:
</t>
        </r>
      </text>
    </comment>
    <comment ref="A333" authorId="0">
      <text>
        <r>
          <rPr>
            <sz val="9"/>
            <rFont val="宋体"/>
            <charset val="134"/>
          </rPr>
          <t xml:space="preserve">China:
</t>
        </r>
      </text>
    </comment>
    <comment ref="A359" authorId="0">
      <text>
        <r>
          <rPr>
            <sz val="9"/>
            <rFont val="宋体"/>
            <charset val="134"/>
          </rPr>
          <t xml:space="preserve">China:
</t>
        </r>
      </text>
    </comment>
    <comment ref="A384" authorId="0">
      <text>
        <r>
          <rPr>
            <sz val="9"/>
            <rFont val="宋体"/>
            <charset val="134"/>
          </rPr>
          <t xml:space="preserve">China:
</t>
        </r>
      </text>
    </comment>
    <comment ref="A409" authorId="0">
      <text>
        <r>
          <rPr>
            <sz val="9"/>
            <rFont val="宋体"/>
            <charset val="134"/>
          </rPr>
          <t xml:space="preserve">China:
</t>
        </r>
      </text>
    </comment>
    <comment ref="A434" authorId="0">
      <text>
        <r>
          <rPr>
            <sz val="9"/>
            <rFont val="宋体"/>
            <charset val="134"/>
          </rPr>
          <t xml:space="preserve">China:
</t>
        </r>
      </text>
    </comment>
    <comment ref="A459" authorId="0">
      <text>
        <r>
          <rPr>
            <sz val="9"/>
            <rFont val="宋体"/>
            <charset val="134"/>
          </rPr>
          <t xml:space="preserve">China:
</t>
        </r>
      </text>
    </comment>
    <comment ref="A485" authorId="0">
      <text>
        <r>
          <rPr>
            <sz val="9"/>
            <rFont val="宋体"/>
            <charset val="134"/>
          </rPr>
          <t xml:space="preserve">China:
</t>
        </r>
      </text>
    </comment>
    <comment ref="A510" authorId="0">
      <text>
        <r>
          <rPr>
            <sz val="9"/>
            <rFont val="宋体"/>
            <charset val="134"/>
          </rPr>
          <t xml:space="preserve">China:
</t>
        </r>
      </text>
    </comment>
    <comment ref="A533" authorId="0">
      <text>
        <r>
          <rPr>
            <sz val="9"/>
            <rFont val="宋体"/>
            <charset val="134"/>
          </rPr>
          <t xml:space="preserve">China:
</t>
        </r>
      </text>
    </comment>
    <comment ref="A557" authorId="0">
      <text>
        <r>
          <rPr>
            <sz val="9"/>
            <rFont val="宋体"/>
            <charset val="134"/>
          </rPr>
          <t xml:space="preserve">China:
</t>
        </r>
      </text>
    </comment>
    <comment ref="A751" authorId="0">
      <text>
        <r>
          <rPr>
            <sz val="9"/>
            <rFont val="宋体"/>
            <charset val="134"/>
          </rPr>
          <t xml:space="preserve">China:
</t>
        </r>
      </text>
    </comment>
    <comment ref="A775" authorId="0">
      <text>
        <r>
          <rPr>
            <sz val="9"/>
            <rFont val="宋体"/>
            <charset val="134"/>
          </rPr>
          <t xml:space="preserve">China:
</t>
        </r>
      </text>
    </comment>
    <comment ref="A799" authorId="0">
      <text>
        <r>
          <rPr>
            <sz val="9"/>
            <rFont val="宋体"/>
            <charset val="134"/>
          </rPr>
          <t xml:space="preserve">China:
</t>
        </r>
      </text>
    </comment>
    <comment ref="A823" authorId="0">
      <text>
        <r>
          <rPr>
            <sz val="9"/>
            <rFont val="宋体"/>
            <charset val="134"/>
          </rPr>
          <t xml:space="preserve">China:
</t>
        </r>
      </text>
    </comment>
    <comment ref="A850" authorId="0">
      <text>
        <r>
          <rPr>
            <sz val="9"/>
            <rFont val="宋体"/>
            <charset val="134"/>
          </rPr>
          <t xml:space="preserve">China:
</t>
        </r>
      </text>
    </comment>
    <comment ref="A877" authorId="0">
      <text>
        <r>
          <rPr>
            <sz val="9"/>
            <rFont val="宋体"/>
            <charset val="134"/>
          </rPr>
          <t xml:space="preserve">China:
</t>
        </r>
      </text>
    </comment>
    <comment ref="A904" authorId="0">
      <text>
        <r>
          <rPr>
            <sz val="9"/>
            <rFont val="宋体"/>
            <charset val="134"/>
          </rPr>
          <t xml:space="preserve">China:
</t>
        </r>
      </text>
    </comment>
    <comment ref="A931" authorId="0">
      <text>
        <r>
          <rPr>
            <sz val="9"/>
            <rFont val="宋体"/>
            <charset val="134"/>
          </rPr>
          <t xml:space="preserve">China:
</t>
        </r>
      </text>
    </comment>
    <comment ref="A959" authorId="0">
      <text>
        <r>
          <rPr>
            <sz val="9"/>
            <rFont val="宋体"/>
            <charset val="134"/>
          </rPr>
          <t xml:space="preserve">China:
</t>
        </r>
      </text>
    </comment>
    <comment ref="A985" authorId="0">
      <text>
        <r>
          <rPr>
            <sz val="9"/>
            <rFont val="宋体"/>
            <charset val="134"/>
          </rPr>
          <t xml:space="preserve">China:
</t>
        </r>
      </text>
    </comment>
    <comment ref="A1011" authorId="0">
      <text>
        <r>
          <rPr>
            <sz val="9"/>
            <rFont val="宋体"/>
            <charset val="134"/>
          </rPr>
          <t xml:space="preserve">China:
</t>
        </r>
      </text>
    </comment>
    <comment ref="A1038" authorId="0">
      <text>
        <r>
          <rPr>
            <sz val="9"/>
            <rFont val="宋体"/>
            <charset val="134"/>
          </rPr>
          <t xml:space="preserve">China:
</t>
        </r>
      </text>
    </comment>
    <comment ref="A1062" authorId="0">
      <text>
        <r>
          <rPr>
            <sz val="9"/>
            <rFont val="宋体"/>
            <charset val="134"/>
          </rPr>
          <t xml:space="preserve">China:
</t>
        </r>
      </text>
    </comment>
    <comment ref="A1084" authorId="0">
      <text>
        <r>
          <rPr>
            <sz val="9"/>
            <rFont val="宋体"/>
            <charset val="134"/>
          </rPr>
          <t xml:space="preserve">China:
</t>
        </r>
      </text>
    </comment>
    <comment ref="A1108" authorId="0">
      <text>
        <r>
          <rPr>
            <sz val="9"/>
            <rFont val="宋体"/>
            <charset val="134"/>
          </rPr>
          <t xml:space="preserve">China:
</t>
        </r>
      </text>
    </comment>
    <comment ref="A1257" authorId="0">
      <text>
        <r>
          <rPr>
            <sz val="9"/>
            <rFont val="宋体"/>
            <charset val="134"/>
          </rPr>
          <t xml:space="preserve">China:
</t>
        </r>
      </text>
    </comment>
    <comment ref="A1277" authorId="0">
      <text>
        <r>
          <rPr>
            <sz val="9"/>
            <rFont val="宋体"/>
            <charset val="134"/>
          </rPr>
          <t xml:space="preserve">China:
</t>
        </r>
      </text>
    </comment>
    <comment ref="A1355" authorId="0">
      <text>
        <r>
          <rPr>
            <sz val="9"/>
            <rFont val="宋体"/>
            <charset val="134"/>
          </rPr>
          <t xml:space="preserve">China:
</t>
        </r>
      </text>
    </comment>
    <comment ref="A1379" authorId="0">
      <text>
        <r>
          <rPr>
            <sz val="9"/>
            <rFont val="宋体"/>
            <charset val="134"/>
          </rPr>
          <t xml:space="preserve">China:
</t>
        </r>
      </text>
    </comment>
    <comment ref="A1409" authorId="0">
      <text>
        <r>
          <rPr>
            <sz val="9"/>
            <rFont val="宋体"/>
            <charset val="134"/>
          </rPr>
          <t xml:space="preserve">China:
</t>
        </r>
      </text>
    </comment>
    <comment ref="A1443" authorId="0">
      <text>
        <r>
          <rPr>
            <sz val="9"/>
            <rFont val="宋体"/>
            <charset val="134"/>
          </rPr>
          <t xml:space="preserve">China:
</t>
        </r>
      </text>
    </comment>
    <comment ref="A1483" authorId="0">
      <text>
        <r>
          <rPr>
            <sz val="9"/>
            <rFont val="宋体"/>
            <charset val="134"/>
          </rPr>
          <t xml:space="preserve">China:
</t>
        </r>
      </text>
    </comment>
    <comment ref="A1522" authorId="0">
      <text>
        <r>
          <rPr>
            <sz val="9"/>
            <rFont val="宋体"/>
            <charset val="134"/>
          </rPr>
          <t xml:space="preserve">China:
</t>
        </r>
      </text>
    </comment>
    <comment ref="A1557" authorId="0">
      <text>
        <r>
          <rPr>
            <sz val="9"/>
            <rFont val="宋体"/>
            <charset val="134"/>
          </rPr>
          <t xml:space="preserve">China:
</t>
        </r>
      </text>
    </comment>
  </commentList>
</comments>
</file>

<file path=xl/sharedStrings.xml><?xml version="1.0" encoding="utf-8"?>
<sst xmlns="http://schemas.openxmlformats.org/spreadsheetml/2006/main" count="15525" uniqueCount="1718">
  <si>
    <r>
      <rPr>
        <b/>
        <sz val="10"/>
        <rFont val="宋体"/>
        <charset val="134"/>
      </rPr>
      <t xml:space="preserve">表一                              </t>
    </r>
    <r>
      <rPr>
        <b/>
        <sz val="16"/>
        <rFont val="宋体"/>
        <charset val="134"/>
      </rPr>
      <t>工程概算总表</t>
    </r>
    <r>
      <rPr>
        <b/>
        <sz val="10"/>
        <rFont val="宋体"/>
        <charset val="134"/>
      </rPr>
      <t xml:space="preserve">                       单位：万元</t>
    </r>
  </si>
  <si>
    <t>序号</t>
  </si>
  <si>
    <t>工程或费用名称</t>
  </si>
  <si>
    <t>建安工程费</t>
  </si>
  <si>
    <r>
      <rPr>
        <sz val="10"/>
        <rFont val="宋体"/>
        <charset val="134"/>
      </rPr>
      <t>设</t>
    </r>
    <r>
      <rPr>
        <sz val="10"/>
        <rFont val="Times New Roman"/>
        <charset val="134"/>
      </rPr>
      <t xml:space="preserve">     </t>
    </r>
    <r>
      <rPr>
        <sz val="10"/>
        <rFont val="宋体"/>
        <charset val="134"/>
      </rPr>
      <t>备</t>
    </r>
    <r>
      <rPr>
        <sz val="10"/>
        <rFont val="Times New Roman"/>
        <charset val="134"/>
      </rPr>
      <t xml:space="preserve">        </t>
    </r>
    <r>
      <rPr>
        <sz val="10"/>
        <rFont val="宋体"/>
        <charset val="134"/>
      </rPr>
      <t>购置费</t>
    </r>
  </si>
  <si>
    <t>独立费用</t>
  </si>
  <si>
    <r>
      <rPr>
        <sz val="10"/>
        <rFont val="宋体"/>
        <charset val="134"/>
      </rPr>
      <t>合</t>
    </r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计</t>
    </r>
  </si>
  <si>
    <t>占一至五部分投资比例（%）</t>
  </si>
  <si>
    <t>一</t>
  </si>
  <si>
    <t>水利建筑工程维修养护经费</t>
  </si>
  <si>
    <t>二</t>
  </si>
  <si>
    <t>水利设备维修养护经费</t>
  </si>
  <si>
    <t>三</t>
  </si>
  <si>
    <t xml:space="preserve"> 施工临时工程费用</t>
  </si>
  <si>
    <t>一～三投资合计</t>
  </si>
  <si>
    <t>四</t>
  </si>
  <si>
    <t>其他费用</t>
  </si>
  <si>
    <t>1</t>
  </si>
  <si>
    <t>建设管理费（.01%）</t>
  </si>
  <si>
    <t>2</t>
  </si>
  <si>
    <t>工程建设监理费（［2007］670#）</t>
  </si>
  <si>
    <t>3</t>
  </si>
  <si>
    <t>实施方案编制费（2.5%）</t>
  </si>
  <si>
    <t>4</t>
  </si>
  <si>
    <t>咨询评审费（0.3%）</t>
  </si>
  <si>
    <t>5</t>
  </si>
  <si>
    <t>招标代理费（［2002］1980#）</t>
  </si>
  <si>
    <t>6</t>
  </si>
  <si>
    <t>质量检测费（0.25%）</t>
  </si>
  <si>
    <t>7</t>
  </si>
  <si>
    <t>结算审计费（0.8%）</t>
  </si>
  <si>
    <t>工程投资总计（一～四合计）</t>
  </si>
  <si>
    <t>概算总表</t>
  </si>
  <si>
    <t>单位：万元</t>
  </si>
  <si>
    <t>编号</t>
  </si>
  <si>
    <t>概算价值</t>
  </si>
  <si>
    <r>
      <rPr>
        <b/>
        <sz val="10"/>
        <rFont val="宋体"/>
        <charset val="134"/>
      </rPr>
      <t>建</t>
    </r>
    <r>
      <rPr>
        <b/>
        <sz val="10"/>
        <rFont val="Times New Roman"/>
        <charset val="134"/>
      </rPr>
      <t xml:space="preserve">    </t>
    </r>
    <r>
      <rPr>
        <b/>
        <sz val="10"/>
        <rFont val="宋体"/>
        <charset val="134"/>
      </rPr>
      <t>安
工程费</t>
    </r>
  </si>
  <si>
    <r>
      <rPr>
        <b/>
        <sz val="10"/>
        <rFont val="宋体"/>
        <charset val="134"/>
      </rPr>
      <t>设</t>
    </r>
    <r>
      <rPr>
        <b/>
        <sz val="10"/>
        <rFont val="Times New Roman"/>
        <charset val="134"/>
      </rPr>
      <t xml:space="preserve">    </t>
    </r>
    <r>
      <rPr>
        <b/>
        <sz val="10"/>
        <rFont val="宋体"/>
        <charset val="134"/>
      </rPr>
      <t>备
购置费</t>
    </r>
  </si>
  <si>
    <t>独 立
费 用</t>
  </si>
  <si>
    <t>合计</t>
  </si>
  <si>
    <t>占总投资</t>
  </si>
  <si>
    <t>第一部分 建筑工程</t>
  </si>
  <si>
    <r>
      <rPr>
        <b/>
        <sz val="10"/>
        <rFont val="宋体"/>
        <charset val="134"/>
      </rPr>
      <t>第二部分</t>
    </r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机电设备安装工程</t>
    </r>
  </si>
  <si>
    <r>
      <rPr>
        <b/>
        <sz val="10"/>
        <rFont val="宋体"/>
        <charset val="134"/>
      </rPr>
      <t>第三部分</t>
    </r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金属结构设备及安装工程</t>
    </r>
  </si>
  <si>
    <t>一至三部分投资合计</t>
  </si>
  <si>
    <r>
      <rPr>
        <b/>
        <sz val="10"/>
        <rFont val="宋体"/>
        <charset val="134"/>
      </rPr>
      <t>第四部分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施工临时工程</t>
    </r>
    <r>
      <rPr>
        <b/>
        <sz val="10"/>
        <rFont val="Times New Roman"/>
        <charset val="134"/>
      </rPr>
      <t xml:space="preserve"> </t>
    </r>
  </si>
  <si>
    <t>临时工程（1.5%）</t>
  </si>
  <si>
    <t>一至四部分投资合计</t>
  </si>
  <si>
    <r>
      <rPr>
        <b/>
        <sz val="10"/>
        <rFont val="宋体"/>
        <charset val="134"/>
      </rPr>
      <t>第五部分</t>
    </r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独立费用</t>
    </r>
  </si>
  <si>
    <t>项目建设管理费（2%）</t>
  </si>
  <si>
    <t>工程建设监理费（2%）</t>
  </si>
  <si>
    <t>工程测量、设计费（4%）</t>
  </si>
  <si>
    <t>其他</t>
  </si>
  <si>
    <r>
      <rPr>
        <sz val="10"/>
        <rFont val="宋体"/>
        <charset val="134"/>
      </rPr>
      <t>安全生产措施费（2</t>
    </r>
    <r>
      <rPr>
        <sz val="10"/>
        <rFont val="Times New Roman"/>
        <charset val="134"/>
      </rPr>
      <t>.5%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</si>
  <si>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工程质量检测费（</t>
    </r>
    <r>
      <rPr>
        <sz val="10"/>
        <rFont val="Times New Roman"/>
        <charset val="134"/>
      </rPr>
      <t>0.5%</t>
    </r>
    <r>
      <rPr>
        <sz val="10"/>
        <rFont val="宋体"/>
        <charset val="134"/>
      </rPr>
      <t>）</t>
    </r>
  </si>
  <si>
    <t>一至五部分投资合计</t>
  </si>
  <si>
    <t>第六部分  基本预备费</t>
  </si>
  <si>
    <t>Ⅴ</t>
  </si>
  <si>
    <t>总投资</t>
  </si>
  <si>
    <t>建筑工程概算表</t>
  </si>
  <si>
    <t>单位</t>
  </si>
  <si>
    <t>数 量</t>
  </si>
  <si>
    <t>单价（元）</t>
  </si>
  <si>
    <t>合计（元）</t>
  </si>
  <si>
    <t>备注</t>
  </si>
  <si>
    <t>第一部分  建筑工程</t>
  </si>
  <si>
    <t>黄河六顷地控导工程维修加固</t>
  </si>
  <si>
    <t>m</t>
  </si>
  <si>
    <t>六顷地26#-27#联坝维修加固</t>
  </si>
  <si>
    <t>坝体土方回填及压实（推土机推距20m）</t>
  </si>
  <si>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3</t>
    </r>
  </si>
  <si>
    <t>土方外运（运距0.5km之内）</t>
  </si>
  <si>
    <t>散抛石护脚</t>
  </si>
  <si>
    <t>抛铅丝石笼护脚</t>
  </si>
  <si>
    <t>单位工程预(结)算书</t>
  </si>
  <si>
    <t>工程名称：2019年段点厕所旱给水（新建)</t>
  </si>
  <si>
    <t xml:space="preserve">第1页 共3页  </t>
  </si>
  <si>
    <t>定额名称</t>
  </si>
  <si>
    <t>工程量</t>
  </si>
  <si>
    <t>定额基价(元)</t>
  </si>
  <si>
    <t>定额合价(元)</t>
  </si>
  <si>
    <t>全费用
造价(元)</t>
  </si>
  <si>
    <t>平米造价
指标(元)</t>
  </si>
  <si>
    <t/>
  </si>
  <si>
    <t>拆除工程</t>
  </si>
  <si>
    <t>3445.54</t>
  </si>
  <si>
    <t>5292.64</t>
  </si>
  <si>
    <t>平房整体拆除预制圆孔板顶 1砖墙</t>
  </si>
  <si>
    <t>100m2</t>
  </si>
  <si>
    <t>0.336</t>
  </si>
  <si>
    <t>5904</t>
  </si>
  <si>
    <t>1983.74</t>
  </si>
  <si>
    <t>3282.12</t>
  </si>
  <si>
    <t>载重汽车运渣土 人暗装人卸1km以内~实际运距3km</t>
  </si>
  <si>
    <t>100m3</t>
  </si>
  <si>
    <t>0.4</t>
  </si>
  <si>
    <t>3654.51</t>
  </si>
  <si>
    <t>1461.8</t>
  </si>
  <si>
    <t>2010.52</t>
  </si>
  <si>
    <t>土方工程</t>
  </si>
  <si>
    <t>2799.25</t>
  </si>
  <si>
    <t>4568.93</t>
  </si>
  <si>
    <t>人工挖基坑|一、二类土深度(m以内)1.5</t>
  </si>
  <si>
    <t>0.808</t>
  </si>
  <si>
    <t>2134.2</t>
  </si>
  <si>
    <t>1724.43</t>
  </si>
  <si>
    <t>2853.09</t>
  </si>
  <si>
    <t>基础原土打夯两遍</t>
  </si>
  <si>
    <t>0.4224</t>
  </si>
  <si>
    <t>105.62</t>
  </si>
  <si>
    <t>44.61</t>
  </si>
  <si>
    <t>70.5</t>
  </si>
  <si>
    <t>人工回填土夯填</t>
  </si>
  <si>
    <t>0.53</t>
  </si>
  <si>
    <t>1943.79</t>
  </si>
  <si>
    <t>1030.21</t>
  </si>
  <si>
    <t>1645.34</t>
  </si>
  <si>
    <t>主体工程</t>
  </si>
  <si>
    <t>34755.77</t>
  </si>
  <si>
    <t>45427.53</t>
  </si>
  <si>
    <t>混凝土垫层商砼^c15</t>
  </si>
  <si>
    <t>10m3</t>
  </si>
  <si>
    <t>0.339</t>
  </si>
  <si>
    <t>3808.21</t>
  </si>
  <si>
    <t>1290.98</t>
  </si>
  <si>
    <t>1588.35</t>
  </si>
  <si>
    <t>垫层混凝土复合木模</t>
  </si>
  <si>
    <t>0.0396</t>
  </si>
  <si>
    <t>3787.39</t>
  </si>
  <si>
    <t>149.98</t>
  </si>
  <si>
    <t>199.81</t>
  </si>
  <si>
    <t>8</t>
  </si>
  <si>
    <t>带型基础商砼^c25</t>
  </si>
  <si>
    <t>0.749</t>
  </si>
  <si>
    <t>3368.53</t>
  </si>
  <si>
    <t>2523.03</t>
  </si>
  <si>
    <t>3282.75</t>
  </si>
  <si>
    <t>9</t>
  </si>
  <si>
    <t>带形基础无筋混凝土复合木模</t>
  </si>
  <si>
    <t>0.1188</t>
  </si>
  <si>
    <t>449.94</t>
  </si>
  <si>
    <t>599.44</t>
  </si>
  <si>
    <t>10</t>
  </si>
  <si>
    <t>石基础|毛石^m7.5</t>
  </si>
  <si>
    <t>1.483</t>
  </si>
  <si>
    <t>2229.23</t>
  </si>
  <si>
    <t>3305.95</t>
  </si>
  <si>
    <t>4815.87</t>
  </si>
  <si>
    <t>11</t>
  </si>
  <si>
    <t>构造柱商砼^c25</t>
  </si>
  <si>
    <t>0.25</t>
  </si>
  <si>
    <t>3928.06</t>
  </si>
  <si>
    <t>982.02</t>
  </si>
  <si>
    <t>1331.18</t>
  </si>
  <si>
    <t>12</t>
  </si>
  <si>
    <t>现浇矩形柱复合木模</t>
  </si>
  <si>
    <t>0.2822</t>
  </si>
  <si>
    <t>4531.39</t>
  </si>
  <si>
    <t>1278.76</t>
  </si>
  <si>
    <t>1744.12</t>
  </si>
  <si>
    <t>13</t>
  </si>
  <si>
    <t>基础梁商砼^c25</t>
  </si>
  <si>
    <t>0.206</t>
  </si>
  <si>
    <t>3430.54</t>
  </si>
  <si>
    <t>706.69</t>
  </si>
  <si>
    <t>921.29</t>
  </si>
  <si>
    <t>14</t>
  </si>
  <si>
    <t>现浇基础梁复合木模</t>
  </si>
  <si>
    <t>0.095</t>
  </si>
  <si>
    <t>3901.48</t>
  </si>
  <si>
    <t>370.64</t>
  </si>
  <si>
    <t>500.46</t>
  </si>
  <si>
    <t>15</t>
  </si>
  <si>
    <t>多孔砖墙1砖半^m7.5</t>
  </si>
  <si>
    <t>2.388</t>
  </si>
  <si>
    <t>2621.14</t>
  </si>
  <si>
    <t>6259.28</t>
  </si>
  <si>
    <t>8067.48</t>
  </si>
  <si>
    <t>16</t>
  </si>
  <si>
    <t>多孔砖墙1砖^m7.5</t>
  </si>
  <si>
    <t>0.422</t>
  </si>
  <si>
    <t>2678.4</t>
  </si>
  <si>
    <t>1130.28</t>
  </si>
  <si>
    <t>1463.39</t>
  </si>
  <si>
    <t>17</t>
  </si>
  <si>
    <t>圈梁商砼^c25</t>
  </si>
  <si>
    <t>0.249</t>
  </si>
  <si>
    <t>3924.78</t>
  </si>
  <si>
    <t>977.27</t>
  </si>
  <si>
    <t>1316.77</t>
  </si>
  <si>
    <t>18</t>
  </si>
  <si>
    <t>现浇圈梁直形复合木模</t>
  </si>
  <si>
    <t>0.1426</t>
  </si>
  <si>
    <t>3996.49</t>
  </si>
  <si>
    <t>569.9</t>
  </si>
  <si>
    <t>790.51</t>
  </si>
  <si>
    <t>19</t>
  </si>
  <si>
    <t>有梁板商砼^c25</t>
  </si>
  <si>
    <t>0.56</t>
  </si>
  <si>
    <t>3377.37</t>
  </si>
  <si>
    <t>1891.33</t>
  </si>
  <si>
    <t>2455.18</t>
  </si>
  <si>
    <t>20</t>
  </si>
  <si>
    <t>现浇螺纹钢筋Ⅱ级Φ14以内</t>
  </si>
  <si>
    <t>t</t>
  </si>
  <si>
    <t>1.6</t>
  </si>
  <si>
    <t>4297.48</t>
  </si>
  <si>
    <t>6875.97</t>
  </si>
  <si>
    <t>8022.85</t>
  </si>
  <si>
    <t>21</t>
  </si>
  <si>
    <t>有梁板复合木模</t>
  </si>
  <si>
    <t>0.3744</t>
  </si>
  <si>
    <t>6918.37</t>
  </si>
  <si>
    <t>2590.24</t>
  </si>
  <si>
    <t>3809.41</t>
  </si>
  <si>
    <t>22</t>
  </si>
  <si>
    <t>0.54</t>
  </si>
  <si>
    <t>2056.43</t>
  </si>
  <si>
    <t>2530.12</t>
  </si>
  <si>
    <t>23</t>
  </si>
  <si>
    <t>混凝土散水面层一次抹光厚60mm</t>
  </si>
  <si>
    <t>0.2333</t>
  </si>
  <si>
    <t>3374.67</t>
  </si>
  <si>
    <t>787.31</t>
  </si>
  <si>
    <t>1193.58</t>
  </si>
  <si>
    <t>24</t>
  </si>
  <si>
    <t>满堂脚手架(钢管架)基本层</t>
  </si>
  <si>
    <t>845.21</t>
  </si>
  <si>
    <t>316.45</t>
  </si>
  <si>
    <t>468.39</t>
  </si>
  <si>
    <t>25</t>
  </si>
  <si>
    <t>外脚手架钢管架15m以内双排</t>
  </si>
  <si>
    <t>0.24</t>
  </si>
  <si>
    <t>1013.82</t>
  </si>
  <si>
    <t>243.32</t>
  </si>
  <si>
    <t>326.58</t>
  </si>
  <si>
    <t>屋面防水工程</t>
  </si>
  <si>
    <t>12789.93</t>
  </si>
  <si>
    <t>17015.01</t>
  </si>
  <si>
    <t>26</t>
  </si>
  <si>
    <t>防水砂浆平面</t>
  </si>
  <si>
    <t>1173.98</t>
  </si>
  <si>
    <t>439.54</t>
  </si>
  <si>
    <t>648.75</t>
  </si>
  <si>
    <t>27</t>
  </si>
  <si>
    <t>单片保温模网</t>
  </si>
  <si>
    <t>362.17</t>
  </si>
  <si>
    <t>135.6</t>
  </si>
  <si>
    <t>200.94</t>
  </si>
  <si>
    <t>28</t>
  </si>
  <si>
    <t>屋面保温聚苯乙烯苯板</t>
  </si>
  <si>
    <t>0.3</t>
  </si>
  <si>
    <t>4276.52</t>
  </si>
  <si>
    <t>1282.96</t>
  </si>
  <si>
    <t>1771.84</t>
  </si>
  <si>
    <t>29</t>
  </si>
  <si>
    <t>SBSⅡ型4mm防水卷材热熔</t>
  </si>
  <si>
    <t>4062.29</t>
  </si>
  <si>
    <t>1520.92</t>
  </si>
  <si>
    <t>2189.83</t>
  </si>
  <si>
    <t>30</t>
  </si>
  <si>
    <t>琉璃瓦砼屋面上</t>
  </si>
  <si>
    <t>10m2</t>
  </si>
  <si>
    <t>3.744</t>
  </si>
  <si>
    <t>1911.31</t>
  </si>
  <si>
    <t>7155.94</t>
  </si>
  <si>
    <t>9025.08</t>
  </si>
  <si>
    <t>31</t>
  </si>
  <si>
    <t>琉璃脊瓦</t>
  </si>
  <si>
    <t>10m</t>
  </si>
  <si>
    <t>1.9</t>
  </si>
  <si>
    <t>563.05</t>
  </si>
  <si>
    <t>1069.8</t>
  </si>
  <si>
    <t>1525.94</t>
  </si>
  <si>
    <t>32</t>
  </si>
  <si>
    <t>琉璃瓦檐</t>
  </si>
  <si>
    <t>2.4</t>
  </si>
  <si>
    <t>493.82</t>
  </si>
  <si>
    <t>1185.17</t>
  </si>
  <si>
    <t>1652.63</t>
  </si>
  <si>
    <t>内外墙装饰工程</t>
  </si>
  <si>
    <t>17437.57</t>
  </si>
  <si>
    <t>22727.72</t>
  </si>
  <si>
    <t>33</t>
  </si>
  <si>
    <t>砖墙面、墙裙抹水泥砂浆14+6mm</t>
  </si>
  <si>
    <t>1.5333</t>
  </si>
  <si>
    <t>1726.87</t>
  </si>
  <si>
    <t>2647.81</t>
  </si>
  <si>
    <t>4163.21</t>
  </si>
  <si>
    <t>34</t>
  </si>
  <si>
    <t>现浇混凝土面天棚 混合砂浆</t>
  </si>
  <si>
    <t>0.5167</t>
  </si>
  <si>
    <t>1608.53</t>
  </si>
  <si>
    <t>831.13</t>
  </si>
  <si>
    <t>1283.45</t>
  </si>
  <si>
    <t>35</t>
  </si>
  <si>
    <t>抹灰面 满刮水泥腻子两遍</t>
  </si>
  <si>
    <t>0.8314</t>
  </si>
  <si>
    <t>786.69</t>
  </si>
  <si>
    <t>654.05</t>
  </si>
  <si>
    <t>930.12</t>
  </si>
  <si>
    <t>36</t>
  </si>
  <si>
    <t>外墙喷丙烯酸无光外用乳胶漆 抹灰面</t>
  </si>
  <si>
    <t>2535.52</t>
  </si>
  <si>
    <t>2108.03</t>
  </si>
  <si>
    <t>1873.05</t>
  </si>
  <si>
    <t>37</t>
  </si>
  <si>
    <t>瓷板200×150 (砂浆粘贴) 墙面（墙裙文化砖）</t>
  </si>
  <si>
    <t>0.1285</t>
  </si>
  <si>
    <t>8409.27</t>
  </si>
  <si>
    <t>1080.59</t>
  </si>
  <si>
    <t>1417.54</t>
  </si>
  <si>
    <t>38</t>
  </si>
  <si>
    <t>瓷板200×300 (砂浆粘贴) 内墙面</t>
  </si>
  <si>
    <t>0.9032</t>
  </si>
  <si>
    <t>7236.1</t>
  </si>
  <si>
    <t>6535.65</t>
  </si>
  <si>
    <t>8668.67</t>
  </si>
  <si>
    <t>39</t>
  </si>
  <si>
    <t>铝合金扣板天棚</t>
  </si>
  <si>
    <t>0.2027</t>
  </si>
  <si>
    <t>5713.48</t>
  </si>
  <si>
    <t>1158.12</t>
  </si>
  <si>
    <t>1351.61</t>
  </si>
  <si>
    <t>40</t>
  </si>
  <si>
    <t>装配式T型铝合金天棚龙骨(不上人型) 面层规格(300×300mm) 平面</t>
  </si>
  <si>
    <t>4607.73</t>
  </si>
  <si>
    <t>933.99</t>
  </si>
  <si>
    <t>1161.47</t>
  </si>
  <si>
    <t>41</t>
  </si>
  <si>
    <t>浴厕隔断 木龙骨基层榉木板面</t>
  </si>
  <si>
    <t>0.12</t>
  </si>
  <si>
    <t>12401.66</t>
  </si>
  <si>
    <t>1488.2</t>
  </si>
  <si>
    <t>1878.6</t>
  </si>
  <si>
    <t>地面工程</t>
  </si>
  <si>
    <t>1286.19</t>
  </si>
  <si>
    <t>2373.25</t>
  </si>
  <si>
    <t>42</t>
  </si>
  <si>
    <t>陶瓷地砖楼地面(水泥砂浆铺贴) 每块周长(1200mm以内)</t>
  </si>
  <si>
    <t>0.2147</t>
  </si>
  <si>
    <t>5990.66</t>
  </si>
  <si>
    <t>门窗工程</t>
  </si>
  <si>
    <t>3939.69</t>
  </si>
  <si>
    <t>4535.49</t>
  </si>
  <si>
    <t>43</t>
  </si>
  <si>
    <t>铝合金门成品地弹门</t>
  </si>
  <si>
    <t>m2</t>
  </si>
  <si>
    <t>2.94</t>
  </si>
  <si>
    <t>302.3</t>
  </si>
  <si>
    <t>888.76</t>
  </si>
  <si>
    <t>1019.68</t>
  </si>
  <si>
    <t>44</t>
  </si>
  <si>
    <t>铝合金门成品安装 平开门</t>
  </si>
  <si>
    <t>4.2</t>
  </si>
  <si>
    <t>236.6</t>
  </si>
  <si>
    <t>993.72</t>
  </si>
  <si>
    <t>1146.76</t>
  </si>
  <si>
    <t>45</t>
  </si>
  <si>
    <t>带纱塑钢窗</t>
  </si>
  <si>
    <t>0.048</t>
  </si>
  <si>
    <t>38295.51</t>
  </si>
  <si>
    <t>1838.18</t>
  </si>
  <si>
    <t>2086.28</t>
  </si>
  <si>
    <t>46</t>
  </si>
  <si>
    <t>L型执手杆锁</t>
  </si>
  <si>
    <t>把</t>
  </si>
  <si>
    <t>73.01</t>
  </si>
  <si>
    <t>219.03</t>
  </si>
  <si>
    <t>282.77</t>
  </si>
  <si>
    <t>水电安装工程</t>
  </si>
  <si>
    <t>8514.84</t>
  </si>
  <si>
    <t>26302.16</t>
  </si>
  <si>
    <t>47</t>
  </si>
  <si>
    <t>塑料给水管(粘接)|管外径(20mm以内)^dn20</t>
  </si>
  <si>
    <t>0.8</t>
  </si>
  <si>
    <t>105.64</t>
  </si>
  <si>
    <t>84.51</t>
  </si>
  <si>
    <t>168.89</t>
  </si>
  <si>
    <t>48</t>
  </si>
  <si>
    <t>塑料给水管(粘接)|管外径(32mm以内)</t>
  </si>
  <si>
    <t>115.43</t>
  </si>
  <si>
    <t>294.54</t>
  </si>
  <si>
    <t>49</t>
  </si>
  <si>
    <t>塑料给水管(粘接)|管外径(40mm以内)</t>
  </si>
  <si>
    <t>102.68</t>
  </si>
  <si>
    <t>513.4</t>
  </si>
  <si>
    <t>1414.15</t>
  </si>
  <si>
    <t>50</t>
  </si>
  <si>
    <t>承插塑料排水管(零件黏接)|公称直径(110mm以内)</t>
  </si>
  <si>
    <t>37.37</t>
  </si>
  <si>
    <t>74.74</t>
  </si>
  <si>
    <t>1070.82</t>
  </si>
  <si>
    <t>51</t>
  </si>
  <si>
    <t>螺纹浮球阀|公称直径(40mm以内)</t>
  </si>
  <si>
    <t>个</t>
  </si>
  <si>
    <t>18.68</t>
  </si>
  <si>
    <t>51.33</t>
  </si>
  <si>
    <t>52</t>
  </si>
  <si>
    <t>螺纹浮球阀|公称直径(32mm以内)</t>
  </si>
  <si>
    <t>11.75</t>
  </si>
  <si>
    <t>23.5</t>
  </si>
  <si>
    <t>54.04</t>
  </si>
  <si>
    <t>53</t>
  </si>
  <si>
    <t>水龙头安装公称直径(20mm以内)</t>
  </si>
  <si>
    <t>10个</t>
  </si>
  <si>
    <t>0.2</t>
  </si>
  <si>
    <t>19.42</t>
  </si>
  <si>
    <t>3.88</t>
  </si>
  <si>
    <t>122.98</t>
  </si>
  <si>
    <t>54</t>
  </si>
  <si>
    <t>地漏安装100</t>
  </si>
  <si>
    <t>286.44</t>
  </si>
  <si>
    <t>85.93</t>
  </si>
  <si>
    <t>510.21</t>
  </si>
  <si>
    <t>55</t>
  </si>
  <si>
    <t>洗脸盆肘式开关</t>
  </si>
  <si>
    <t>10组</t>
  </si>
  <si>
    <t>0.1</t>
  </si>
  <si>
    <t>717.93</t>
  </si>
  <si>
    <t>71.79</t>
  </si>
  <si>
    <t>429.83</t>
  </si>
  <si>
    <t>56</t>
  </si>
  <si>
    <t>挂斗式小便器安装|普通式</t>
  </si>
  <si>
    <t>691.8</t>
  </si>
  <si>
    <t>69.18</t>
  </si>
  <si>
    <t>248.4</t>
  </si>
  <si>
    <t>57</t>
  </si>
  <si>
    <t>蹲式大便器安装|瓷低水箱</t>
  </si>
  <si>
    <t>1639.71</t>
  </si>
  <si>
    <t>491.91</t>
  </si>
  <si>
    <t>1213.61</t>
  </si>
  <si>
    <t>58</t>
  </si>
  <si>
    <t>洗涤盆安装 单嘴</t>
  </si>
  <si>
    <t>741.12</t>
  </si>
  <si>
    <t>74.11</t>
  </si>
  <si>
    <t>157.88</t>
  </si>
  <si>
    <t>59</t>
  </si>
  <si>
    <t>圆形污水检查井收口式(井径1000mm,井深3.0m以内)</t>
  </si>
  <si>
    <t>座</t>
  </si>
  <si>
    <t>2066.02</t>
  </si>
  <si>
    <t>2798.93</t>
  </si>
  <si>
    <t>60</t>
  </si>
  <si>
    <t>正、反铲挖掘机挖土|深度4m以内一、二类土</t>
  </si>
  <si>
    <t>1000m
3</t>
  </si>
  <si>
    <t>2994.47</t>
  </si>
  <si>
    <t>598.89</t>
  </si>
  <si>
    <t>633.66</t>
  </si>
  <si>
    <t>61</t>
  </si>
  <si>
    <t>3693.2</t>
  </si>
  <si>
    <t>5898.4</t>
  </si>
  <si>
    <t>62</t>
  </si>
  <si>
    <t>玻璃钢化粪池</t>
  </si>
  <si>
    <t>8720</t>
  </si>
  <si>
    <t>63</t>
  </si>
  <si>
    <t>砖、混凝土结构暗配电线管公称口径(20mm以内)</t>
  </si>
  <si>
    <t>100m</t>
  </si>
  <si>
    <t>507.86</t>
  </si>
  <si>
    <t>203.14</t>
  </si>
  <si>
    <t>433.11</t>
  </si>
  <si>
    <t>64</t>
  </si>
  <si>
    <t>管内穿线照明线路导线截面(4mm2以内)铜芯</t>
  </si>
  <si>
    <t>100m
单线</t>
  </si>
  <si>
    <t>63.77</t>
  </si>
  <si>
    <t>51.02</t>
  </si>
  <si>
    <t>252.99</t>
  </si>
  <si>
    <t>65</t>
  </si>
  <si>
    <t>管内穿线动力线路导线截面(6mm以内)铜芯</t>
  </si>
  <si>
    <t>0.5</t>
  </si>
  <si>
    <t>73.91</t>
  </si>
  <si>
    <t>36.96</t>
  </si>
  <si>
    <t>160.37</t>
  </si>
  <si>
    <t>66</t>
  </si>
  <si>
    <t>防水防尘灯吸顶式</t>
  </si>
  <si>
    <t>10套</t>
  </si>
  <si>
    <t>252.57</t>
  </si>
  <si>
    <t>75.77</t>
  </si>
  <si>
    <t>775.71</t>
  </si>
  <si>
    <t>67</t>
  </si>
  <si>
    <t>扳式暗开关(单控)单联</t>
  </si>
  <si>
    <t>57.19</t>
  </si>
  <si>
    <t>28.6</t>
  </si>
  <si>
    <t>88.46</t>
  </si>
  <si>
    <t>68</t>
  </si>
  <si>
    <t>单相明插座15A3孔</t>
  </si>
  <si>
    <t>74.47</t>
  </si>
  <si>
    <t>7.45</t>
  </si>
  <si>
    <t>19.8</t>
  </si>
  <si>
    <t>69</t>
  </si>
  <si>
    <t>明装普通接线盒</t>
  </si>
  <si>
    <t>0.6</t>
  </si>
  <si>
    <t>67.01</t>
  </si>
  <si>
    <t>40.21</t>
  </si>
  <si>
    <t>78.12</t>
  </si>
  <si>
    <t>70</t>
  </si>
  <si>
    <t>轴流排气扇安装</t>
  </si>
  <si>
    <t>台</t>
  </si>
  <si>
    <t>43.26</t>
  </si>
  <si>
    <t>86.52</t>
  </si>
  <si>
    <t>705.93</t>
  </si>
  <si>
    <t>本页小计</t>
  </si>
  <si>
    <t>7594.77</t>
  </si>
  <si>
    <t>22615.2</t>
  </si>
  <si>
    <t>合    计</t>
  </si>
  <si>
    <t>84968.78</t>
  </si>
  <si>
    <t>128242.73</t>
  </si>
  <si>
    <t>建筑工程单价汇总表</t>
  </si>
  <si>
    <t>定额编号</t>
  </si>
  <si>
    <t>名 称</t>
  </si>
  <si>
    <t>其   中</t>
  </si>
  <si>
    <t>人工费</t>
  </si>
  <si>
    <t>材料费</t>
  </si>
  <si>
    <t>机械使用费</t>
  </si>
  <si>
    <t>嵌套项</t>
  </si>
  <si>
    <t>其他直接费</t>
  </si>
  <si>
    <t>间接费（%）</t>
  </si>
  <si>
    <t>利润（%）</t>
  </si>
  <si>
    <t>材料补差</t>
  </si>
  <si>
    <t>税金（%）</t>
  </si>
  <si>
    <t>阶段系数（3%）</t>
  </si>
  <si>
    <t>j1014</t>
  </si>
  <si>
    <r>
      <rPr>
        <sz val="9"/>
        <color indexed="8"/>
        <rFont val="宋体"/>
        <charset val="134"/>
      </rPr>
      <t>100m</t>
    </r>
    <r>
      <rPr>
        <vertAlign val="superscript"/>
        <sz val="9"/>
        <color indexed="8"/>
        <rFont val="宋体"/>
        <charset val="134"/>
      </rPr>
      <t>3</t>
    </r>
  </si>
  <si>
    <t>j1027</t>
  </si>
  <si>
    <t>j1030</t>
  </si>
  <si>
    <t>j1042</t>
  </si>
  <si>
    <t>j1046</t>
  </si>
  <si>
    <t>j1047</t>
  </si>
  <si>
    <t>j1049</t>
  </si>
  <si>
    <t>j1051</t>
  </si>
  <si>
    <r>
      <rPr>
        <sz val="9"/>
        <color rgb="FF000000"/>
        <rFont val="宋体"/>
        <charset val="134"/>
      </rPr>
      <t>0.5m</t>
    </r>
    <r>
      <rPr>
        <vertAlign val="superscript"/>
        <sz val="9"/>
        <color rgb="FF000000"/>
        <rFont val="宋体"/>
        <charset val="134"/>
      </rPr>
      <t>3</t>
    </r>
    <r>
      <rPr>
        <sz val="9"/>
        <color rgb="FF000000"/>
        <rFont val="宋体"/>
        <charset val="134"/>
      </rPr>
      <t>挖掘机挖装土自卸汽车运输            （运距：0.25～0.5km）</t>
    </r>
  </si>
  <si>
    <t>j1052</t>
  </si>
  <si>
    <r>
      <rPr>
        <sz val="9"/>
        <color indexed="8"/>
        <rFont val="宋体"/>
        <charset val="134"/>
      </rPr>
      <t>0.5m</t>
    </r>
    <r>
      <rPr>
        <vertAlign val="superscript"/>
        <sz val="9"/>
        <color indexed="8"/>
        <rFont val="宋体"/>
        <charset val="134"/>
      </rPr>
      <t>3</t>
    </r>
    <r>
      <rPr>
        <sz val="9"/>
        <color indexed="8"/>
        <rFont val="宋体"/>
        <charset val="134"/>
      </rPr>
      <t>挖掘机挖装土自卸汽车运输（运距：0.5～1km）</t>
    </r>
  </si>
  <si>
    <t>j1054</t>
  </si>
  <si>
    <r>
      <rPr>
        <sz val="9"/>
        <color indexed="8"/>
        <rFont val="宋体"/>
        <charset val="134"/>
      </rPr>
      <t>0.5m</t>
    </r>
    <r>
      <rPr>
        <vertAlign val="superscript"/>
        <sz val="9"/>
        <color indexed="8"/>
        <rFont val="宋体"/>
        <charset val="134"/>
      </rPr>
      <t>3</t>
    </r>
    <r>
      <rPr>
        <sz val="9"/>
        <color indexed="8"/>
        <rFont val="宋体"/>
        <charset val="134"/>
      </rPr>
      <t>挖掘机挖装土自卸汽车运输（运距：1.5～2km）</t>
    </r>
  </si>
  <si>
    <t>j1055</t>
  </si>
  <si>
    <r>
      <rPr>
        <sz val="9"/>
        <color indexed="8"/>
        <rFont val="宋体"/>
        <charset val="134"/>
      </rPr>
      <t>0.5m</t>
    </r>
    <r>
      <rPr>
        <vertAlign val="superscript"/>
        <sz val="9"/>
        <color indexed="8"/>
        <rFont val="宋体"/>
        <charset val="134"/>
      </rPr>
      <t>3</t>
    </r>
    <r>
      <rPr>
        <sz val="9"/>
        <color indexed="8"/>
        <rFont val="宋体"/>
        <charset val="134"/>
      </rPr>
      <t>挖掘机挖装土自卸汽车运输（运距：2～3km）</t>
    </r>
  </si>
  <si>
    <t>j1057</t>
  </si>
  <si>
    <r>
      <rPr>
        <sz val="9"/>
        <color rgb="FF000000"/>
        <rFont val="宋体"/>
        <charset val="134"/>
      </rPr>
      <t>0.5m</t>
    </r>
    <r>
      <rPr>
        <vertAlign val="superscript"/>
        <sz val="9"/>
        <color rgb="FF000000"/>
        <rFont val="宋体"/>
        <charset val="134"/>
      </rPr>
      <t>3</t>
    </r>
    <r>
      <rPr>
        <sz val="9"/>
        <color rgb="FF000000"/>
        <rFont val="宋体"/>
        <charset val="134"/>
      </rPr>
      <t>挖掘机挖装土自卸汽车运输            （运距：4～5km）</t>
    </r>
  </si>
  <si>
    <t>j1058</t>
  </si>
  <si>
    <r>
      <rPr>
        <sz val="9"/>
        <color rgb="FF000000"/>
        <rFont val="宋体"/>
        <charset val="134"/>
      </rPr>
      <t>0.5m</t>
    </r>
    <r>
      <rPr>
        <vertAlign val="superscript"/>
        <sz val="9"/>
        <color rgb="FF000000"/>
        <rFont val="宋体"/>
        <charset val="134"/>
      </rPr>
      <t>3</t>
    </r>
    <r>
      <rPr>
        <sz val="9"/>
        <color rgb="FF000000"/>
        <rFont val="宋体"/>
        <charset val="134"/>
      </rPr>
      <t>挖掘机挖装土自卸汽车运输             （运距：8km）</t>
    </r>
  </si>
  <si>
    <t>j1059</t>
  </si>
  <si>
    <t>j1060</t>
  </si>
  <si>
    <r>
      <rPr>
        <sz val="9"/>
        <color rgb="FF000000"/>
        <rFont val="宋体"/>
        <charset val="134"/>
      </rPr>
      <t>1m</t>
    </r>
    <r>
      <rPr>
        <vertAlign val="superscript"/>
        <sz val="9"/>
        <color rgb="FF000000"/>
        <rFont val="宋体"/>
        <charset val="134"/>
      </rPr>
      <t>3</t>
    </r>
    <r>
      <rPr>
        <sz val="9"/>
        <color rgb="FF000000"/>
        <rFont val="宋体"/>
        <charset val="134"/>
      </rPr>
      <t>挖掘机挖装土自卸汽车运输             （运距：0.25～0.5km）</t>
    </r>
  </si>
  <si>
    <t>j1061</t>
  </si>
  <si>
    <r>
      <rPr>
        <sz val="9"/>
        <color rgb="FF000000"/>
        <rFont val="宋体"/>
        <charset val="134"/>
      </rPr>
      <t>1m</t>
    </r>
    <r>
      <rPr>
        <vertAlign val="superscript"/>
        <sz val="9"/>
        <color rgb="FF000000"/>
        <rFont val="宋体"/>
        <charset val="134"/>
      </rPr>
      <t>3</t>
    </r>
    <r>
      <rPr>
        <sz val="9"/>
        <color rgb="FF000000"/>
        <rFont val="宋体"/>
        <charset val="134"/>
      </rPr>
      <t>挖掘机挖装土自卸汽车运输            （运距：0.5～1km）</t>
    </r>
  </si>
  <si>
    <t>j1063</t>
  </si>
  <si>
    <t>1m3挖掘机挖装土自卸汽车运输             （运距：1.5～2km）</t>
  </si>
  <si>
    <t>j1064</t>
  </si>
  <si>
    <t>1m3挖掘机挖装土自卸汽车运输              （运距：2～3km）</t>
  </si>
  <si>
    <t>j1065</t>
  </si>
  <si>
    <t>1m3挖掘机挖装土自卸汽车运输              （运距：3～4km）</t>
  </si>
  <si>
    <t>j1066</t>
  </si>
  <si>
    <t>1m3挖掘机挖装土自卸汽车运输（运距：4～5km）</t>
  </si>
  <si>
    <t>j1067</t>
  </si>
  <si>
    <t>j1068</t>
  </si>
  <si>
    <t>j1074</t>
  </si>
  <si>
    <t>j1075</t>
  </si>
  <si>
    <t>j1080</t>
  </si>
  <si>
    <r>
      <rPr>
        <sz val="9"/>
        <color indexed="8"/>
        <rFont val="宋体"/>
        <charset val="134"/>
      </rPr>
      <t>100m</t>
    </r>
    <r>
      <rPr>
        <vertAlign val="superscript"/>
        <sz val="9"/>
        <color indexed="8"/>
        <rFont val="宋体"/>
        <charset val="134"/>
      </rPr>
      <t>2</t>
    </r>
  </si>
  <si>
    <t>j1081</t>
  </si>
  <si>
    <t>j1083</t>
  </si>
  <si>
    <t>j2002</t>
  </si>
  <si>
    <r>
      <rPr>
        <sz val="9"/>
        <color indexed="8"/>
        <rFont val="宋体"/>
        <charset val="134"/>
      </rPr>
      <t>m</t>
    </r>
    <r>
      <rPr>
        <vertAlign val="superscript"/>
        <sz val="9"/>
        <color indexed="8"/>
        <rFont val="宋体"/>
        <charset val="134"/>
      </rPr>
      <t>3</t>
    </r>
  </si>
  <si>
    <t>j2006</t>
  </si>
  <si>
    <t>j2008</t>
  </si>
  <si>
    <t>j2010</t>
  </si>
  <si>
    <t>j2013</t>
  </si>
  <si>
    <r>
      <rPr>
        <sz val="9"/>
        <color indexed="8"/>
        <rFont val="宋体"/>
        <charset val="134"/>
      </rPr>
      <t>m</t>
    </r>
    <r>
      <rPr>
        <vertAlign val="superscript"/>
        <sz val="9"/>
        <color indexed="8"/>
        <rFont val="宋体"/>
        <charset val="134"/>
      </rPr>
      <t>2</t>
    </r>
  </si>
  <si>
    <t>j2019</t>
  </si>
  <si>
    <t>j2023</t>
  </si>
  <si>
    <t>j2028</t>
  </si>
  <si>
    <t>j2029</t>
  </si>
  <si>
    <t>j2031</t>
  </si>
  <si>
    <t>j2075</t>
  </si>
  <si>
    <t>1m3挖掘机装石渣汽车运输        （运距：4～5km）</t>
  </si>
  <si>
    <t>j2077</t>
  </si>
  <si>
    <t>j2078</t>
  </si>
  <si>
    <t>j2079</t>
  </si>
  <si>
    <t>j3023</t>
  </si>
  <si>
    <t>j3025</t>
  </si>
  <si>
    <t>j3026</t>
  </si>
  <si>
    <t>j3027</t>
  </si>
  <si>
    <t>j3028</t>
  </si>
  <si>
    <t>j3029</t>
  </si>
  <si>
    <t>j3030</t>
  </si>
  <si>
    <t>j3035</t>
  </si>
  <si>
    <t>j3054</t>
  </si>
  <si>
    <t>j3055</t>
  </si>
  <si>
    <t>j4002</t>
  </si>
  <si>
    <t>株</t>
  </si>
  <si>
    <t>j4006</t>
  </si>
  <si>
    <t>j4012</t>
  </si>
  <si>
    <t>100株</t>
  </si>
  <si>
    <t>j4026</t>
  </si>
  <si>
    <t>j4037</t>
  </si>
  <si>
    <t>j4045</t>
  </si>
  <si>
    <t>j4141</t>
  </si>
  <si>
    <t>j4105</t>
  </si>
  <si>
    <t>j4110</t>
  </si>
  <si>
    <t>j4130</t>
  </si>
  <si>
    <t>j5064</t>
  </si>
  <si>
    <t>j5067</t>
  </si>
  <si>
    <t>j5072</t>
  </si>
  <si>
    <t>j5073</t>
  </si>
  <si>
    <t>j5075</t>
  </si>
  <si>
    <t>j5076</t>
  </si>
  <si>
    <t>j5078</t>
  </si>
  <si>
    <t>j5110</t>
  </si>
  <si>
    <t>j5117</t>
  </si>
  <si>
    <t>S6003</t>
  </si>
  <si>
    <t>S6006</t>
  </si>
  <si>
    <t>S6012</t>
  </si>
  <si>
    <t>S6015</t>
  </si>
  <si>
    <t>S6018</t>
  </si>
  <si>
    <t>S6021</t>
  </si>
  <si>
    <t>S6024</t>
  </si>
  <si>
    <t>S6063</t>
  </si>
  <si>
    <t>S6066</t>
  </si>
  <si>
    <t>S6078</t>
  </si>
  <si>
    <t>S6132</t>
  </si>
  <si>
    <t>S6136</t>
  </si>
  <si>
    <t>S7006</t>
  </si>
  <si>
    <t>扇</t>
  </si>
  <si>
    <t>S7009</t>
  </si>
  <si>
    <t>S7012</t>
  </si>
  <si>
    <t>S7081</t>
  </si>
  <si>
    <r>
      <rPr>
        <sz val="9"/>
        <color indexed="8"/>
        <rFont val="宋体"/>
        <charset val="134"/>
      </rPr>
      <t>铸铁闸门养护（面积≤1m</t>
    </r>
    <r>
      <rPr>
        <vertAlign val="superscript"/>
        <sz val="9"/>
        <color indexed="8"/>
        <rFont val="宋体"/>
        <charset val="134"/>
      </rPr>
      <t>2)</t>
    </r>
  </si>
  <si>
    <t>S7087</t>
  </si>
  <si>
    <r>
      <rPr>
        <sz val="9"/>
        <color indexed="8"/>
        <rFont val="宋体"/>
        <charset val="134"/>
      </rPr>
      <t>铸铁闸门养护（面积3m</t>
    </r>
    <r>
      <rPr>
        <vertAlign val="superscript"/>
        <sz val="9"/>
        <color indexed="8"/>
        <rFont val="宋体"/>
        <charset val="134"/>
      </rPr>
      <t>2)</t>
    </r>
  </si>
  <si>
    <t>S7090</t>
  </si>
  <si>
    <r>
      <rPr>
        <sz val="9"/>
        <color indexed="8"/>
        <rFont val="宋体"/>
        <charset val="134"/>
      </rPr>
      <t>铸铁闸门养护（面积4m</t>
    </r>
    <r>
      <rPr>
        <vertAlign val="superscript"/>
        <sz val="9"/>
        <color indexed="8"/>
        <rFont val="宋体"/>
        <charset val="134"/>
      </rPr>
      <t>2</t>
    </r>
    <r>
      <rPr>
        <sz val="9"/>
        <color indexed="8"/>
        <rFont val="宋体"/>
        <charset val="134"/>
      </rPr>
      <t>)</t>
    </r>
  </si>
  <si>
    <t>S7093</t>
  </si>
  <si>
    <r>
      <rPr>
        <sz val="9"/>
        <color indexed="8"/>
        <rFont val="宋体"/>
        <charset val="134"/>
      </rPr>
      <t>铸铁闸门养护（面积6m</t>
    </r>
    <r>
      <rPr>
        <vertAlign val="superscript"/>
        <sz val="9"/>
        <color indexed="8"/>
        <rFont val="宋体"/>
        <charset val="134"/>
      </rPr>
      <t>2</t>
    </r>
    <r>
      <rPr>
        <sz val="9"/>
        <color indexed="8"/>
        <rFont val="宋体"/>
        <charset val="134"/>
      </rPr>
      <t>)</t>
    </r>
  </si>
  <si>
    <t>S7096</t>
  </si>
  <si>
    <r>
      <rPr>
        <sz val="9"/>
        <color indexed="8"/>
        <rFont val="宋体"/>
        <charset val="134"/>
      </rPr>
      <t>铸铁闸门养护（面积9m</t>
    </r>
    <r>
      <rPr>
        <vertAlign val="superscript"/>
        <sz val="9"/>
        <color indexed="8"/>
        <rFont val="宋体"/>
        <charset val="134"/>
      </rPr>
      <t>3)</t>
    </r>
  </si>
  <si>
    <t>S7099</t>
  </si>
  <si>
    <r>
      <rPr>
        <sz val="9"/>
        <color indexed="8"/>
        <rFont val="宋体"/>
        <charset val="134"/>
      </rPr>
      <t>铸铁闸门养护（面积13m</t>
    </r>
    <r>
      <rPr>
        <vertAlign val="superscript"/>
        <sz val="9"/>
        <color indexed="8"/>
        <rFont val="宋体"/>
        <charset val="134"/>
      </rPr>
      <t>2</t>
    </r>
    <r>
      <rPr>
        <sz val="9"/>
        <color indexed="8"/>
        <rFont val="宋体"/>
        <charset val="134"/>
      </rPr>
      <t>)</t>
    </r>
  </si>
  <si>
    <t>74kW推土机（推距：10m）</t>
  </si>
  <si>
    <t>74kW推土机（推距：20m）（Ⅰ～Ⅱ类土）</t>
  </si>
  <si>
    <t>74kW推土机（推距：30m）</t>
  </si>
  <si>
    <t>1m3挖掘机挖装土自卸汽车运输                （运距8km）</t>
  </si>
  <si>
    <t>人工装机动翻斗车运石渣               （二次倒运）</t>
  </si>
  <si>
    <t>100延长米</t>
  </si>
  <si>
    <r>
      <rPr>
        <sz val="9"/>
        <color indexed="8"/>
        <rFont val="宋体"/>
        <charset val="134"/>
      </rPr>
      <t>1000m</t>
    </r>
    <r>
      <rPr>
        <vertAlign val="superscript"/>
        <sz val="9"/>
        <color indexed="8"/>
        <rFont val="宋体"/>
        <charset val="134"/>
      </rPr>
      <t>2</t>
    </r>
  </si>
  <si>
    <r>
      <rPr>
        <sz val="9"/>
        <color indexed="8"/>
        <rFont val="宋体"/>
        <charset val="134"/>
      </rPr>
      <t>100m</t>
    </r>
    <r>
      <rPr>
        <vertAlign val="superscript"/>
        <sz val="9"/>
        <color indexed="8"/>
        <rFont val="宋体"/>
        <charset val="134"/>
      </rPr>
      <t>3</t>
    </r>
    <r>
      <rPr>
        <sz val="9"/>
        <color indexed="8"/>
        <rFont val="宋体"/>
        <charset val="134"/>
      </rPr>
      <t>实方</t>
    </r>
  </si>
  <si>
    <t>补充JYB1601</t>
  </si>
  <si>
    <t>补充JYB1602</t>
  </si>
  <si>
    <t>补充JYB1603</t>
  </si>
  <si>
    <t>补充JYB1604</t>
  </si>
  <si>
    <t>补充JYB1605</t>
  </si>
  <si>
    <r>
      <rPr>
        <b/>
        <sz val="10"/>
        <color indexed="8"/>
        <rFont val="宋体"/>
        <charset val="134"/>
      </rPr>
      <t>附表三</t>
    </r>
    <r>
      <rPr>
        <b/>
        <sz val="10"/>
        <color indexed="8"/>
        <rFont val="Times New Roman"/>
        <charset val="134"/>
      </rPr>
      <t xml:space="preserve">      </t>
    </r>
    <r>
      <rPr>
        <b/>
        <sz val="14"/>
        <color indexed="8"/>
        <rFont val="Times New Roman"/>
        <charset val="134"/>
      </rPr>
      <t xml:space="preserve">                            </t>
    </r>
    <r>
      <rPr>
        <b/>
        <sz val="14"/>
        <color indexed="8"/>
        <rFont val="宋体"/>
        <charset val="134"/>
      </rPr>
      <t>主要材料预算价格计算表</t>
    </r>
    <r>
      <rPr>
        <b/>
        <sz val="14"/>
        <color indexed="8"/>
        <rFont val="Times New Roman"/>
        <charset val="134"/>
      </rPr>
      <t xml:space="preserve"> </t>
    </r>
  </si>
  <si>
    <t xml:space="preserve">  主要材料价差计算表 </t>
  </si>
  <si>
    <r>
      <rPr>
        <b/>
        <sz val="9"/>
        <color rgb="FF000000"/>
        <rFont val="宋体"/>
        <charset val="134"/>
      </rPr>
      <t xml:space="preserve">             表7-13  </t>
    </r>
    <r>
      <rPr>
        <b/>
        <sz val="14"/>
        <color rgb="FF000000"/>
        <rFont val="宋体"/>
        <charset val="134"/>
      </rPr>
      <t xml:space="preserve">                    主要材料运杂费计算表                             </t>
    </r>
  </si>
  <si>
    <t>名称及规格</t>
  </si>
  <si>
    <t>预算价格（元）</t>
  </si>
  <si>
    <t>其  中</t>
  </si>
  <si>
    <t>材料预算价格（元）</t>
  </si>
  <si>
    <t>材料基价（元）</t>
  </si>
  <si>
    <t>价差（元）</t>
  </si>
  <si>
    <t>备 注</t>
  </si>
  <si>
    <t>材料名称</t>
  </si>
  <si>
    <t>产地或提货地</t>
  </si>
  <si>
    <t>产地或出库价（元）</t>
  </si>
  <si>
    <r>
      <rPr>
        <sz val="10"/>
        <rFont val="宋体"/>
        <charset val="134"/>
      </rPr>
      <t>运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输工具</t>
    </r>
  </si>
  <si>
    <r>
      <rPr>
        <sz val="10"/>
        <rFont val="宋体"/>
        <charset val="134"/>
      </rPr>
      <t>运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距（</t>
    </r>
    <r>
      <rPr>
        <sz val="10"/>
        <rFont val="Times New Roman"/>
        <charset val="134"/>
      </rPr>
      <t>km</t>
    </r>
    <r>
      <rPr>
        <sz val="10"/>
        <rFont val="宋体"/>
        <charset val="134"/>
      </rPr>
      <t>）</t>
    </r>
  </si>
  <si>
    <t>运输单价（元）</t>
  </si>
  <si>
    <r>
      <rPr>
        <sz val="10"/>
        <rFont val="宋体"/>
        <charset val="134"/>
      </rPr>
      <t>运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费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（元）</t>
    </r>
  </si>
  <si>
    <t>装卸费（元）</t>
  </si>
  <si>
    <t>运杂费（元）</t>
  </si>
  <si>
    <t>采购及保管费（元）</t>
  </si>
  <si>
    <t>材料预算价格（元</t>
  </si>
  <si>
    <t>原价（元）</t>
  </si>
  <si>
    <t>运输保险费（元）</t>
  </si>
  <si>
    <t>钢筋</t>
  </si>
  <si>
    <t>预算价计入工程单价</t>
  </si>
  <si>
    <t>大武口</t>
  </si>
  <si>
    <t>汽车</t>
  </si>
  <si>
    <t>水泥42.5</t>
  </si>
  <si>
    <t>材料限价计入工程单价</t>
  </si>
  <si>
    <t>赛马水泥42.5</t>
  </si>
  <si>
    <t>木材</t>
  </si>
  <si>
    <r>
      <rPr>
        <sz val="10"/>
        <color indexed="8"/>
        <rFont val="Times New Roman"/>
        <charset val="134"/>
      </rPr>
      <t>m</t>
    </r>
    <r>
      <rPr>
        <vertAlign val="superscript"/>
        <sz val="10"/>
        <color indexed="8"/>
        <rFont val="Times New Roman"/>
        <charset val="134"/>
      </rPr>
      <t>3</t>
    </r>
  </si>
  <si>
    <t>模板木材</t>
  </si>
  <si>
    <r>
      <rPr>
        <sz val="10"/>
        <rFont val="Times New Roman"/>
        <charset val="134"/>
      </rPr>
      <t>m</t>
    </r>
    <r>
      <rPr>
        <vertAlign val="superscript"/>
        <sz val="10"/>
        <rFont val="Times New Roman"/>
        <charset val="134"/>
      </rPr>
      <t>3</t>
    </r>
  </si>
  <si>
    <t>砂子</t>
  </si>
  <si>
    <t>惠农小干沟</t>
  </si>
  <si>
    <t>水洗砂</t>
  </si>
  <si>
    <t>石子</t>
  </si>
  <si>
    <t>块石</t>
  </si>
  <si>
    <t>拉僧庙</t>
  </si>
  <si>
    <t>m3</t>
  </si>
  <si>
    <t>砂砾石</t>
  </si>
  <si>
    <t>卵石</t>
  </si>
  <si>
    <t>当地</t>
  </si>
  <si>
    <t>柴油</t>
  </si>
  <si>
    <t>kg</t>
  </si>
  <si>
    <t>汽油</t>
  </si>
  <si>
    <t>土</t>
  </si>
  <si>
    <t xml:space="preserve">         </t>
  </si>
  <si>
    <r>
      <rPr>
        <sz val="10"/>
        <color indexed="8"/>
        <rFont val="宋体"/>
        <charset val="134"/>
      </rPr>
      <t>水</t>
    </r>
    <r>
      <rPr>
        <sz val="10"/>
        <color indexed="8"/>
        <rFont val="Times New Roman"/>
        <charset val="134"/>
      </rPr>
      <t xml:space="preserve"> </t>
    </r>
  </si>
  <si>
    <t>风</t>
  </si>
  <si>
    <t>弃浆砌石、混凝土、混凝土板、树枝</t>
  </si>
  <si>
    <t>电（柴油发电机发电）</t>
  </si>
  <si>
    <t>kw.h</t>
  </si>
  <si>
    <t>技工</t>
  </si>
  <si>
    <t>工时</t>
  </si>
  <si>
    <t>普工</t>
  </si>
  <si>
    <r>
      <rPr>
        <sz val="10"/>
        <rFont val="宋体"/>
        <charset val="134"/>
      </rPr>
      <t>水</t>
    </r>
    <r>
      <rPr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</si>
  <si>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m</t>
    </r>
    <r>
      <rPr>
        <vertAlign val="superscript"/>
        <sz val="10"/>
        <rFont val="Times New Roman"/>
        <charset val="134"/>
      </rPr>
      <t>3</t>
    </r>
  </si>
  <si>
    <t>电</t>
  </si>
  <si>
    <t>根据《宁夏工程造价》2025.第1期（采用除税价）；《宁夏水利工程造价信息》2024.第4期（采用除税价）</t>
  </si>
  <si>
    <t>宁夏回族自治区公路汽车运输普通货物运输价格</t>
  </si>
  <si>
    <t>宁夏回族自治区大、中型汽车货物装卸费率表</t>
  </si>
  <si>
    <t>单位：元/吨.Km</t>
  </si>
  <si>
    <t>单位：元/吨</t>
  </si>
  <si>
    <r>
      <rPr>
        <sz val="10"/>
        <rFont val="宋体"/>
        <charset val="134"/>
      </rPr>
      <t>货种</t>
    </r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 xml:space="preserve">  运距</t>
    </r>
  </si>
  <si>
    <t>一等</t>
  </si>
  <si>
    <t>二等</t>
  </si>
  <si>
    <r>
      <rPr>
        <sz val="10"/>
        <rFont val="宋体"/>
        <charset val="134"/>
      </rPr>
      <t>货种</t>
    </r>
    <r>
      <rPr>
        <sz val="10"/>
        <rFont val="Times New Roman"/>
        <charset val="134"/>
      </rPr>
      <t xml:space="preserve">           </t>
    </r>
    <r>
      <rPr>
        <sz val="10"/>
        <rFont val="宋体"/>
        <charset val="134"/>
      </rPr>
      <t>运距</t>
    </r>
  </si>
  <si>
    <t>一等货物</t>
  </si>
  <si>
    <t>二等货物</t>
  </si>
  <si>
    <t>装</t>
  </si>
  <si>
    <t>卸</t>
  </si>
  <si>
    <t>26及以上</t>
  </si>
  <si>
    <t>混凝土及砂浆配合比计算表（2009新定额）</t>
  </si>
  <si>
    <t>基本数据</t>
  </si>
  <si>
    <t>混凝土或砂浆标号</t>
  </si>
  <si>
    <t>水泥标号</t>
  </si>
  <si>
    <t>砼级配</t>
  </si>
  <si>
    <t>水泥</t>
  </si>
  <si>
    <t>水</t>
  </si>
  <si>
    <t>单价
(元)</t>
  </si>
  <si>
    <t>混凝土材料价格（元）</t>
  </si>
  <si>
    <t>定额(t)</t>
  </si>
  <si>
    <t>数量（元）</t>
  </si>
  <si>
    <r>
      <rPr>
        <sz val="10"/>
        <rFont val="宋体"/>
        <charset val="134"/>
      </rPr>
      <t>定额(m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)</t>
    </r>
  </si>
  <si>
    <t>水泥(kg)
(32.5) | (42.5)</t>
  </si>
  <si>
    <t>掺合料
(kg)</t>
  </si>
  <si>
    <r>
      <rPr>
        <sz val="10"/>
        <rFont val="宋体"/>
        <charset val="134"/>
      </rPr>
      <t>砂
(m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)</t>
    </r>
  </si>
  <si>
    <r>
      <rPr>
        <sz val="10"/>
        <rFont val="宋体"/>
        <charset val="134"/>
      </rPr>
      <t>石子
(m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)</t>
    </r>
  </si>
  <si>
    <t>外加济
(kg)</t>
  </si>
  <si>
    <r>
      <rPr>
        <sz val="10"/>
        <rFont val="宋体"/>
        <charset val="134"/>
      </rPr>
      <t>水
(m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)</t>
    </r>
  </si>
  <si>
    <t>C10</t>
  </si>
  <si>
    <t>C15</t>
  </si>
  <si>
    <t>C15砼（渠道）</t>
  </si>
  <si>
    <t>卵石换为碎石各项数量换算系数（不换输1.0）</t>
  </si>
  <si>
    <t>C20砼</t>
  </si>
  <si>
    <t>C20砼（渠道）</t>
  </si>
  <si>
    <t>C25砼</t>
  </si>
  <si>
    <t>C30砼</t>
  </si>
  <si>
    <t>更换卵石粗砂各项数量换算系数</t>
  </si>
  <si>
    <t>M5</t>
  </si>
  <si>
    <t>项目</t>
  </si>
  <si>
    <t>砂</t>
  </si>
  <si>
    <t>M7.5</t>
  </si>
  <si>
    <t>卵石换为碎石</t>
  </si>
  <si>
    <t>M10</t>
  </si>
  <si>
    <t>粗砂换为中砂</t>
  </si>
  <si>
    <t>粗砂换为细砂</t>
  </si>
  <si>
    <t>粗砂换为特细砂</t>
  </si>
  <si>
    <t>定额分组费率表（维修养护预算）</t>
  </si>
  <si>
    <t>名称</t>
  </si>
  <si>
    <t>石方工程</t>
  </si>
  <si>
    <t>砌石工程</t>
  </si>
  <si>
    <t>混凝土工程</t>
  </si>
  <si>
    <t>钢筋工程</t>
  </si>
  <si>
    <t>钻孔及锚固工程</t>
  </si>
  <si>
    <t>绿化工程</t>
  </si>
  <si>
    <t>其他工程</t>
  </si>
  <si>
    <t>水利设备维修养护</t>
  </si>
  <si>
    <t>间接费</t>
  </si>
  <si>
    <t>利润</t>
  </si>
  <si>
    <t>税金</t>
  </si>
  <si>
    <t>定额分组费率表（建筑工程预算）</t>
  </si>
  <si>
    <t>疏浚工程</t>
  </si>
  <si>
    <t>安装工程</t>
  </si>
  <si>
    <t>维修养护预算</t>
  </si>
  <si>
    <t>建筑工程预算</t>
  </si>
  <si>
    <t>扩大</t>
  </si>
  <si>
    <t>表7-14</t>
  </si>
  <si>
    <r>
      <rPr>
        <b/>
        <sz val="9"/>
        <rFont val="宋体"/>
        <charset val="134"/>
      </rPr>
      <t xml:space="preserve">表7-15 </t>
    </r>
    <r>
      <rPr>
        <b/>
        <sz val="10"/>
        <rFont val="宋体"/>
        <charset val="134"/>
      </rPr>
      <t xml:space="preserve">                     </t>
    </r>
    <r>
      <rPr>
        <b/>
        <sz val="14"/>
        <rFont val="宋体"/>
        <charset val="134"/>
      </rPr>
      <t xml:space="preserve">施工机械台时费汇总表             </t>
    </r>
    <r>
      <rPr>
        <b/>
        <sz val="9"/>
        <rFont val="宋体"/>
        <charset val="134"/>
      </rPr>
      <t>（银川段）</t>
    </r>
  </si>
  <si>
    <t>电算编号</t>
  </si>
  <si>
    <t>台时费（元）</t>
  </si>
  <si>
    <t>其中：</t>
  </si>
  <si>
    <t>人工工资预算单价、材料限价表</t>
  </si>
  <si>
    <t>折旧费</t>
  </si>
  <si>
    <t>修理及替换设备费</t>
  </si>
  <si>
    <t>安拆费</t>
  </si>
  <si>
    <t>动力燃料费</t>
  </si>
  <si>
    <r>
      <rPr>
        <sz val="12"/>
        <rFont val="仿宋_GB2312"/>
        <charset val="134"/>
      </rPr>
      <t>汽油</t>
    </r>
    <r>
      <rPr>
        <sz val="12"/>
        <rFont val="Times New Roman"/>
        <charset val="134"/>
      </rPr>
      <t>(kg)</t>
    </r>
  </si>
  <si>
    <r>
      <rPr>
        <sz val="12"/>
        <rFont val="仿宋_GB2312"/>
        <charset val="134"/>
      </rPr>
      <t>柴油</t>
    </r>
    <r>
      <rPr>
        <sz val="12"/>
        <rFont val="Times New Roman"/>
        <charset val="134"/>
      </rPr>
      <t>(kg)</t>
    </r>
  </si>
  <si>
    <r>
      <rPr>
        <sz val="12"/>
        <rFont val="仿宋_GB2312"/>
        <charset val="134"/>
      </rPr>
      <t>电</t>
    </r>
    <r>
      <rPr>
        <sz val="12"/>
        <rFont val="Times New Roman"/>
        <charset val="134"/>
      </rPr>
      <t>(kwh)</t>
    </r>
  </si>
  <si>
    <t>风(m3)</t>
  </si>
  <si>
    <t>水(m3)</t>
  </si>
  <si>
    <r>
      <rPr>
        <sz val="12"/>
        <rFont val="仿宋_GB2312"/>
        <charset val="134"/>
      </rPr>
      <t>人工</t>
    </r>
    <r>
      <rPr>
        <sz val="12"/>
        <rFont val="Times New Roman"/>
        <charset val="134"/>
      </rPr>
      <t>(</t>
    </r>
    <r>
      <rPr>
        <sz val="12"/>
        <rFont val="仿宋_GB2312"/>
        <charset val="134"/>
      </rPr>
      <t>工时</t>
    </r>
    <r>
      <rPr>
        <sz val="12"/>
        <rFont val="Times New Roman"/>
        <charset val="134"/>
      </rPr>
      <t>)</t>
    </r>
  </si>
  <si>
    <r>
      <rPr>
        <sz val="12"/>
        <rFont val="仿宋_GB2312"/>
        <charset val="134"/>
      </rPr>
      <t>风</t>
    </r>
    <r>
      <rPr>
        <sz val="12"/>
        <rFont val="Times New Roman"/>
        <charset val="134"/>
      </rPr>
      <t>(m3)</t>
    </r>
  </si>
  <si>
    <r>
      <rPr>
        <sz val="12"/>
        <rFont val="仿宋_GB2312"/>
        <charset val="134"/>
      </rPr>
      <t>水</t>
    </r>
    <r>
      <rPr>
        <sz val="12"/>
        <rFont val="Times New Roman"/>
        <charset val="134"/>
      </rPr>
      <t>(m3)</t>
    </r>
  </si>
  <si>
    <r>
      <rPr>
        <sz val="10"/>
        <rFont val="宋体"/>
        <charset val="134"/>
      </rPr>
      <t>单斗挖掘机 油动 0.5m</t>
    </r>
    <r>
      <rPr>
        <vertAlign val="superscript"/>
        <sz val="10"/>
        <rFont val="宋体"/>
        <charset val="134"/>
      </rPr>
      <t>3</t>
    </r>
  </si>
  <si>
    <r>
      <rPr>
        <sz val="10"/>
        <rFont val="宋体"/>
        <charset val="134"/>
      </rPr>
      <t>单斗挖掘机  液压 0.6m</t>
    </r>
    <r>
      <rPr>
        <vertAlign val="superscript"/>
        <sz val="10"/>
        <rFont val="宋体"/>
        <charset val="134"/>
      </rPr>
      <t>3</t>
    </r>
  </si>
  <si>
    <t>P1009</t>
  </si>
  <si>
    <r>
      <rPr>
        <sz val="10"/>
        <rFont val="宋体"/>
        <charset val="134"/>
      </rPr>
      <t>单斗挖掘机  液压 1m</t>
    </r>
    <r>
      <rPr>
        <vertAlign val="superscript"/>
        <sz val="10"/>
        <rFont val="宋体"/>
        <charset val="134"/>
      </rPr>
      <t>3</t>
    </r>
  </si>
  <si>
    <r>
      <rPr>
        <sz val="10"/>
        <rFont val="宋体"/>
        <charset val="134"/>
      </rPr>
      <t>单斗挖掘机  液压 2m</t>
    </r>
    <r>
      <rPr>
        <vertAlign val="superscript"/>
        <sz val="10"/>
        <rFont val="宋体"/>
        <charset val="134"/>
      </rPr>
      <t>3</t>
    </r>
  </si>
  <si>
    <r>
      <rPr>
        <sz val="10"/>
        <rFont val="宋体"/>
        <charset val="134"/>
      </rPr>
      <t>装载机2</t>
    </r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3</t>
    </r>
  </si>
  <si>
    <t>拖拉机  59kw</t>
  </si>
  <si>
    <t>拖拉机  74kw</t>
  </si>
  <si>
    <t>推土机  55kw</t>
  </si>
  <si>
    <t>推土机  59kw</t>
  </si>
  <si>
    <t>推土机  74kw</t>
  </si>
  <si>
    <t>手扶拖拉机  11kw</t>
  </si>
  <si>
    <t>羊角碾  5～7t</t>
  </si>
  <si>
    <t>内燃压路机  12—15t</t>
  </si>
  <si>
    <t>蛙式夯实机  2.8kw</t>
  </si>
  <si>
    <t>风钻 （手持式）</t>
  </si>
  <si>
    <t>风镐 （手持式）</t>
  </si>
  <si>
    <t>强夯机械  200tm</t>
  </si>
  <si>
    <r>
      <rPr>
        <sz val="10"/>
        <rFont val="宋体"/>
        <charset val="134"/>
      </rPr>
      <t>混凝土搅拌机  0.4m</t>
    </r>
    <r>
      <rPr>
        <vertAlign val="superscript"/>
        <sz val="10"/>
        <rFont val="宋体"/>
        <charset val="134"/>
      </rPr>
      <t>3</t>
    </r>
  </si>
  <si>
    <t>振捣器  插入式 1.1kw</t>
  </si>
  <si>
    <t>振捣器  插入式 1.5kw</t>
  </si>
  <si>
    <t>振捣器  平板式 2.2kw</t>
  </si>
  <si>
    <t>变频机组  4.5kVA</t>
  </si>
  <si>
    <r>
      <rPr>
        <sz val="10"/>
        <rFont val="宋体"/>
        <charset val="134"/>
      </rPr>
      <t>混凝土吊罐  1.0m</t>
    </r>
    <r>
      <rPr>
        <vertAlign val="superscript"/>
        <sz val="10"/>
        <rFont val="宋体"/>
        <charset val="134"/>
      </rPr>
      <t>3</t>
    </r>
  </si>
  <si>
    <t>风(砂)水枪  6m3/min</t>
  </si>
  <si>
    <t>载重汽车  5t</t>
  </si>
  <si>
    <t>载重汽车  10t</t>
  </si>
  <si>
    <r>
      <rPr>
        <sz val="10"/>
        <rFont val="宋体"/>
        <charset val="134"/>
      </rPr>
      <t xml:space="preserve">自卸汽车  </t>
    </r>
    <r>
      <rPr>
        <sz val="10"/>
        <rFont val="宋体"/>
        <charset val="134"/>
      </rPr>
      <t>3.5</t>
    </r>
    <r>
      <rPr>
        <sz val="10"/>
        <rFont val="宋体"/>
        <charset val="134"/>
      </rPr>
      <t>t</t>
    </r>
  </si>
  <si>
    <t>自卸汽车  5t</t>
  </si>
  <si>
    <t>P1095</t>
  </si>
  <si>
    <t>自卸汽车  8t</t>
  </si>
  <si>
    <t>P1042</t>
  </si>
  <si>
    <t>自卸汽车  10t</t>
  </si>
  <si>
    <t>平板挂车  20t</t>
  </si>
  <si>
    <t>P3012</t>
  </si>
  <si>
    <t>机动翻斗车  1T</t>
  </si>
  <si>
    <t>P3013</t>
  </si>
  <si>
    <t>胶轮车</t>
  </si>
  <si>
    <t>塔式起重机  6t</t>
  </si>
  <si>
    <t>塔式起重机  10t</t>
  </si>
  <si>
    <t>履带起重机  10t</t>
  </si>
  <si>
    <t>汽车式起重机  5T</t>
  </si>
  <si>
    <t>汽车式起重机  8T</t>
  </si>
  <si>
    <t>汽车式起重机  10T</t>
  </si>
  <si>
    <t>汽车式起重机  16T</t>
  </si>
  <si>
    <t>汽车式起重机  25T</t>
  </si>
  <si>
    <t>电动葫芦  3T</t>
  </si>
  <si>
    <t>卷扬机  3T</t>
  </si>
  <si>
    <t>卷扬机  5T</t>
  </si>
  <si>
    <t>冲击钻   CZ-22</t>
  </si>
  <si>
    <t>泥浆搅拌机</t>
  </si>
  <si>
    <t>灰浆搅拌机</t>
  </si>
  <si>
    <t>灌浆泵（中低压）泥浆</t>
  </si>
  <si>
    <r>
      <rPr>
        <sz val="10"/>
        <rFont val="宋体"/>
        <charset val="134"/>
      </rPr>
      <t>空压机电动移动式</t>
    </r>
    <r>
      <rPr>
        <sz val="10"/>
        <rFont val="宋体"/>
        <charset val="134"/>
      </rPr>
      <t>3</t>
    </r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/min</t>
    </r>
  </si>
  <si>
    <r>
      <rPr>
        <sz val="10"/>
        <rFont val="宋体"/>
        <charset val="134"/>
      </rPr>
      <t>空压机油动移动式6m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/min</t>
    </r>
  </si>
  <si>
    <t>柴油发电机20kw</t>
  </si>
  <si>
    <r>
      <rPr>
        <sz val="10"/>
        <rFont val="宋体"/>
        <charset val="134"/>
      </rPr>
      <t>柴油发电机6</t>
    </r>
    <r>
      <rPr>
        <sz val="10"/>
        <rFont val="宋体"/>
        <charset val="134"/>
      </rPr>
      <t>0kw</t>
    </r>
  </si>
  <si>
    <t>潜水泵  7kw</t>
  </si>
  <si>
    <r>
      <rPr>
        <sz val="10"/>
        <rFont val="宋体"/>
        <charset val="134"/>
      </rPr>
      <t>污水泵</t>
    </r>
    <r>
      <rPr>
        <sz val="10"/>
        <rFont val="Times New Roman"/>
        <charset val="134"/>
      </rPr>
      <t xml:space="preserve">       </t>
    </r>
    <r>
      <rPr>
        <sz val="10"/>
        <rFont val="宋体"/>
        <charset val="134"/>
      </rPr>
      <t>7.5</t>
    </r>
    <r>
      <rPr>
        <sz val="10"/>
        <rFont val="Times New Roman"/>
        <charset val="134"/>
      </rPr>
      <t>kw</t>
    </r>
  </si>
  <si>
    <t>电焊机  交流 25kVA</t>
  </si>
  <si>
    <t>电焊机  直流 30kVA</t>
  </si>
  <si>
    <t>对焊机  电弧型150</t>
  </si>
  <si>
    <t>钢筋弯曲机  Φ6-40</t>
  </si>
  <si>
    <t>钢筋切断机  20kW</t>
  </si>
  <si>
    <t>P9912</t>
  </si>
  <si>
    <t>钢筋调直机  4-14kW</t>
  </si>
  <si>
    <r>
      <rPr>
        <sz val="10"/>
        <rFont val="宋体"/>
        <charset val="134"/>
      </rPr>
      <t>116#</t>
    </r>
    <r>
      <rPr>
        <sz val="10"/>
        <rFont val="宋体"/>
        <charset val="134"/>
      </rPr>
      <t>文</t>
    </r>
  </si>
  <si>
    <r>
      <rPr>
        <sz val="10"/>
        <rFont val="宋体"/>
        <charset val="134"/>
      </rPr>
      <t xml:space="preserve">混凝土泵 </t>
    </r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>30m</t>
    </r>
    <r>
      <rPr>
        <vertAlign val="superscript"/>
        <sz val="10"/>
        <rFont val="仿宋_GB2312"/>
        <charset val="134"/>
      </rPr>
      <t>3</t>
    </r>
    <r>
      <rPr>
        <sz val="10"/>
        <rFont val="仿宋_GB2312"/>
        <charset val="134"/>
      </rPr>
      <t>/h</t>
    </r>
  </si>
  <si>
    <t>B1028</t>
  </si>
  <si>
    <r>
      <rPr>
        <sz val="10"/>
        <rFont val="宋体"/>
        <charset val="134"/>
      </rPr>
      <t>喷药杀虫车</t>
    </r>
    <r>
      <rPr>
        <sz val="12"/>
        <rFont val="Times New Roman"/>
        <charset val="134"/>
      </rPr>
      <t>1.5t</t>
    </r>
  </si>
  <si>
    <t>刨毛机</t>
  </si>
  <si>
    <t>建筑工程单价表</t>
  </si>
  <si>
    <t>单价编号</t>
  </si>
  <si>
    <t>项目名称</t>
  </si>
  <si>
    <t>现浇C25混凝土溢流面</t>
  </si>
  <si>
    <t>P-140-4007</t>
  </si>
  <si>
    <t>定额单位</t>
  </si>
  <si>
    <r>
      <rPr>
        <sz val="10"/>
        <rFont val="宋体"/>
        <charset val="134"/>
      </rPr>
      <t>100m</t>
    </r>
    <r>
      <rPr>
        <vertAlign val="superscript"/>
        <sz val="10"/>
        <rFont val="宋体"/>
        <charset val="134"/>
      </rPr>
      <t>3</t>
    </r>
  </si>
  <si>
    <t>适用范围：</t>
  </si>
  <si>
    <t>工作内容：选石、修石、冲洗、拌浆、砌石勾缝。</t>
  </si>
  <si>
    <t>数量</t>
  </si>
  <si>
    <t>单价(元)</t>
  </si>
  <si>
    <t>合计(元)</t>
  </si>
  <si>
    <t>直接费</t>
  </si>
  <si>
    <t>（一）</t>
  </si>
  <si>
    <t>基本直接费</t>
  </si>
  <si>
    <t>锯 材</t>
  </si>
  <si>
    <t>滑 膜</t>
  </si>
  <si>
    <t>组合钢模板</t>
  </si>
  <si>
    <t>型 钢</t>
  </si>
  <si>
    <t>卡口件</t>
  </si>
  <si>
    <t>铁 件</t>
  </si>
  <si>
    <t>预埋铁件</t>
  </si>
  <si>
    <t>电焊条</t>
  </si>
  <si>
    <t>C25混凝土</t>
  </si>
  <si>
    <t xml:space="preserve">  水</t>
  </si>
  <si>
    <t>其他材料费</t>
  </si>
  <si>
    <t>%</t>
  </si>
  <si>
    <t>机械费</t>
  </si>
  <si>
    <t>台时</t>
  </si>
  <si>
    <t>汽车起重机  5t</t>
  </si>
  <si>
    <t>电焊机  25kw</t>
  </si>
  <si>
    <r>
      <rPr>
        <sz val="10"/>
        <rFont val="宋体"/>
        <charset val="134"/>
      </rPr>
      <t>搅拌机  0.4m</t>
    </r>
    <r>
      <rPr>
        <vertAlign val="superscript"/>
        <sz val="10"/>
        <rFont val="宋体"/>
        <charset val="134"/>
      </rPr>
      <t>3</t>
    </r>
  </si>
  <si>
    <t>振动器  1.1kw</t>
  </si>
  <si>
    <t>脚轮车</t>
  </si>
  <si>
    <t>其他机械费</t>
  </si>
  <si>
    <t>混凝土水平运输</t>
  </si>
  <si>
    <t>混凝土垂直运输</t>
  </si>
  <si>
    <t>（二）</t>
  </si>
  <si>
    <t>五</t>
  </si>
  <si>
    <t>扩大3%</t>
  </si>
  <si>
    <t>合 计</t>
  </si>
  <si>
    <t>现浇C25混凝土闸墩</t>
  </si>
  <si>
    <t>P-150-4047</t>
  </si>
  <si>
    <t>适用范围：水闸闸墩及溢洪道闸墩、桥墩。</t>
  </si>
  <si>
    <t>工作内容：</t>
  </si>
  <si>
    <t>铁件</t>
  </si>
  <si>
    <t>汽车式起重机  5t</t>
  </si>
  <si>
    <t>现浇C15混凝土镇墩</t>
  </si>
  <si>
    <t>P-152-4051</t>
  </si>
  <si>
    <t>适用范围：压力钢管、倒虹吸管</t>
  </si>
  <si>
    <t>C15混凝土</t>
  </si>
  <si>
    <r>
      <rPr>
        <sz val="10"/>
        <rFont val="宋体"/>
        <charset val="134"/>
      </rPr>
      <t>现浇C20混凝土</t>
    </r>
    <r>
      <rPr>
        <sz val="10"/>
        <rFont val="宋体"/>
        <charset val="134"/>
      </rPr>
      <t>支墩</t>
    </r>
  </si>
  <si>
    <t>P-152-4052</t>
  </si>
  <si>
    <r>
      <rPr>
        <sz val="10"/>
        <rFont val="宋体"/>
        <charset val="134"/>
      </rPr>
      <t>C</t>
    </r>
    <r>
      <rPr>
        <sz val="10"/>
        <rFont val="宋体"/>
        <charset val="134"/>
      </rPr>
      <t>20</t>
    </r>
    <r>
      <rPr>
        <sz val="10"/>
        <rFont val="宋体"/>
        <charset val="134"/>
      </rPr>
      <t>混凝土</t>
    </r>
  </si>
  <si>
    <t>现浇C20混凝土截水墙、齿墙</t>
  </si>
  <si>
    <t>P-153-4053</t>
  </si>
  <si>
    <t>适用范围：坝体内截水墙、齿墙及心墙。</t>
  </si>
  <si>
    <t>C20混凝土</t>
  </si>
  <si>
    <r>
      <rPr>
        <sz val="10"/>
        <rFont val="宋体"/>
        <charset val="134"/>
      </rPr>
      <t xml:space="preserve">汽车起重机  </t>
    </r>
    <r>
      <rPr>
        <sz val="10"/>
        <rFont val="宋体"/>
        <charset val="134"/>
      </rPr>
      <t>5</t>
    </r>
    <r>
      <rPr>
        <sz val="10"/>
        <rFont val="宋体"/>
        <charset val="134"/>
      </rPr>
      <t>t</t>
    </r>
  </si>
  <si>
    <t>现浇C20混凝土直墙（墙厚0.2—0.4m）</t>
  </si>
  <si>
    <r>
      <rPr>
        <sz val="10"/>
        <rFont val="宋体"/>
        <charset val="134"/>
      </rPr>
      <t>P-155-405</t>
    </r>
    <r>
      <rPr>
        <sz val="10"/>
        <rFont val="宋体"/>
        <charset val="134"/>
      </rPr>
      <t>9</t>
    </r>
  </si>
  <si>
    <t>适用范围：地面板式直墙</t>
  </si>
  <si>
    <r>
      <rPr>
        <sz val="10"/>
        <rFont val="宋体"/>
        <charset val="134"/>
      </rPr>
      <t>现浇C25</t>
    </r>
    <r>
      <rPr>
        <sz val="10"/>
        <rFont val="宋体"/>
        <charset val="134"/>
      </rPr>
      <t>混凝土直墙（墙厚0.</t>
    </r>
    <r>
      <rPr>
        <sz val="10"/>
        <rFont val="宋体"/>
        <charset val="134"/>
      </rPr>
      <t>4</t>
    </r>
    <r>
      <rPr>
        <sz val="10"/>
        <rFont val="宋体"/>
        <charset val="134"/>
      </rPr>
      <t>—0.</t>
    </r>
    <r>
      <rPr>
        <sz val="10"/>
        <rFont val="宋体"/>
        <charset val="134"/>
      </rPr>
      <t>6</t>
    </r>
    <r>
      <rPr>
        <sz val="10"/>
        <rFont val="宋体"/>
        <charset val="134"/>
      </rPr>
      <t>m）</t>
    </r>
  </si>
  <si>
    <r>
      <rPr>
        <sz val="10"/>
        <rFont val="宋体"/>
        <charset val="134"/>
      </rPr>
      <t>P-155-40</t>
    </r>
    <r>
      <rPr>
        <sz val="10"/>
        <rFont val="宋体"/>
        <charset val="134"/>
      </rPr>
      <t>60</t>
    </r>
  </si>
  <si>
    <r>
      <rPr>
        <sz val="10"/>
        <rFont val="宋体"/>
        <charset val="134"/>
      </rPr>
      <t>C2</t>
    </r>
    <r>
      <rPr>
        <sz val="10"/>
        <rFont val="宋体"/>
        <charset val="134"/>
      </rPr>
      <t>5</t>
    </r>
    <r>
      <rPr>
        <sz val="10"/>
        <rFont val="宋体"/>
        <charset val="134"/>
      </rPr>
      <t>混凝土</t>
    </r>
  </si>
  <si>
    <r>
      <rPr>
        <sz val="10"/>
        <rFont val="宋体"/>
        <charset val="134"/>
      </rPr>
      <t>现浇C</t>
    </r>
    <r>
      <rPr>
        <sz val="10"/>
        <rFont val="宋体"/>
        <charset val="134"/>
      </rPr>
      <t>20</t>
    </r>
    <r>
      <rPr>
        <sz val="10"/>
        <rFont val="宋体"/>
        <charset val="134"/>
      </rPr>
      <t>混凝土垫层</t>
    </r>
  </si>
  <si>
    <t>P-158-4067</t>
  </si>
  <si>
    <t>适用范围：水闸垫层</t>
  </si>
  <si>
    <t>现浇C25混凝土闸底板</t>
  </si>
  <si>
    <t>P-159-4070</t>
  </si>
  <si>
    <t>适用范围：水闸、泄水闸、排砂闸底板</t>
  </si>
  <si>
    <t>明渠混凝土无模浇筑（现浇C20底板厚15—25cm）</t>
  </si>
  <si>
    <t>P-161-4079</t>
  </si>
  <si>
    <t>适用范围：引水、泄水、灌溉渠道及隧洞进、出口明挖段的底板。</t>
  </si>
  <si>
    <r>
      <rPr>
        <sz val="10"/>
        <rFont val="宋体"/>
        <charset val="134"/>
      </rPr>
      <t>明渠混凝土无模浇筑（现浇C2</t>
    </r>
    <r>
      <rPr>
        <sz val="10"/>
        <rFont val="宋体"/>
        <charset val="134"/>
      </rPr>
      <t>5</t>
    </r>
    <r>
      <rPr>
        <sz val="10"/>
        <rFont val="宋体"/>
        <charset val="134"/>
      </rPr>
      <t>底板厚15—25cm）</t>
    </r>
  </si>
  <si>
    <t>明渠混凝土无模浇筑（现浇C20边坡厚15—25cm）</t>
  </si>
  <si>
    <t>P-161-4081</t>
  </si>
  <si>
    <t>适用范围：引水、泄水、灌溉渠道及隧洞进、出口明挖段的护坡。</t>
  </si>
  <si>
    <r>
      <rPr>
        <sz val="10"/>
        <rFont val="宋体"/>
        <charset val="134"/>
      </rPr>
      <t>明渠混凝土无模浇筑（现浇C2</t>
    </r>
    <r>
      <rPr>
        <sz val="10"/>
        <rFont val="宋体"/>
        <charset val="134"/>
      </rPr>
      <t>5</t>
    </r>
    <r>
      <rPr>
        <sz val="10"/>
        <rFont val="宋体"/>
        <charset val="134"/>
      </rPr>
      <t>边坡厚15—25cm）</t>
    </r>
  </si>
  <si>
    <r>
      <rPr>
        <sz val="10"/>
        <rFont val="宋体"/>
        <charset val="134"/>
      </rPr>
      <t>现浇</t>
    </r>
    <r>
      <rPr>
        <sz val="10"/>
        <rFont val="宋体"/>
        <charset val="134"/>
      </rPr>
      <t>C25混凝</t>
    </r>
    <r>
      <rPr>
        <sz val="10"/>
        <rFont val="宋体"/>
        <charset val="134"/>
      </rPr>
      <t>箱涵</t>
    </r>
  </si>
  <si>
    <r>
      <rPr>
        <sz val="10"/>
        <rFont val="宋体"/>
        <charset val="134"/>
      </rPr>
      <t>P-16</t>
    </r>
    <r>
      <rPr>
        <sz val="10"/>
        <rFont val="宋体"/>
        <charset val="134"/>
      </rPr>
      <t>4</t>
    </r>
    <r>
      <rPr>
        <sz val="10"/>
        <rFont val="宋体"/>
        <charset val="134"/>
      </rPr>
      <t>-4</t>
    </r>
    <r>
      <rPr>
        <sz val="10"/>
        <rFont val="宋体"/>
        <charset val="134"/>
      </rPr>
      <t>087</t>
    </r>
  </si>
  <si>
    <r>
      <rPr>
        <sz val="10"/>
        <rFont val="宋体"/>
        <charset val="134"/>
      </rPr>
      <t>C</t>
    </r>
    <r>
      <rPr>
        <sz val="10"/>
        <rFont val="宋体"/>
        <charset val="134"/>
      </rPr>
      <t>25</t>
    </r>
    <r>
      <rPr>
        <sz val="10"/>
        <rFont val="宋体"/>
        <charset val="134"/>
      </rPr>
      <t>混凝土</t>
    </r>
  </si>
  <si>
    <r>
      <rPr>
        <sz val="10"/>
        <rFont val="宋体"/>
        <charset val="134"/>
      </rPr>
      <t xml:space="preserve">履带式起重机  </t>
    </r>
    <r>
      <rPr>
        <sz val="10"/>
        <rFont val="宋体"/>
        <charset val="134"/>
      </rPr>
      <t>10</t>
    </r>
    <r>
      <rPr>
        <sz val="10"/>
        <rFont val="宋体"/>
        <charset val="134"/>
      </rPr>
      <t>t</t>
    </r>
  </si>
  <si>
    <t>现浇C25混凝土矩形梁</t>
  </si>
  <si>
    <r>
      <rPr>
        <sz val="10"/>
        <rFont val="宋体"/>
        <charset val="134"/>
      </rPr>
      <t>P-168</t>
    </r>
    <r>
      <rPr>
        <sz val="10"/>
        <rFont val="宋体"/>
        <charset val="134"/>
      </rPr>
      <t>-4</t>
    </r>
    <r>
      <rPr>
        <sz val="10"/>
        <rFont val="宋体"/>
        <charset val="134"/>
      </rPr>
      <t>100</t>
    </r>
  </si>
  <si>
    <t>现浇C25混凝土矩形柱</t>
  </si>
  <si>
    <r>
      <rPr>
        <sz val="10"/>
        <rFont val="宋体"/>
        <charset val="134"/>
      </rPr>
      <t>P-169</t>
    </r>
    <r>
      <rPr>
        <sz val="10"/>
        <rFont val="宋体"/>
        <charset val="134"/>
      </rPr>
      <t>-4</t>
    </r>
    <r>
      <rPr>
        <sz val="10"/>
        <rFont val="宋体"/>
        <charset val="134"/>
      </rPr>
      <t>108</t>
    </r>
  </si>
  <si>
    <t>适用范围：渡槽、变电站、桥梁。</t>
  </si>
  <si>
    <t>卷扬机  5t</t>
  </si>
  <si>
    <t>现浇C20圬工砌体外包混凝土</t>
  </si>
  <si>
    <t>P-174-4121</t>
  </si>
  <si>
    <t>适用范围：圬工砌体非曲面段外部的直墙、斜墙。</t>
  </si>
  <si>
    <t>现浇C20工混凝土台帽</t>
  </si>
  <si>
    <t>P-174-4124</t>
  </si>
  <si>
    <t>预制C20混凝土渠道衬砌板（4-8cm)</t>
  </si>
  <si>
    <t>P-178-4138</t>
  </si>
  <si>
    <t>适用范围：渠道护坡、护底及坝体护坡。</t>
  </si>
  <si>
    <t>工作内容：摸板制安、拆除、修理、砼拌和、场内运输、浇筑、养护、堆放。</t>
  </si>
  <si>
    <t>专用钢模板</t>
  </si>
  <si>
    <t>振动器  平板式2.2kw</t>
  </si>
  <si>
    <t>渠道C20预制板砼构件砌筑（包含预制、运输）</t>
  </si>
  <si>
    <t>P-123-3054</t>
  </si>
  <si>
    <t>工作内容：拌制、砌筑、填缝、养护、预制件运输。</t>
  </si>
  <si>
    <t>混凝土预制构件</t>
  </si>
  <si>
    <t>砂浆或细粒混凝土</t>
  </si>
  <si>
    <t>预制板运输</t>
  </si>
  <si>
    <t>C25预制混泥土桥板</t>
  </si>
  <si>
    <r>
      <rPr>
        <sz val="10"/>
        <rFont val="宋体"/>
        <charset val="134"/>
      </rPr>
      <t>P-183</t>
    </r>
    <r>
      <rPr>
        <sz val="10"/>
        <rFont val="宋体"/>
        <charset val="134"/>
      </rPr>
      <t>-41</t>
    </r>
    <r>
      <rPr>
        <sz val="10"/>
        <rFont val="宋体"/>
        <charset val="134"/>
      </rPr>
      <t>63</t>
    </r>
  </si>
  <si>
    <t>适用范围：工作桥、房屋面板，地沟、电缆沟、排水沟盖板及交通设施盖板。</t>
  </si>
  <si>
    <t>工作内容：木模板制作安装、浇筑、养护、预制件吊移。</t>
  </si>
  <si>
    <t>铁钉</t>
  </si>
  <si>
    <r>
      <rPr>
        <sz val="10"/>
        <rFont val="宋体"/>
        <charset val="134"/>
      </rPr>
      <t xml:space="preserve">塔式起重机  </t>
    </r>
    <r>
      <rPr>
        <sz val="10"/>
        <rFont val="宋体"/>
        <charset val="134"/>
      </rPr>
      <t>10</t>
    </r>
    <r>
      <rPr>
        <sz val="10"/>
        <rFont val="宋体"/>
        <charset val="134"/>
      </rPr>
      <t>t</t>
    </r>
  </si>
  <si>
    <r>
      <rPr>
        <sz val="10"/>
        <rFont val="宋体"/>
        <charset val="134"/>
      </rPr>
      <t>预制C</t>
    </r>
    <r>
      <rPr>
        <sz val="10"/>
        <rFont val="宋体"/>
        <charset val="134"/>
      </rPr>
      <t>25</t>
    </r>
    <r>
      <rPr>
        <sz val="10"/>
        <rFont val="宋体"/>
        <charset val="134"/>
      </rPr>
      <t>混凝土板安装（包含预制、运输）</t>
    </r>
  </si>
  <si>
    <r>
      <rPr>
        <sz val="10"/>
        <rFont val="宋体"/>
        <charset val="134"/>
      </rPr>
      <t>P-191</t>
    </r>
    <r>
      <rPr>
        <sz val="10"/>
        <rFont val="宋体"/>
        <charset val="134"/>
      </rPr>
      <t>-4</t>
    </r>
    <r>
      <rPr>
        <sz val="10"/>
        <rFont val="宋体"/>
        <charset val="134"/>
      </rPr>
      <t>191</t>
    </r>
  </si>
  <si>
    <t>适用范围：各型预制混凝土构件。</t>
  </si>
  <si>
    <t>工作内容：连接铁件的安装、构件吊装校正、焊接固定及临时固定、填缝灌浆。</t>
  </si>
  <si>
    <t>原木</t>
  </si>
  <si>
    <t>混凝土构件</t>
  </si>
  <si>
    <t>M10砂浆</t>
  </si>
  <si>
    <r>
      <rPr>
        <sz val="10"/>
        <rFont val="宋体"/>
        <charset val="134"/>
      </rPr>
      <t>现浇C</t>
    </r>
    <r>
      <rPr>
        <sz val="10"/>
        <rFont val="宋体"/>
        <charset val="134"/>
      </rPr>
      <t>15</t>
    </r>
    <r>
      <rPr>
        <sz val="10"/>
        <rFont val="宋体"/>
        <charset val="134"/>
      </rPr>
      <t>混凝土小型构筑物</t>
    </r>
  </si>
  <si>
    <t>P-176-4132</t>
  </si>
  <si>
    <t>适用范围：斗农口、量水堰、及小体积的现浇混凝土等。</t>
  </si>
  <si>
    <t>型钢</t>
  </si>
  <si>
    <r>
      <rPr>
        <sz val="10"/>
        <rFont val="宋体"/>
        <charset val="134"/>
      </rPr>
      <t>小型构件（预制C</t>
    </r>
    <r>
      <rPr>
        <sz val="10"/>
        <rFont val="宋体"/>
        <charset val="134"/>
      </rPr>
      <t>20</t>
    </r>
    <r>
      <rPr>
        <sz val="10"/>
        <rFont val="宋体"/>
        <charset val="134"/>
      </rPr>
      <t>）</t>
    </r>
  </si>
  <si>
    <t>P-188-4182</t>
  </si>
  <si>
    <t>适用范围：模板制作、安装、拆除，混凝土水平运输。混凝土搅拌、捣固、养护。成品堆放。</t>
  </si>
  <si>
    <t>M5地模砂浆</t>
  </si>
  <si>
    <t>小型预制构件安装</t>
  </si>
  <si>
    <t>P-197-4213</t>
  </si>
  <si>
    <r>
      <rPr>
        <sz val="10"/>
        <rFont val="宋体"/>
        <charset val="134"/>
      </rPr>
      <t>适用范围：单个体积小于0.1m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的构件安装。</t>
    </r>
  </si>
  <si>
    <t>工作内容：座浆、灌缝、就位、安装。</t>
  </si>
  <si>
    <t>垫铁块</t>
  </si>
  <si>
    <t>预制构件</t>
  </si>
  <si>
    <r>
      <rPr>
        <sz val="10"/>
        <color indexed="10"/>
        <rFont val="宋体"/>
        <charset val="134"/>
      </rPr>
      <t>m</t>
    </r>
    <r>
      <rPr>
        <vertAlign val="superscript"/>
        <sz val="10"/>
        <color indexed="10"/>
        <rFont val="宋体"/>
        <charset val="134"/>
      </rPr>
      <t>3</t>
    </r>
  </si>
  <si>
    <t>M5水泥砂浆</t>
  </si>
  <si>
    <t>预制构件运输</t>
  </si>
  <si>
    <t>人工装、卸手扶拖拉机运混凝土预制件（运距：2km）</t>
  </si>
  <si>
    <t>P-198-4219</t>
  </si>
  <si>
    <t>适用范围：预制混凝土衬砌板及小型构件。</t>
  </si>
  <si>
    <t>工作内容：装、运、卸、堆放、空回。</t>
  </si>
  <si>
    <t>零星材料费</t>
  </si>
  <si>
    <t>拖拉机  11kw</t>
  </si>
  <si>
    <t>人工装、卸手扶拖拉机运混凝土预制件（运距：5km）</t>
  </si>
  <si>
    <t>P-198-4220</t>
  </si>
  <si>
    <t>机械装车、汽车运输混凝土构件（运距：5km）</t>
  </si>
  <si>
    <t>P-199-4223</t>
  </si>
  <si>
    <t>适用范围：混凝土梁、柱、块、板、管运输。</t>
  </si>
  <si>
    <t>工作内容：装车、运输、卸车并按指定地点堆放等。</t>
  </si>
  <si>
    <t>载重汽车 10t</t>
  </si>
  <si>
    <t>钢筋制作安装</t>
  </si>
  <si>
    <t>P-204-4267</t>
  </si>
  <si>
    <t>适用范围：水工建筑物各部位及预制构件。</t>
  </si>
  <si>
    <t>工作内容：回直、除锈、切断、弯制、焊接、绑扎及加工场至施工场地运输。</t>
  </si>
  <si>
    <t>铁丝</t>
  </si>
  <si>
    <t>钢筋调直机  14kw</t>
  </si>
  <si>
    <t>风砂枪</t>
  </si>
  <si>
    <t>钢筋切断机  20kw</t>
  </si>
  <si>
    <t>钢筋弯曲机    直径：6—40</t>
  </si>
  <si>
    <t>电焊机  25kVA</t>
  </si>
  <si>
    <t>对焊机电弧  150型</t>
  </si>
  <si>
    <t>载重汽车 5t</t>
  </si>
  <si>
    <t>铁件加工</t>
  </si>
  <si>
    <t>P-204-4268</t>
  </si>
  <si>
    <t>工作内容：安装、埋设、焊接固定。</t>
  </si>
  <si>
    <t>钢栏杆制作安装</t>
  </si>
  <si>
    <t>P-365-8104</t>
  </si>
  <si>
    <t>工作内容：制作：钢材校正，构件制作、预制、矫正、堆放、刷漆。                                                             安装：装机、扩孔、电焊或扭紧螺栓、吊装机校正。</t>
  </si>
  <si>
    <t>锯材</t>
  </si>
  <si>
    <t>钢材</t>
  </si>
  <si>
    <t xml:space="preserve"> 651止水带</t>
  </si>
  <si>
    <r>
      <rPr>
        <sz val="10"/>
        <rFont val="宋体"/>
        <charset val="134"/>
      </rPr>
      <t>P-2</t>
    </r>
    <r>
      <rPr>
        <sz val="10"/>
        <rFont val="宋体"/>
        <charset val="134"/>
      </rPr>
      <t>06</t>
    </r>
    <r>
      <rPr>
        <sz val="10"/>
        <rFont val="宋体"/>
        <charset val="134"/>
      </rPr>
      <t>-42</t>
    </r>
    <r>
      <rPr>
        <sz val="10"/>
        <rFont val="宋体"/>
        <charset val="134"/>
      </rPr>
      <t>73</t>
    </r>
  </si>
  <si>
    <t>工作内容：清洗缝面、熔化、调制沥青砂浆、填塞缝。</t>
  </si>
  <si>
    <t>橡胶止水带</t>
  </si>
  <si>
    <t>沥青砂浆伸缩缝</t>
  </si>
  <si>
    <t>P-210-4296</t>
  </si>
  <si>
    <r>
      <rPr>
        <sz val="10"/>
        <rFont val="宋体"/>
        <charset val="134"/>
      </rPr>
      <t>100m</t>
    </r>
    <r>
      <rPr>
        <vertAlign val="superscript"/>
        <sz val="10"/>
        <rFont val="宋体"/>
        <charset val="134"/>
      </rPr>
      <t>2</t>
    </r>
  </si>
  <si>
    <t>沥青</t>
  </si>
  <si>
    <t>木柴</t>
  </si>
  <si>
    <t>φ75塑料管安装（粘接）</t>
  </si>
  <si>
    <t>P-352-8026</t>
  </si>
  <si>
    <t>工作内容：检查清扫管材、安装、压水试验、场内材料运输。</t>
  </si>
  <si>
    <t>塑料管</t>
  </si>
  <si>
    <t>塑料管φ75</t>
  </si>
  <si>
    <t>φ600混凝土管安装（橡胶圈接口）</t>
  </si>
  <si>
    <t>P-357-8060</t>
  </si>
  <si>
    <t>适用范围：露天式铺设的泵站出水管，倒虹吸及其低压输水管。</t>
  </si>
  <si>
    <t>工作内容：测量、就位、接口胶圈安装、抹砂浆。</t>
  </si>
  <si>
    <t>钢筋混凝土管</t>
  </si>
  <si>
    <t>M5.0水泥砂浆</t>
  </si>
  <si>
    <t>橡胶止水圈</t>
  </si>
  <si>
    <t>卷扬机   3t</t>
  </si>
  <si>
    <t>电动葫芦  3t</t>
  </si>
  <si>
    <t>混凝土管（φ600）</t>
  </si>
  <si>
    <t>φ800混凝土管安装（橡胶圈接口）</t>
  </si>
  <si>
    <t>P-357-8061</t>
  </si>
  <si>
    <t>混凝土管（φ800）</t>
  </si>
  <si>
    <t>碎石路面（12cm）</t>
  </si>
  <si>
    <t>P-389-10017</t>
  </si>
  <si>
    <r>
      <rPr>
        <sz val="10"/>
        <rFont val="宋体"/>
        <charset val="134"/>
      </rPr>
      <t>1000m</t>
    </r>
    <r>
      <rPr>
        <vertAlign val="superscript"/>
        <sz val="10"/>
        <rFont val="宋体"/>
        <charset val="134"/>
      </rPr>
      <t>2</t>
    </r>
  </si>
  <si>
    <t>适用范围：公路面层。</t>
  </si>
  <si>
    <t>工作内容：铺筑路面全部工作。</t>
  </si>
  <si>
    <t>碎石</t>
  </si>
  <si>
    <t>粘土</t>
  </si>
  <si>
    <t>内燃压路机   12-15t</t>
  </si>
  <si>
    <t>水泥混凝土路面（18cm）</t>
  </si>
  <si>
    <t>P-389-10019</t>
  </si>
  <si>
    <t>自卸汽车 8t</t>
  </si>
  <si>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4</t>
    </r>
  </si>
  <si>
    <t>M5砂浆垫层（3cm厚）</t>
  </si>
  <si>
    <t>P-424-10223+10224</t>
  </si>
  <si>
    <t>适用范围：渠道衬砌板下垫层。</t>
  </si>
  <si>
    <t>工作内容：清理底层、调制砂浆、铺摊、抹平。</t>
  </si>
  <si>
    <t>砂浆搅拌机</t>
  </si>
  <si>
    <t>脚轮车运混凝土（运距：50m）</t>
  </si>
  <si>
    <t>P-200-4228</t>
  </si>
  <si>
    <t>工作内容：装、运、卸、清洗。</t>
  </si>
  <si>
    <t>泄槽运送混凝土（泄槽长：9m）</t>
  </si>
  <si>
    <t>工作内容：开、关料斗活门、扒料，冲洗料斗泄槽。</t>
  </si>
  <si>
    <t>塔式起重机吊运混凝土（吊高小于10m）</t>
  </si>
  <si>
    <t>P-202-4255</t>
  </si>
  <si>
    <t>适用范围：汽车运送混凝土</t>
  </si>
  <si>
    <t>工作内容：指挥、挂脱吊钩、吊运、卸料、清洗。</t>
  </si>
  <si>
    <t>混凝土吊罐</t>
  </si>
  <si>
    <t>建筑物细部结构工程</t>
  </si>
  <si>
    <r>
      <rPr>
        <sz val="10"/>
        <rFont val="宋体"/>
        <charset val="134"/>
      </rPr>
      <t>P-</t>
    </r>
    <r>
      <rPr>
        <sz val="10"/>
        <rFont val="宋体"/>
        <charset val="134"/>
      </rPr>
      <t>161</t>
    </r>
    <r>
      <rPr>
        <sz val="10"/>
        <rFont val="宋体"/>
        <charset val="134"/>
      </rPr>
      <t>-</t>
    </r>
    <r>
      <rPr>
        <sz val="10"/>
        <rFont val="宋体"/>
        <charset val="134"/>
      </rPr>
      <t>4081</t>
    </r>
  </si>
  <si>
    <t>适用范围：土石堰体防渗，边坡比为1：2。</t>
  </si>
  <si>
    <t>工作内容：场内运输，铺设，粘结，岸边底部连接。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</si>
  <si>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挖掘机装石渣汽车运输（运距：</t>
    </r>
    <r>
      <rPr>
        <sz val="10"/>
        <rFont val="宋体"/>
        <charset val="134"/>
      </rPr>
      <t>4</t>
    </r>
    <r>
      <rPr>
        <sz val="10"/>
        <rFont val="宋体"/>
        <charset val="134"/>
      </rPr>
      <t>～</t>
    </r>
    <r>
      <rPr>
        <sz val="10"/>
        <rFont val="宋体"/>
        <charset val="134"/>
      </rPr>
      <t>5</t>
    </r>
    <r>
      <rPr>
        <sz val="10"/>
        <rFont val="宋体"/>
        <charset val="134"/>
      </rPr>
      <t>km）</t>
    </r>
  </si>
  <si>
    <t>P-103-2421</t>
  </si>
  <si>
    <t>适用范围：露天作业，5t自卸汽车运输。</t>
  </si>
  <si>
    <t>工作内容：挖装、运输、卸除、空回。</t>
  </si>
  <si>
    <r>
      <rPr>
        <sz val="10"/>
        <rFont val="宋体"/>
        <charset val="134"/>
      </rPr>
      <t>挖掘机  液压1m</t>
    </r>
    <r>
      <rPr>
        <vertAlign val="superscript"/>
        <sz val="10"/>
        <rFont val="宋体"/>
        <charset val="134"/>
      </rPr>
      <t>3</t>
    </r>
  </si>
  <si>
    <r>
      <rPr>
        <sz val="10"/>
        <rFont val="宋体"/>
        <charset val="134"/>
      </rPr>
      <t>推土机7</t>
    </r>
    <r>
      <rPr>
        <sz val="10"/>
        <rFont val="宋体"/>
        <charset val="134"/>
      </rPr>
      <t>4</t>
    </r>
    <r>
      <rPr>
        <sz val="10"/>
        <rFont val="宋体"/>
        <charset val="134"/>
      </rPr>
      <t>kw</t>
    </r>
  </si>
  <si>
    <t>自卸汽车5t</t>
  </si>
  <si>
    <t>人工铺筑碎石垫层</t>
  </si>
  <si>
    <t>P-116-3007</t>
  </si>
  <si>
    <t>工作内容：修坡、压实。</t>
  </si>
  <si>
    <t>干砌石护坡（平面）</t>
  </si>
  <si>
    <r>
      <rPr>
        <sz val="10"/>
        <rFont val="宋体"/>
        <charset val="134"/>
      </rPr>
      <t>P-11</t>
    </r>
    <r>
      <rPr>
        <sz val="10"/>
        <rFont val="宋体"/>
        <charset val="134"/>
      </rPr>
      <t>7</t>
    </r>
    <r>
      <rPr>
        <sz val="10"/>
        <rFont val="宋体"/>
        <charset val="134"/>
      </rPr>
      <t>-30</t>
    </r>
    <r>
      <rPr>
        <sz val="10"/>
        <rFont val="宋体"/>
        <charset val="134"/>
      </rPr>
      <t>09</t>
    </r>
  </si>
  <si>
    <t>工作内容：选石、修石、砌筑、填缝、找平。</t>
  </si>
  <si>
    <t>干砌石护底</t>
  </si>
  <si>
    <r>
      <rPr>
        <sz val="10"/>
        <rFont val="宋体"/>
        <charset val="134"/>
      </rPr>
      <t>P-117</t>
    </r>
    <r>
      <rPr>
        <sz val="10"/>
        <rFont val="宋体"/>
        <charset val="134"/>
      </rPr>
      <t>-3011</t>
    </r>
  </si>
  <si>
    <t>干砌卵石护底</t>
  </si>
  <si>
    <t>M7.5浆砌石护坡（平）</t>
  </si>
  <si>
    <t>P-118-3017</t>
  </si>
  <si>
    <t>砂浆</t>
  </si>
  <si>
    <t>M7.5浆砌石护坡（曲）</t>
  </si>
  <si>
    <t>P-118-3018</t>
  </si>
  <si>
    <t>M7.5浆砌石护底</t>
  </si>
  <si>
    <t>P-118-3019</t>
  </si>
  <si>
    <t>M7.5浆砌石基础</t>
  </si>
  <si>
    <t>P-118-3020</t>
  </si>
  <si>
    <t>M7.5浆砌石墙</t>
  </si>
  <si>
    <t>P-118-3021</t>
  </si>
  <si>
    <t>M7.5水泥砂浆砌MU10机红砖</t>
  </si>
  <si>
    <t>P-124-3067</t>
  </si>
  <si>
    <r>
      <rPr>
        <sz val="10"/>
        <color indexed="8"/>
        <rFont val="宋体"/>
        <charset val="134"/>
      </rPr>
      <t>100m</t>
    </r>
    <r>
      <rPr>
        <vertAlign val="superscript"/>
        <sz val="10"/>
        <color indexed="8"/>
        <rFont val="宋体"/>
        <charset val="134"/>
      </rPr>
      <t>3</t>
    </r>
    <r>
      <rPr>
        <sz val="10"/>
        <color indexed="8"/>
        <rFont val="宋体"/>
        <charset val="134"/>
      </rPr>
      <t>砌体</t>
    </r>
  </si>
  <si>
    <t>工作内容：砂浆拌合、砌筑、清扫、勾缝、清理基础、支撑安装与拆除、搭拆简易脚手架、材料场内运输；墩墙。</t>
  </si>
  <si>
    <t>机砖</t>
  </si>
  <si>
    <t>千块</t>
  </si>
  <si>
    <t>风钻钻灌浆孔</t>
  </si>
  <si>
    <t>P-237-6008</t>
  </si>
  <si>
    <t>适用范围：露天作业，孔深小于8m固结灌浆孔、排水孔。</t>
  </si>
  <si>
    <t>工作内容：孔位转移、接拉风管、钻孔。</t>
  </si>
  <si>
    <t>合金钻头</t>
  </si>
  <si>
    <t>空心钢</t>
  </si>
  <si>
    <t>风钻</t>
  </si>
  <si>
    <t>铅丝笼块石护坡</t>
  </si>
  <si>
    <t>铅丝笼块石护坡（不计材料费）</t>
  </si>
  <si>
    <r>
      <rPr>
        <sz val="10"/>
        <rFont val="宋体"/>
        <charset val="134"/>
      </rPr>
      <t>P-</t>
    </r>
    <r>
      <rPr>
        <sz val="10"/>
        <rFont val="宋体"/>
        <charset val="134"/>
      </rPr>
      <t>36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20</t>
    </r>
    <r>
      <rPr>
        <sz val="10"/>
        <rFont val="宋体"/>
        <charset val="134"/>
      </rPr>
      <t>77</t>
    </r>
  </si>
  <si>
    <r>
      <rPr>
        <sz val="10"/>
        <rFont val="宋体"/>
        <charset val="134"/>
      </rPr>
      <t>100</t>
    </r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3</t>
    </r>
  </si>
  <si>
    <t>适用范围：渠、沟道护坡。</t>
  </si>
  <si>
    <t>工作内容：编笼网、置放、运石、装笼、封口及材料场内运输。</t>
  </si>
  <si>
    <r>
      <rPr>
        <sz val="10"/>
        <rFont val="宋体"/>
        <charset val="134"/>
      </rPr>
      <t>铅丝8</t>
    </r>
    <r>
      <rPr>
        <sz val="10"/>
        <rFont val="宋体"/>
        <charset val="134"/>
      </rPr>
      <t>#</t>
    </r>
  </si>
  <si>
    <r>
      <rPr>
        <sz val="10"/>
        <rFont val="宋体"/>
        <charset val="134"/>
      </rPr>
      <t>k</t>
    </r>
    <r>
      <rPr>
        <sz val="10"/>
        <rFont val="宋体"/>
        <charset val="134"/>
      </rPr>
      <t>g</t>
    </r>
  </si>
  <si>
    <t>铅丝笼块石基础</t>
  </si>
  <si>
    <t>P-373-9011</t>
  </si>
  <si>
    <t>适用范围：渠、沟道基础。</t>
  </si>
  <si>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2</t>
    </r>
  </si>
  <si>
    <t>铅丝笼块石护脚</t>
  </si>
  <si>
    <t>铅丝笼块石护脚（不计石材费）</t>
  </si>
  <si>
    <r>
      <rPr>
        <sz val="10"/>
        <rFont val="宋体"/>
        <charset val="134"/>
      </rPr>
      <t>P-374-901</t>
    </r>
    <r>
      <rPr>
        <sz val="10"/>
        <rFont val="宋体"/>
        <charset val="134"/>
      </rPr>
      <t>2</t>
    </r>
  </si>
  <si>
    <t>P-374-9012</t>
  </si>
  <si>
    <t>适用范围：河防工程</t>
  </si>
  <si>
    <t>工作内容：定位、装配格宾笼、抛投填块石于笼内、封口及材料场内运输。</t>
  </si>
  <si>
    <t>格宾</t>
  </si>
  <si>
    <t>铅丝8#</t>
  </si>
  <si>
    <t>散抛石护脚（不计石材费）</t>
  </si>
  <si>
    <t>不计块石材料费</t>
  </si>
  <si>
    <t>工作内容：人工装运卸、抛投、整平。</t>
  </si>
  <si>
    <t>液压岩石破碎机拆除混凝土</t>
  </si>
  <si>
    <t>P-417-10181</t>
  </si>
  <si>
    <r>
      <rPr>
        <sz val="10"/>
        <color indexed="8"/>
        <rFont val="宋体"/>
        <charset val="134"/>
      </rPr>
      <t>100m</t>
    </r>
    <r>
      <rPr>
        <vertAlign val="superscript"/>
        <sz val="10"/>
        <color indexed="8"/>
        <rFont val="宋体"/>
        <charset val="134"/>
      </rPr>
      <t>3</t>
    </r>
  </si>
  <si>
    <t>工作内容：破碎、解小、翻渣、清面。</t>
  </si>
  <si>
    <t>挖掘机拆除砌体（水泥浆砌石）</t>
  </si>
  <si>
    <t>P-418-10184</t>
  </si>
  <si>
    <t>工作内容：拆除、清理、堆放。</t>
  </si>
  <si>
    <t>挖掘机拆除干砌石</t>
  </si>
  <si>
    <t>P-418-10185</t>
  </si>
  <si>
    <t>渠道衬砌旧混凝土拆除（现浇板）</t>
  </si>
  <si>
    <t>P-419-10187</t>
  </si>
  <si>
    <t>工作内容：砸碎、推运、堆积、清理。</t>
  </si>
  <si>
    <r>
      <rPr>
        <sz val="10"/>
        <rFont val="宋体"/>
        <charset val="134"/>
      </rPr>
      <t>打夯机  1.0m</t>
    </r>
    <r>
      <rPr>
        <vertAlign val="superscript"/>
        <sz val="10"/>
        <rFont val="宋体"/>
        <charset val="134"/>
      </rPr>
      <t>3</t>
    </r>
  </si>
  <si>
    <t>渠道衬砌旧混凝土拆除（预制板）</t>
  </si>
  <si>
    <t>P-419-10188</t>
  </si>
  <si>
    <t>人工拆除砌体（浆砌混凝土预制块水泥砂浆）</t>
  </si>
  <si>
    <r>
      <rPr>
        <sz val="10"/>
        <color indexed="8"/>
        <rFont val="宋体"/>
        <charset val="134"/>
      </rPr>
      <t>P-419-1019</t>
    </r>
    <r>
      <rPr>
        <sz val="10"/>
        <color indexed="8"/>
        <rFont val="宋体"/>
        <charset val="134"/>
      </rPr>
      <t>0</t>
    </r>
  </si>
  <si>
    <t>人工拆除砌体（水泥浆砌石）</t>
  </si>
  <si>
    <t>P-419-10191</t>
  </si>
  <si>
    <t>土工膜（塑料薄膜）铺设（平铺）</t>
  </si>
  <si>
    <r>
      <rPr>
        <sz val="10"/>
        <rFont val="宋体"/>
        <charset val="134"/>
      </rPr>
      <t>P-4</t>
    </r>
    <r>
      <rPr>
        <sz val="10"/>
        <rFont val="宋体"/>
        <charset val="134"/>
      </rPr>
      <t>20</t>
    </r>
    <r>
      <rPr>
        <sz val="10"/>
        <rFont val="宋体"/>
        <charset val="134"/>
      </rPr>
      <t>-10195</t>
    </r>
  </si>
  <si>
    <t>适用范围：渠道、围堰、土坝防渗。</t>
  </si>
  <si>
    <t>工作内容：场内运输，铺设，搭接。</t>
  </si>
  <si>
    <t>塑料薄膜</t>
  </si>
  <si>
    <r>
      <rPr>
        <sz val="10"/>
        <rFont val="宋体"/>
        <charset val="134"/>
      </rPr>
      <t>土工布铺设200g/m</t>
    </r>
    <r>
      <rPr>
        <vertAlign val="superscript"/>
        <sz val="10"/>
        <rFont val="宋体"/>
        <charset val="134"/>
      </rPr>
      <t>2</t>
    </r>
    <r>
      <rPr>
        <sz val="10"/>
        <rFont val="宋体"/>
        <charset val="134"/>
      </rPr>
      <t>（平铺）</t>
    </r>
  </si>
  <si>
    <r>
      <rPr>
        <sz val="10"/>
        <rFont val="宋体"/>
        <charset val="134"/>
      </rPr>
      <t>P-420-10</t>
    </r>
    <r>
      <rPr>
        <sz val="10"/>
        <rFont val="宋体"/>
        <charset val="134"/>
      </rPr>
      <t>199</t>
    </r>
  </si>
  <si>
    <t>适用范围：土石坝、围堰的反滤层。</t>
  </si>
  <si>
    <t>工作内容：场内运输，铺设，接缝。</t>
  </si>
  <si>
    <r>
      <rPr>
        <sz val="10"/>
        <rFont val="宋体"/>
        <charset val="134"/>
      </rPr>
      <t>土工布200g/m</t>
    </r>
    <r>
      <rPr>
        <vertAlign val="superscript"/>
        <sz val="10"/>
        <rFont val="宋体"/>
        <charset val="134"/>
      </rPr>
      <t>2</t>
    </r>
  </si>
  <si>
    <r>
      <rPr>
        <sz val="10"/>
        <rFont val="宋体"/>
        <charset val="134"/>
      </rPr>
      <t>土工布铺设200g/m</t>
    </r>
    <r>
      <rPr>
        <vertAlign val="superscript"/>
        <sz val="10"/>
        <rFont val="宋体"/>
        <charset val="134"/>
      </rPr>
      <t>2</t>
    </r>
    <r>
      <rPr>
        <sz val="10"/>
        <rFont val="宋体"/>
        <charset val="134"/>
      </rPr>
      <t>（斜铺）</t>
    </r>
  </si>
  <si>
    <t>P-420-10200</t>
  </si>
  <si>
    <t>适用范围：土石坝、围堰的反滤层；边坡比为1：1.5。</t>
  </si>
  <si>
    <r>
      <rPr>
        <sz val="10"/>
        <rFont val="宋体"/>
        <charset val="134"/>
      </rPr>
      <t>无妨土工布2</t>
    </r>
    <r>
      <rPr>
        <sz val="10"/>
        <rFont val="宋体"/>
        <charset val="134"/>
      </rPr>
      <t>00g/m</t>
    </r>
    <r>
      <rPr>
        <vertAlign val="superscript"/>
        <sz val="10"/>
        <rFont val="宋体"/>
        <charset val="134"/>
      </rPr>
      <t>2</t>
    </r>
  </si>
  <si>
    <t>土工膜（塑料薄膜）铺设（斜铺）</t>
  </si>
  <si>
    <r>
      <rPr>
        <sz val="10"/>
        <rFont val="宋体"/>
        <charset val="134"/>
      </rPr>
      <t>P-4</t>
    </r>
    <r>
      <rPr>
        <sz val="10"/>
        <rFont val="宋体"/>
        <charset val="134"/>
      </rPr>
      <t>20</t>
    </r>
    <r>
      <rPr>
        <sz val="10"/>
        <rFont val="宋体"/>
        <charset val="134"/>
      </rPr>
      <t>-10196</t>
    </r>
  </si>
  <si>
    <t>适用范围：渠道、围堰、土坝防渗，边坡比为1：1.5。</t>
  </si>
  <si>
    <t>复合土工膜铺设150g/0.3mm（斜铺）</t>
  </si>
  <si>
    <r>
      <rPr>
        <sz val="10"/>
        <rFont val="宋体"/>
        <charset val="134"/>
      </rPr>
      <t>P-421</t>
    </r>
    <r>
      <rPr>
        <sz val="10"/>
        <rFont val="宋体"/>
        <charset val="134"/>
      </rPr>
      <t>-10</t>
    </r>
    <r>
      <rPr>
        <sz val="10"/>
        <rFont val="宋体"/>
        <charset val="134"/>
      </rPr>
      <t>204</t>
    </r>
  </si>
  <si>
    <t>适用范围：土石堰体防渗。</t>
  </si>
  <si>
    <t>复合土工膜（一布一膜）(150g/0.3mm</t>
  </si>
  <si>
    <t>工程胶</t>
  </si>
  <si>
    <t>土围堰</t>
  </si>
  <si>
    <t>P-385-10001</t>
  </si>
  <si>
    <r>
      <rPr>
        <sz val="10"/>
        <rFont val="宋体"/>
        <charset val="134"/>
      </rPr>
      <t>100m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堰体方</t>
    </r>
  </si>
  <si>
    <t>适用范围：Ⅰ～Ⅱ类土</t>
  </si>
  <si>
    <t>工作内容：填筑、平整堰体拆除等。</t>
  </si>
  <si>
    <t>土料</t>
  </si>
  <si>
    <t>编织袋围堰</t>
  </si>
  <si>
    <r>
      <rPr>
        <sz val="10"/>
        <rFont val="宋体"/>
        <charset val="134"/>
      </rPr>
      <t>P-385-1000</t>
    </r>
    <r>
      <rPr>
        <sz val="10"/>
        <rFont val="宋体"/>
        <charset val="134"/>
      </rPr>
      <t>5</t>
    </r>
  </si>
  <si>
    <t>工作内容：编织袋围堰：装土、封包、运输、堆筑、拆除、清理堰体。</t>
  </si>
  <si>
    <t>编织袋</t>
  </si>
  <si>
    <t>3:7灰土垫层</t>
  </si>
  <si>
    <t>P-425-10227</t>
  </si>
  <si>
    <r>
      <rPr>
        <sz val="10"/>
        <rFont val="宋体"/>
        <charset val="134"/>
      </rPr>
      <t>100m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实方</t>
    </r>
  </si>
  <si>
    <r>
      <rPr>
        <sz val="10"/>
        <rFont val="宋体"/>
        <charset val="134"/>
      </rPr>
      <t>适用范围：露天作业、面积20m</t>
    </r>
    <r>
      <rPr>
        <vertAlign val="superscript"/>
        <sz val="10"/>
        <rFont val="宋体"/>
        <charset val="134"/>
      </rPr>
      <t>2</t>
    </r>
    <r>
      <rPr>
        <sz val="10"/>
        <rFont val="宋体"/>
        <charset val="134"/>
      </rPr>
      <t>以上。</t>
    </r>
  </si>
  <si>
    <t>工作内容：。</t>
  </si>
  <si>
    <t>生石灰</t>
  </si>
  <si>
    <t>蛙式打夯机</t>
  </si>
  <si>
    <t>补充P34-JYB1601</t>
  </si>
  <si>
    <t>装载机  2.0m³</t>
  </si>
  <si>
    <t>机动翻斗车  1t</t>
  </si>
  <si>
    <t>单斗挖掘机 2m³</t>
  </si>
  <si>
    <t>补充P34-JYB1602</t>
  </si>
  <si>
    <t>补充P34-JYB1603</t>
  </si>
  <si>
    <t>补充P34-JYB1604</t>
  </si>
  <si>
    <t>M7.5浆砌石挡墙</t>
  </si>
  <si>
    <t>补充P34-JYB1605</t>
  </si>
  <si>
    <t>人工挖一般土方（Ⅰ～Ⅱ类土）</t>
  </si>
  <si>
    <t>P-7-1001</t>
  </si>
  <si>
    <t>适用范围：一般土方开挖（Ⅰ～Ⅱ类土）。</t>
  </si>
  <si>
    <t>工作内容：挖松、就近堆放。</t>
  </si>
  <si>
    <t>人工挖一般土方（Ⅲ类土）</t>
  </si>
  <si>
    <t>P-7-1002</t>
  </si>
  <si>
    <t>适用范围：一般土方开挖（Ⅲ类土）。</t>
  </si>
  <si>
    <t>人工挖倒沟槽土方（Ⅰ～Ⅱ类土）</t>
  </si>
  <si>
    <t>P-11-1032</t>
  </si>
  <si>
    <t>适用范围：一般土方挖排水沟、地沟、室内外沟槽（Ⅰ～Ⅱ类土）。</t>
  </si>
  <si>
    <t>工作内容：挖土、修底、抛土于槽边、修边。</t>
  </si>
  <si>
    <t>人工挖倒沟槽土方（Ⅲ类土）</t>
  </si>
  <si>
    <t>适用范围：一般土方挖排水沟、地沟、室内外沟槽（Ⅲ类土）。</t>
  </si>
  <si>
    <t>人工挖倒沟槽土方（3类土）</t>
  </si>
  <si>
    <t>P-11-1031</t>
  </si>
  <si>
    <t>适用范围：一般土方挖排水沟、地沟、室内外沟槽（3类土）。</t>
  </si>
  <si>
    <t>人工挖淤泥流砂（一般淤泥，运距：50m）</t>
  </si>
  <si>
    <t>P-16-1071</t>
  </si>
  <si>
    <t>适用范围：用泥兜、水桶挑抬运输（一般淤泥，运距：50m）。</t>
  </si>
  <si>
    <t>工作内容：挖、装、运、空回、洗刷工具。</t>
  </si>
  <si>
    <t>挖掘机挖土方（Ⅰ～Ⅱ类土）</t>
  </si>
  <si>
    <t>P-26-1144</t>
  </si>
  <si>
    <t>适用范围：露天作业（Ⅰ～Ⅱ类土）。</t>
  </si>
  <si>
    <t>工作内容：挖松、堆放。</t>
  </si>
  <si>
    <r>
      <rPr>
        <sz val="10"/>
        <rFont val="宋体"/>
        <charset val="134"/>
      </rPr>
      <t>单斗挖掘机 液压 1m</t>
    </r>
    <r>
      <rPr>
        <vertAlign val="superscript"/>
        <sz val="10"/>
        <rFont val="宋体"/>
        <charset val="134"/>
      </rPr>
      <t>3</t>
    </r>
  </si>
  <si>
    <r>
      <rPr>
        <sz val="10"/>
        <rFont val="宋体"/>
        <charset val="134"/>
      </rPr>
      <t>1m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挖掘机挖沟道淤泥</t>
    </r>
  </si>
  <si>
    <t>P-377-9019</t>
  </si>
  <si>
    <t>适用范围：沟岸挖土回旋半径10m以内。</t>
  </si>
  <si>
    <t>工作内容：挖掘、旋转、堆放、空回、移机、清斗。</t>
  </si>
  <si>
    <t>74kW推土机（推距：10m）（Ⅰ～Ⅱ类土）</t>
  </si>
  <si>
    <t>P-24-1128</t>
  </si>
  <si>
    <t>适用范围：土类级别Ⅰ～Ⅱ类土。</t>
  </si>
  <si>
    <t>工作内容：推松、运送、卸除、拖平、空回。</t>
  </si>
  <si>
    <t>P-24-1129</t>
  </si>
  <si>
    <t>P-24-1131</t>
  </si>
  <si>
    <r>
      <rPr>
        <sz val="10"/>
        <rFont val="宋体"/>
        <charset val="134"/>
      </rPr>
      <t>1m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挖掘机挖装土自卸汽车运输（运距：0.25～0.5km）</t>
    </r>
  </si>
  <si>
    <t>P-28-1159</t>
  </si>
  <si>
    <t>适用范围：3类土、露天作业，8t自卸汽车运输。</t>
  </si>
  <si>
    <r>
      <rPr>
        <sz val="10"/>
        <rFont val="宋体"/>
        <charset val="134"/>
      </rPr>
      <t>挖掘机  1m</t>
    </r>
    <r>
      <rPr>
        <vertAlign val="superscript"/>
        <sz val="10"/>
        <rFont val="宋体"/>
        <charset val="134"/>
      </rPr>
      <t>3</t>
    </r>
  </si>
  <si>
    <t>推土机 59kw</t>
  </si>
  <si>
    <r>
      <rPr>
        <sz val="10"/>
        <rFont val="宋体"/>
        <charset val="134"/>
      </rPr>
      <t>1m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挖掘机挖装土自卸汽车运输（运距1.5～2km）</t>
    </r>
  </si>
  <si>
    <r>
      <rPr>
        <sz val="10"/>
        <rFont val="宋体"/>
        <charset val="134"/>
      </rPr>
      <t>1m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挖掘机挖装土自卸汽车运输（运距2～3km）</t>
    </r>
  </si>
  <si>
    <r>
      <rPr>
        <sz val="10"/>
        <rFont val="宋体"/>
        <charset val="134"/>
      </rPr>
      <t>1m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挖掘机挖装土自卸汽车运输（运距4—5km）</t>
    </r>
  </si>
  <si>
    <r>
      <rPr>
        <sz val="10"/>
        <rFont val="宋体"/>
        <charset val="134"/>
      </rPr>
      <t>1m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挖掘机挖装土自卸汽车运输（运距8km）</t>
    </r>
  </si>
  <si>
    <t>原土碾压</t>
  </si>
  <si>
    <t>P-42-1255</t>
  </si>
  <si>
    <t>工作内容：原土碾压：平土碾压</t>
  </si>
  <si>
    <t>推土机 74kw</t>
  </si>
  <si>
    <t>人工平整场地</t>
  </si>
  <si>
    <r>
      <rPr>
        <sz val="10"/>
        <rFont val="宋体"/>
        <charset val="134"/>
      </rPr>
      <t>P-44</t>
    </r>
    <r>
      <rPr>
        <sz val="10"/>
        <rFont val="宋体"/>
        <charset val="134"/>
      </rPr>
      <t>-12</t>
    </r>
    <r>
      <rPr>
        <sz val="10"/>
        <rFont val="宋体"/>
        <charset val="134"/>
      </rPr>
      <t>73</t>
    </r>
  </si>
  <si>
    <t>拖拉机压实</t>
  </si>
  <si>
    <t>P-38-1225</t>
  </si>
  <si>
    <t>适用范围：坝体土料、砂石料、反滤料，履带拖拉机碾压。</t>
  </si>
  <si>
    <t>工作内容：推平、刨毛、压实、削坡、洒水、补边夯、辅助工作。</t>
  </si>
  <si>
    <t>蛙式打夯机  2.8kw</t>
  </si>
  <si>
    <t>人工修整边坡（挖方）</t>
  </si>
  <si>
    <t>P-43-1259</t>
  </si>
  <si>
    <t>适用范围：旧渠改造的挖方边坡。</t>
  </si>
  <si>
    <t>工作内容：挂线、拍平、修整。</t>
  </si>
  <si>
    <t>人工修整边坡（填方）</t>
  </si>
  <si>
    <t>适用范围：旧渠改造的填方边坡。</t>
  </si>
  <si>
    <t>建筑物回填土石（松填）</t>
  </si>
  <si>
    <t>P-40-1237</t>
  </si>
  <si>
    <t>工作内容：松填不夯实：包括5m以内取土（石渣）回填。</t>
  </si>
  <si>
    <t>建筑物回填土石（机夯）</t>
  </si>
  <si>
    <t>P-43-1238</t>
  </si>
  <si>
    <r>
      <rPr>
        <sz val="10"/>
        <rFont val="宋体"/>
        <charset val="134"/>
      </rPr>
      <t>工作内容：夯填土：包括5m以内取土、倒土、平土、洒水、夯实（干密度15.68KN/m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以下）。</t>
    </r>
  </si>
  <si>
    <t>人工装机动翻斗车运石渣（二次倒运）</t>
  </si>
  <si>
    <r>
      <rPr>
        <sz val="10"/>
        <rFont val="宋体"/>
        <charset val="134"/>
      </rPr>
      <t>P-</t>
    </r>
    <r>
      <rPr>
        <sz val="10"/>
        <rFont val="宋体"/>
        <charset val="134"/>
      </rPr>
      <t>99</t>
    </r>
    <r>
      <rPr>
        <sz val="10"/>
        <rFont val="宋体"/>
        <charset val="134"/>
      </rPr>
      <t>-</t>
    </r>
    <r>
      <rPr>
        <sz val="10"/>
        <rFont val="宋体"/>
        <charset val="134"/>
      </rPr>
      <t>2386</t>
    </r>
  </si>
  <si>
    <t>适用范围：露天作业。</t>
  </si>
  <si>
    <t>工作内容：撬移、解小、扒渣、清理、装运卸、空回。</t>
  </si>
  <si>
    <r>
      <rPr>
        <sz val="10"/>
        <rFont val="宋体"/>
        <charset val="134"/>
      </rPr>
      <t>机动翻斗车1</t>
    </r>
    <r>
      <rPr>
        <sz val="10"/>
        <rFont val="宋体"/>
        <charset val="134"/>
      </rPr>
      <t>t</t>
    </r>
  </si>
  <si>
    <t>砍小树</t>
  </si>
  <si>
    <t>P-423-10214</t>
  </si>
  <si>
    <t>格栅土枕</t>
  </si>
  <si>
    <t>借用</t>
  </si>
  <si>
    <t>工作内容：网包铺设、装土、封包、运输、装填堆筑、抛枕</t>
  </si>
  <si>
    <r>
      <rPr>
        <sz val="10"/>
        <rFont val="宋体"/>
        <charset val="134"/>
      </rPr>
      <t>吨袋（2m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）</t>
    </r>
  </si>
  <si>
    <t>条</t>
  </si>
  <si>
    <r>
      <rPr>
        <sz val="11"/>
        <rFont val="新宋体"/>
        <charset val="134"/>
      </rPr>
      <t>m</t>
    </r>
    <r>
      <rPr>
        <vertAlign val="superscript"/>
        <sz val="11"/>
        <rFont val="新宋体"/>
        <charset val="134"/>
      </rPr>
      <t>3</t>
    </r>
  </si>
  <si>
    <t>8#铅丝</t>
  </si>
  <si>
    <t>坡面修复（挖土运距100m）</t>
  </si>
  <si>
    <t>P-16-j1014</t>
  </si>
  <si>
    <r>
      <rPr>
        <sz val="10"/>
        <rFont val="宋体"/>
        <charset val="134"/>
      </rPr>
      <t>100m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压实方</t>
    </r>
  </si>
  <si>
    <t>适用范围：Ⅲ类土、一般土方、运输，露天作业。</t>
  </si>
  <si>
    <t>工作内容：清杂、夯实、加糙；人工挖装、胶轮车运土填沟；填土层夯实。</t>
  </si>
  <si>
    <r>
      <rPr>
        <sz val="10"/>
        <rFont val="宋体"/>
        <charset val="134"/>
      </rPr>
      <t>人工挖一般淤泥(</t>
    </r>
    <r>
      <rPr>
        <sz val="10"/>
        <rFont val="宋体"/>
        <charset val="134"/>
      </rPr>
      <t>1</t>
    </r>
    <r>
      <rPr>
        <sz val="10"/>
        <rFont val="宋体"/>
        <charset val="134"/>
      </rPr>
      <t>0m)</t>
    </r>
  </si>
  <si>
    <r>
      <rPr>
        <sz val="10"/>
        <rFont val="宋体"/>
        <charset val="134"/>
      </rPr>
      <t>P-18-</t>
    </r>
    <r>
      <rPr>
        <sz val="10"/>
        <rFont val="宋体"/>
        <charset val="134"/>
      </rPr>
      <t>j10</t>
    </r>
    <r>
      <rPr>
        <sz val="10"/>
        <rFont val="宋体"/>
        <charset val="134"/>
      </rPr>
      <t>27</t>
    </r>
  </si>
  <si>
    <t>适用范围：用泥兜、水桶挑台运输。</t>
  </si>
  <si>
    <t>工作内容：挖、装、运、空回、刷洗工具。</t>
  </si>
  <si>
    <r>
      <rPr>
        <sz val="10"/>
        <rFont val="宋体"/>
        <charset val="134"/>
      </rPr>
      <t>人工挖一般淤泥(4</t>
    </r>
    <r>
      <rPr>
        <sz val="10"/>
        <rFont val="宋体"/>
        <charset val="134"/>
      </rPr>
      <t>0m)</t>
    </r>
  </si>
  <si>
    <t>涵洞</t>
  </si>
  <si>
    <r>
      <rPr>
        <sz val="10"/>
        <rFont val="宋体"/>
        <charset val="134"/>
      </rPr>
      <t>P-18-</t>
    </r>
    <r>
      <rPr>
        <sz val="10"/>
        <rFont val="宋体"/>
        <charset val="134"/>
      </rPr>
      <t>j10</t>
    </r>
    <r>
      <rPr>
        <sz val="10"/>
        <rFont val="宋体"/>
        <charset val="134"/>
      </rPr>
      <t>30</t>
    </r>
  </si>
  <si>
    <t>人工挖装土机动翻斗车运输Ⅰ～Ⅱ类土(100m)</t>
  </si>
  <si>
    <r>
      <rPr>
        <sz val="10"/>
        <rFont val="宋体"/>
        <charset val="134"/>
      </rPr>
      <t>P-19</t>
    </r>
    <r>
      <rPr>
        <sz val="10"/>
        <rFont val="宋体"/>
        <charset val="134"/>
      </rPr>
      <t>-</t>
    </r>
    <r>
      <rPr>
        <sz val="10"/>
        <rFont val="宋体"/>
        <charset val="134"/>
      </rPr>
      <t>j10</t>
    </r>
    <r>
      <rPr>
        <sz val="10"/>
        <rFont val="宋体"/>
        <charset val="134"/>
      </rPr>
      <t>42</t>
    </r>
  </si>
  <si>
    <t>适用范围：Ⅰ-Ⅱ类土、一般土方、运输，露天作业。</t>
  </si>
  <si>
    <t>工作内容：装、运、卸、空回。</t>
  </si>
  <si>
    <r>
      <rPr>
        <sz val="10"/>
        <rFont val="宋体"/>
        <charset val="134"/>
      </rPr>
      <t xml:space="preserve">机动翻斗车 </t>
    </r>
    <r>
      <rPr>
        <sz val="10"/>
        <rFont val="宋体"/>
        <charset val="134"/>
      </rPr>
      <t>1t</t>
    </r>
  </si>
  <si>
    <t>挖掘机挖土方</t>
  </si>
  <si>
    <r>
      <rPr>
        <sz val="10"/>
        <rFont val="宋体"/>
        <charset val="134"/>
      </rPr>
      <t>P-2</t>
    </r>
    <r>
      <rPr>
        <sz val="10"/>
        <rFont val="宋体"/>
        <charset val="134"/>
      </rPr>
      <t>0</t>
    </r>
    <r>
      <rPr>
        <sz val="10"/>
        <rFont val="宋体"/>
        <charset val="134"/>
      </rPr>
      <t>-</t>
    </r>
    <r>
      <rPr>
        <sz val="10"/>
        <rFont val="宋体"/>
        <charset val="134"/>
      </rPr>
      <t>j10</t>
    </r>
    <r>
      <rPr>
        <sz val="10"/>
        <rFont val="宋体"/>
        <charset val="134"/>
      </rPr>
      <t>46</t>
    </r>
  </si>
  <si>
    <r>
      <rPr>
        <sz val="10"/>
        <rFont val="宋体"/>
        <charset val="134"/>
      </rPr>
      <t>油动挖掘机0.5m</t>
    </r>
    <r>
      <rPr>
        <vertAlign val="superscript"/>
        <sz val="10"/>
        <rFont val="宋体"/>
        <charset val="134"/>
      </rPr>
      <t>3</t>
    </r>
  </si>
  <si>
    <t>挖掘机挖土方（Ⅲ类土）</t>
  </si>
  <si>
    <t>P-20-j1047</t>
  </si>
  <si>
    <r>
      <rPr>
        <sz val="10"/>
        <rFont val="宋体"/>
        <charset val="134"/>
      </rPr>
      <t>挖掘机1.0m</t>
    </r>
    <r>
      <rPr>
        <vertAlign val="superscript"/>
        <sz val="10"/>
        <rFont val="宋体"/>
        <charset val="134"/>
      </rPr>
      <t>3</t>
    </r>
  </si>
  <si>
    <t>挖掘机挖淤泥流砂（Ⅳ类土）</t>
  </si>
  <si>
    <r>
      <rPr>
        <sz val="10"/>
        <rFont val="宋体"/>
        <charset val="134"/>
      </rPr>
      <t>P-20</t>
    </r>
    <r>
      <rPr>
        <sz val="10"/>
        <rFont val="宋体"/>
        <charset val="134"/>
      </rPr>
      <t>-</t>
    </r>
    <r>
      <rPr>
        <sz val="10"/>
        <rFont val="宋体"/>
        <charset val="134"/>
      </rPr>
      <t>j10</t>
    </r>
    <r>
      <rPr>
        <sz val="10"/>
        <rFont val="宋体"/>
        <charset val="134"/>
      </rPr>
      <t>49</t>
    </r>
  </si>
  <si>
    <t>适用范围：Ⅳ类土、淤泥开挖、运输，露天作业。</t>
  </si>
  <si>
    <t>s</t>
  </si>
  <si>
    <t>液压挖掘机1m3</t>
  </si>
  <si>
    <r>
      <rPr>
        <sz val="10"/>
        <rFont val="宋体"/>
        <charset val="134"/>
      </rPr>
      <t>0.5m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挖掘机挖装土自卸汽车运输（运距：0.25～0.5km）Ⅰ-Ⅱ类土</t>
    </r>
  </si>
  <si>
    <r>
      <rPr>
        <sz val="10"/>
        <rFont val="宋体"/>
        <charset val="134"/>
      </rPr>
      <t>P-21</t>
    </r>
    <r>
      <rPr>
        <sz val="10"/>
        <rFont val="宋体"/>
        <charset val="134"/>
      </rPr>
      <t>-</t>
    </r>
    <r>
      <rPr>
        <sz val="10"/>
        <rFont val="宋体"/>
        <charset val="134"/>
      </rPr>
      <t>j105</t>
    </r>
    <r>
      <rPr>
        <sz val="10"/>
        <rFont val="宋体"/>
        <charset val="134"/>
      </rPr>
      <t>1</t>
    </r>
  </si>
  <si>
    <t>1m3挖掘机装石渣自卸汽车运输（运距：0.5km内）</t>
  </si>
  <si>
    <t>适用范围：Ⅰ-Ⅱ类土、露天作业，3.5t自卸汽车运输。</t>
  </si>
  <si>
    <t>P-35-j2069</t>
  </si>
  <si>
    <t>推土机59kw</t>
  </si>
  <si>
    <r>
      <rPr>
        <sz val="10"/>
        <rFont val="宋体"/>
        <charset val="134"/>
      </rPr>
      <t>自卸汽车</t>
    </r>
    <r>
      <rPr>
        <sz val="10"/>
        <rFont val="宋体"/>
        <charset val="134"/>
      </rPr>
      <t>3.5</t>
    </r>
    <r>
      <rPr>
        <sz val="10"/>
        <rFont val="宋体"/>
        <charset val="134"/>
      </rPr>
      <t>t</t>
    </r>
  </si>
  <si>
    <r>
      <rPr>
        <sz val="10"/>
        <rFont val="宋体"/>
        <charset val="134"/>
      </rPr>
      <t>0.5m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挖掘机挖装土自卸汽车运输（运距：0.5～1km）Ⅰ-Ⅱ类土</t>
    </r>
  </si>
  <si>
    <r>
      <rPr>
        <sz val="10"/>
        <rFont val="宋体"/>
        <charset val="134"/>
      </rPr>
      <t>P-21</t>
    </r>
    <r>
      <rPr>
        <sz val="10"/>
        <rFont val="宋体"/>
        <charset val="134"/>
      </rPr>
      <t>-</t>
    </r>
    <r>
      <rPr>
        <sz val="10"/>
        <rFont val="宋体"/>
        <charset val="134"/>
      </rPr>
      <t>j1052</t>
    </r>
  </si>
  <si>
    <r>
      <rPr>
        <sz val="10"/>
        <rFont val="宋体"/>
        <charset val="134"/>
      </rPr>
      <t>0.5m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挖掘机挖装土自卸汽车运输（运距：1.5～2km）Ⅰ-Ⅱ类土</t>
    </r>
  </si>
  <si>
    <r>
      <rPr>
        <sz val="10"/>
        <rFont val="宋体"/>
        <charset val="134"/>
      </rPr>
      <t>0.5m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挖掘机挖装土自卸汽车运输（运距：2～3km）Ⅰ-Ⅱ类土</t>
    </r>
  </si>
  <si>
    <r>
      <rPr>
        <sz val="10"/>
        <rFont val="宋体"/>
        <charset val="134"/>
      </rPr>
      <t>P-21</t>
    </r>
    <r>
      <rPr>
        <sz val="10"/>
        <rFont val="宋体"/>
        <charset val="134"/>
      </rPr>
      <t>-</t>
    </r>
    <r>
      <rPr>
        <sz val="10"/>
        <rFont val="宋体"/>
        <charset val="134"/>
      </rPr>
      <t>j105</t>
    </r>
    <r>
      <rPr>
        <sz val="10"/>
        <rFont val="宋体"/>
        <charset val="134"/>
      </rPr>
      <t>5</t>
    </r>
  </si>
  <si>
    <r>
      <rPr>
        <sz val="10"/>
        <rFont val="宋体"/>
        <charset val="134"/>
      </rPr>
      <t>0.5m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挖掘机挖装土自卸汽车运输（运距：4～5km）Ⅰ-Ⅱ类土</t>
    </r>
  </si>
  <si>
    <r>
      <rPr>
        <sz val="10"/>
        <rFont val="宋体"/>
        <charset val="134"/>
      </rPr>
      <t>P-21</t>
    </r>
    <r>
      <rPr>
        <sz val="10"/>
        <rFont val="宋体"/>
        <charset val="134"/>
      </rPr>
      <t>-</t>
    </r>
    <r>
      <rPr>
        <sz val="10"/>
        <rFont val="宋体"/>
        <charset val="134"/>
      </rPr>
      <t>j105</t>
    </r>
    <r>
      <rPr>
        <sz val="10"/>
        <rFont val="宋体"/>
        <charset val="134"/>
      </rPr>
      <t>7</t>
    </r>
  </si>
  <si>
    <r>
      <rPr>
        <sz val="10"/>
        <rFont val="宋体"/>
        <charset val="134"/>
      </rPr>
      <t>0.5m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挖掘机挖装土自卸汽车运输（运距：8km）Ⅰ-Ⅱ类土</t>
    </r>
  </si>
  <si>
    <r>
      <rPr>
        <sz val="10"/>
        <rFont val="宋体"/>
        <charset val="134"/>
      </rPr>
      <t>P-21</t>
    </r>
    <r>
      <rPr>
        <sz val="10"/>
        <rFont val="宋体"/>
        <charset val="134"/>
      </rPr>
      <t>-</t>
    </r>
    <r>
      <rPr>
        <sz val="10"/>
        <rFont val="宋体"/>
        <charset val="134"/>
      </rPr>
      <t>j105</t>
    </r>
    <r>
      <rPr>
        <sz val="10"/>
        <rFont val="宋体"/>
        <charset val="134"/>
      </rPr>
      <t>8</t>
    </r>
  </si>
  <si>
    <r>
      <rPr>
        <sz val="10"/>
        <rFont val="宋体"/>
        <charset val="134"/>
      </rPr>
      <t>1m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挖掘机挖装土自卸汽车运输（运距：≤0.25km）Ⅰ-Ⅱ类土</t>
    </r>
  </si>
  <si>
    <t>P-22-j1059</t>
  </si>
  <si>
    <t>适用范围：Ⅰ-Ⅱ类土、露天作业，8t自卸汽车运输。</t>
  </si>
  <si>
    <r>
      <rPr>
        <sz val="10"/>
        <rFont val="宋体"/>
        <charset val="134"/>
      </rPr>
      <t>液压挖掘机1m</t>
    </r>
    <r>
      <rPr>
        <vertAlign val="superscript"/>
        <sz val="10"/>
        <rFont val="宋体"/>
        <charset val="134"/>
      </rPr>
      <t>3</t>
    </r>
  </si>
  <si>
    <r>
      <rPr>
        <sz val="10"/>
        <rFont val="宋体"/>
        <charset val="134"/>
      </rPr>
      <t>自卸汽车8</t>
    </r>
    <r>
      <rPr>
        <sz val="10"/>
        <rFont val="宋体"/>
        <charset val="134"/>
      </rPr>
      <t>t</t>
    </r>
  </si>
  <si>
    <r>
      <rPr>
        <sz val="10"/>
        <rFont val="宋体"/>
        <charset val="134"/>
      </rPr>
      <t>1m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挖掘机挖装土自卸汽车运输（运距：0.25～0.5km）Ⅰ-Ⅱ类土</t>
    </r>
  </si>
  <si>
    <r>
      <rPr>
        <sz val="10"/>
        <rFont val="宋体"/>
        <charset val="134"/>
      </rPr>
      <t>P-22</t>
    </r>
    <r>
      <rPr>
        <sz val="10"/>
        <rFont val="宋体"/>
        <charset val="134"/>
      </rPr>
      <t>-</t>
    </r>
    <r>
      <rPr>
        <sz val="10"/>
        <rFont val="宋体"/>
        <charset val="134"/>
      </rPr>
      <t>j106</t>
    </r>
    <r>
      <rPr>
        <sz val="10"/>
        <rFont val="宋体"/>
        <charset val="134"/>
      </rPr>
      <t>0</t>
    </r>
  </si>
  <si>
    <r>
      <rPr>
        <sz val="10"/>
        <rFont val="宋体"/>
        <charset val="134"/>
      </rPr>
      <t>1m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挖掘机挖装土自卸汽车运输（运距：0.5～1km）Ⅰ-Ⅱ类土</t>
    </r>
  </si>
  <si>
    <r>
      <rPr>
        <sz val="10"/>
        <rFont val="宋体"/>
        <charset val="134"/>
      </rPr>
      <t>P-22</t>
    </r>
    <r>
      <rPr>
        <sz val="10"/>
        <rFont val="宋体"/>
        <charset val="134"/>
      </rPr>
      <t>-</t>
    </r>
    <r>
      <rPr>
        <sz val="10"/>
        <rFont val="宋体"/>
        <charset val="134"/>
      </rPr>
      <t>j1061</t>
    </r>
  </si>
  <si>
    <r>
      <rPr>
        <sz val="10"/>
        <rFont val="宋体"/>
        <charset val="134"/>
      </rPr>
      <t>1m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挖掘机挖装土自卸汽车运输（运距：1.5～2km）Ⅰ-Ⅱ类土</t>
    </r>
  </si>
  <si>
    <t>P-22-j1063</t>
  </si>
  <si>
    <r>
      <rPr>
        <sz val="10"/>
        <rFont val="宋体"/>
        <charset val="134"/>
      </rPr>
      <t>1m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挖掘机挖装土自卸汽车运输（运距：2～3km）Ⅰ-Ⅱ类土</t>
    </r>
  </si>
  <si>
    <t>P-22-j1064</t>
  </si>
  <si>
    <r>
      <rPr>
        <sz val="10"/>
        <rFont val="宋体"/>
        <charset val="134"/>
      </rPr>
      <t>1m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挖掘机挖装土自卸汽车运输（运距：3～4km）Ⅰ-Ⅱ类土</t>
    </r>
  </si>
  <si>
    <t>P-22-j1065</t>
  </si>
  <si>
    <r>
      <rPr>
        <sz val="10"/>
        <rFont val="宋体"/>
        <charset val="134"/>
      </rPr>
      <t>1m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挖掘机挖装土自卸汽车运输（运距：4～5km）Ⅰ-Ⅱ类土</t>
    </r>
  </si>
  <si>
    <t>P-22-j1066</t>
  </si>
  <si>
    <r>
      <rPr>
        <sz val="10"/>
        <rFont val="宋体"/>
        <charset val="134"/>
      </rPr>
      <t>1m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挖掘机挖装土自卸汽车运输（运距：4～5km）Ⅲ类土</t>
    </r>
  </si>
  <si>
    <t>适用范围：Ⅲ类土、露天作业，8t自卸汽车运输。</t>
  </si>
  <si>
    <r>
      <rPr>
        <sz val="10"/>
        <rFont val="宋体"/>
        <charset val="134"/>
      </rPr>
      <t>1m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挖掘机挖装土自卸汽车运输（运距：6km）Ⅰ-Ⅱ类土</t>
    </r>
  </si>
  <si>
    <t>P-22-j1067</t>
  </si>
  <si>
    <r>
      <rPr>
        <sz val="10"/>
        <rFont val="宋体"/>
        <charset val="134"/>
      </rPr>
      <t>1m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挖掘机挖装土自卸汽车运输（运距：8km）Ⅰ-Ⅱ类土</t>
    </r>
  </si>
  <si>
    <r>
      <rPr>
        <sz val="10"/>
        <rFont val="宋体"/>
        <charset val="134"/>
      </rPr>
      <t>1m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挖掘机挖装土自卸汽车运输（运距：8km）Ⅲ类土</t>
    </r>
  </si>
  <si>
    <r>
      <rPr>
        <sz val="10"/>
        <rFont val="宋体"/>
        <charset val="134"/>
      </rPr>
      <t>1m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挖掘机挖装土自卸汽车运输（运距：10km）Ⅰ-Ⅱ类土</t>
    </r>
  </si>
  <si>
    <t>P-23-j1068</t>
  </si>
  <si>
    <t>抛毛机</t>
  </si>
  <si>
    <t>建筑物土方回填（松填不夯实）</t>
  </si>
  <si>
    <r>
      <rPr>
        <sz val="10"/>
        <rFont val="宋体"/>
        <charset val="134"/>
      </rPr>
      <t>P-24</t>
    </r>
    <r>
      <rPr>
        <sz val="10"/>
        <rFont val="宋体"/>
        <charset val="134"/>
      </rPr>
      <t>-</t>
    </r>
    <r>
      <rPr>
        <sz val="10"/>
        <rFont val="宋体"/>
        <charset val="134"/>
      </rPr>
      <t>j10</t>
    </r>
    <r>
      <rPr>
        <sz val="10"/>
        <rFont val="宋体"/>
        <charset val="134"/>
      </rPr>
      <t>75</t>
    </r>
  </si>
  <si>
    <t>建筑物土方回填（机夯）</t>
  </si>
  <si>
    <r>
      <rPr>
        <sz val="10"/>
        <rFont val="宋体"/>
        <charset val="134"/>
      </rPr>
      <t>P-24</t>
    </r>
    <r>
      <rPr>
        <sz val="10"/>
        <rFont val="宋体"/>
        <charset val="134"/>
      </rPr>
      <t>-</t>
    </r>
    <r>
      <rPr>
        <sz val="10"/>
        <rFont val="宋体"/>
        <charset val="134"/>
      </rPr>
      <t>j10</t>
    </r>
    <r>
      <rPr>
        <sz val="10"/>
        <rFont val="宋体"/>
        <charset val="134"/>
      </rPr>
      <t>80</t>
    </r>
  </si>
  <si>
    <t>闸桥墩清淤</t>
  </si>
  <si>
    <r>
      <rPr>
        <sz val="10"/>
        <rFont val="宋体"/>
        <charset val="134"/>
      </rPr>
      <t>P-25-j108</t>
    </r>
    <r>
      <rPr>
        <sz val="10"/>
        <rFont val="宋体"/>
        <charset val="134"/>
      </rPr>
      <t>1</t>
    </r>
  </si>
  <si>
    <t>工作内容：挖掘、吊移、堆放、空回、移机、清斗。</t>
  </si>
  <si>
    <r>
      <rPr>
        <sz val="10"/>
        <rFont val="宋体"/>
        <charset val="134"/>
      </rPr>
      <t>液压挖掘机  0.5m</t>
    </r>
    <r>
      <rPr>
        <vertAlign val="superscript"/>
        <sz val="10"/>
        <rFont val="宋体"/>
        <charset val="134"/>
      </rPr>
      <t>3</t>
    </r>
  </si>
  <si>
    <t>汽车起重机  16t</t>
  </si>
  <si>
    <t>建筑物打捞柴草</t>
  </si>
  <si>
    <t>P-25-j1083</t>
  </si>
  <si>
    <t>工作内容：清理柴草，抛至渠上1m外堆放。</t>
  </si>
  <si>
    <t>干砌块石护底维修</t>
  </si>
  <si>
    <r>
      <rPr>
        <sz val="10"/>
        <rFont val="宋体"/>
        <charset val="134"/>
      </rPr>
      <t>P-26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200</t>
    </r>
    <r>
      <rPr>
        <sz val="10"/>
        <rFont val="宋体"/>
        <charset val="134"/>
      </rPr>
      <t>2</t>
    </r>
  </si>
  <si>
    <t>工作内容：拆除损坏部分，边口整理、洗石、配拌砂浆、砌筑、养护、清理场地、材料运输等。</t>
  </si>
  <si>
    <t>干砌卵石护底维修</t>
  </si>
  <si>
    <t>M7.5浆砌块石护底维修</t>
  </si>
  <si>
    <r>
      <rPr>
        <sz val="10"/>
        <rFont val="宋体"/>
        <charset val="134"/>
      </rPr>
      <t>P-27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2006</t>
    </r>
  </si>
  <si>
    <t>水泥砂浆M7.5</t>
  </si>
  <si>
    <t>草袋</t>
  </si>
  <si>
    <t>只</t>
  </si>
  <si>
    <t>风镐凿子</t>
  </si>
  <si>
    <t>根</t>
  </si>
  <si>
    <t>风镐</t>
  </si>
  <si>
    <t>M7.5浆砌块石护坡维修</t>
  </si>
  <si>
    <r>
      <rPr>
        <sz val="10"/>
        <rFont val="宋体"/>
        <charset val="134"/>
      </rPr>
      <t>P-27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200</t>
    </r>
    <r>
      <rPr>
        <sz val="10"/>
        <rFont val="宋体"/>
        <charset val="134"/>
      </rPr>
      <t>8</t>
    </r>
  </si>
  <si>
    <t>M7.5浆砌块石护坡维修（块石现场转运）</t>
  </si>
  <si>
    <t>M7.5浆砌块石挡墙维修</t>
  </si>
  <si>
    <r>
      <rPr>
        <sz val="10"/>
        <rFont val="宋体"/>
        <charset val="134"/>
      </rPr>
      <t>P-27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20</t>
    </r>
    <r>
      <rPr>
        <sz val="10"/>
        <rFont val="宋体"/>
        <charset val="134"/>
      </rPr>
      <t>10</t>
    </r>
  </si>
  <si>
    <t>浆砌块石修补勾缝</t>
  </si>
  <si>
    <r>
      <rPr>
        <sz val="10"/>
        <rFont val="宋体"/>
        <charset val="134"/>
      </rPr>
      <t>P-2</t>
    </r>
    <r>
      <rPr>
        <sz val="10"/>
        <rFont val="宋体"/>
        <charset val="134"/>
      </rPr>
      <t>8-j</t>
    </r>
    <r>
      <rPr>
        <sz val="10"/>
        <rFont val="宋体"/>
        <charset val="134"/>
      </rPr>
      <t>201</t>
    </r>
    <r>
      <rPr>
        <sz val="10"/>
        <rFont val="宋体"/>
        <charset val="134"/>
      </rPr>
      <t>3</t>
    </r>
  </si>
  <si>
    <t>工作内容：清洗缝内垃圾、边缝修正、拌浆勾缝、湿治养护、材料场内运输、清理场地。</t>
  </si>
  <si>
    <t>水泥砂浆1:2</t>
  </si>
  <si>
    <t>人工拆除水泥砂浆浆砌石</t>
  </si>
  <si>
    <r>
      <rPr>
        <sz val="10"/>
        <rFont val="宋体"/>
        <charset val="134"/>
      </rPr>
      <t>P-29</t>
    </r>
    <r>
      <rPr>
        <sz val="10"/>
        <rFont val="宋体"/>
        <charset val="134"/>
      </rPr>
      <t>-j</t>
    </r>
    <r>
      <rPr>
        <sz val="10"/>
        <rFont val="宋体"/>
        <charset val="134"/>
      </rPr>
      <t>2019</t>
    </r>
  </si>
  <si>
    <t>适用范围：块、卵、条、料石及砖。</t>
  </si>
  <si>
    <t>挖掘机拆除浆砌石</t>
  </si>
  <si>
    <r>
      <rPr>
        <sz val="10"/>
        <rFont val="宋体"/>
        <charset val="134"/>
      </rPr>
      <t>P-29</t>
    </r>
    <r>
      <rPr>
        <sz val="10"/>
        <rFont val="宋体"/>
        <charset val="134"/>
      </rPr>
      <t>-j</t>
    </r>
    <r>
      <rPr>
        <sz val="10"/>
        <rFont val="宋体"/>
        <charset val="134"/>
      </rPr>
      <t>2023</t>
    </r>
  </si>
  <si>
    <r>
      <rPr>
        <sz val="10"/>
        <rFont val="宋体"/>
        <charset val="134"/>
      </rPr>
      <t xml:space="preserve">液压挖掘机  </t>
    </r>
    <r>
      <rPr>
        <sz val="10"/>
        <rFont val="宋体"/>
        <charset val="134"/>
      </rPr>
      <t>1</t>
    </r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3</t>
    </r>
  </si>
  <si>
    <t>人工铺筑砂砾石垫层</t>
  </si>
  <si>
    <r>
      <rPr>
        <sz val="10"/>
        <rFont val="宋体"/>
        <charset val="134"/>
      </rPr>
      <t>P-</t>
    </r>
    <r>
      <rPr>
        <sz val="10"/>
        <rFont val="宋体"/>
        <charset val="134"/>
      </rPr>
      <t>30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20</t>
    </r>
    <r>
      <rPr>
        <sz val="10"/>
        <rFont val="宋体"/>
        <charset val="134"/>
      </rPr>
      <t>28</t>
    </r>
  </si>
  <si>
    <t>人工铺筑反滤层</t>
  </si>
  <si>
    <r>
      <rPr>
        <sz val="10"/>
        <rFont val="宋体"/>
        <charset val="134"/>
      </rPr>
      <t>P-30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20</t>
    </r>
    <r>
      <rPr>
        <sz val="10"/>
        <rFont val="宋体"/>
        <charset val="134"/>
      </rPr>
      <t>2</t>
    </r>
    <r>
      <rPr>
        <sz val="10"/>
        <rFont val="宋体"/>
        <charset val="134"/>
      </rPr>
      <t>9</t>
    </r>
  </si>
  <si>
    <t>M10砌体砂浆抹面</t>
  </si>
  <si>
    <r>
      <rPr>
        <sz val="10"/>
        <rFont val="宋体"/>
        <charset val="134"/>
      </rPr>
      <t>P-31-</t>
    </r>
    <r>
      <rPr>
        <sz val="10"/>
        <rFont val="宋体"/>
        <charset val="134"/>
      </rPr>
      <t>j</t>
    </r>
    <r>
      <rPr>
        <sz val="10"/>
        <rFont val="宋体"/>
        <charset val="134"/>
      </rPr>
      <t>2031</t>
    </r>
  </si>
  <si>
    <t>工作内容：冲洗、抹灰、压光。</t>
  </si>
  <si>
    <r>
      <rPr>
        <sz val="10"/>
        <rFont val="宋体"/>
        <charset val="134"/>
      </rPr>
      <t>M</t>
    </r>
    <r>
      <rPr>
        <sz val="10"/>
        <rFont val="宋体"/>
        <charset val="134"/>
      </rPr>
      <t>10砂浆</t>
    </r>
  </si>
  <si>
    <t>搅拌机  0.4m3</t>
  </si>
  <si>
    <r>
      <rPr>
        <sz val="10"/>
        <rFont val="宋体"/>
        <charset val="134"/>
      </rPr>
      <t>P-</t>
    </r>
    <r>
      <rPr>
        <sz val="10"/>
        <rFont val="宋体"/>
        <charset val="134"/>
      </rPr>
      <t>35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2075</t>
    </r>
  </si>
  <si>
    <r>
      <rPr>
        <sz val="10"/>
        <rFont val="宋体"/>
        <charset val="134"/>
      </rPr>
      <t>自卸汽车</t>
    </r>
    <r>
      <rPr>
        <sz val="10"/>
        <rFont val="宋体"/>
        <charset val="134"/>
      </rPr>
      <t>5</t>
    </r>
    <r>
      <rPr>
        <sz val="10"/>
        <rFont val="宋体"/>
        <charset val="134"/>
      </rPr>
      <t>t</t>
    </r>
  </si>
  <si>
    <t>格宾卵石基础</t>
  </si>
  <si>
    <t>P-36-j2078调</t>
  </si>
  <si>
    <t>格宾卵石护脚</t>
  </si>
  <si>
    <t>P-37-j2079调</t>
  </si>
  <si>
    <r>
      <rPr>
        <sz val="10"/>
        <rFont val="宋体"/>
        <charset val="134"/>
      </rPr>
      <t>P-</t>
    </r>
    <r>
      <rPr>
        <sz val="10"/>
        <rFont val="宋体"/>
        <charset val="134"/>
      </rPr>
      <t>4</t>
    </r>
    <r>
      <rPr>
        <sz val="10"/>
        <rFont val="宋体"/>
        <charset val="134"/>
      </rPr>
      <t>2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3023</t>
    </r>
  </si>
  <si>
    <r>
      <rPr>
        <sz val="10"/>
        <rFont val="宋体"/>
        <charset val="134"/>
      </rPr>
      <t>液压挖掘机  0.6</t>
    </r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3</t>
    </r>
  </si>
  <si>
    <t>渠道预制衬砌板拆除(预制板）</t>
  </si>
  <si>
    <r>
      <rPr>
        <sz val="10"/>
        <rFont val="宋体"/>
        <charset val="134"/>
      </rPr>
      <t>P-4</t>
    </r>
    <r>
      <rPr>
        <sz val="10"/>
        <rFont val="宋体"/>
        <charset val="134"/>
      </rPr>
      <t>2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302</t>
    </r>
    <r>
      <rPr>
        <sz val="10"/>
        <rFont val="宋体"/>
        <charset val="134"/>
      </rPr>
      <t>5</t>
    </r>
  </si>
  <si>
    <r>
      <rPr>
        <sz val="10"/>
        <rFont val="宋体"/>
        <charset val="134"/>
      </rPr>
      <t>打夯机1</t>
    </r>
    <r>
      <rPr>
        <sz val="10"/>
        <rFont val="宋体"/>
        <charset val="134"/>
      </rPr>
      <t>.0m</t>
    </r>
    <r>
      <rPr>
        <vertAlign val="superscript"/>
        <sz val="10"/>
        <rFont val="宋体"/>
        <charset val="134"/>
      </rPr>
      <t>3</t>
    </r>
  </si>
  <si>
    <t>现浇C20混凝土渠道护坡修补</t>
  </si>
  <si>
    <r>
      <rPr>
        <sz val="10"/>
        <rFont val="宋体"/>
        <charset val="134"/>
      </rPr>
      <t>P-43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302</t>
    </r>
    <r>
      <rPr>
        <sz val="10"/>
        <rFont val="宋体"/>
        <charset val="134"/>
      </rPr>
      <t>6</t>
    </r>
  </si>
  <si>
    <t>工作内容：整修基面夯实，现浇混凝土护坡包括混凝土的配料、拌制、浇捣、养护。</t>
  </si>
  <si>
    <t>钢模支撑</t>
  </si>
  <si>
    <t>振动器  2.2kw</t>
  </si>
  <si>
    <t>机动翻斗车1t</t>
  </si>
  <si>
    <r>
      <rPr>
        <sz val="10"/>
        <rFont val="宋体"/>
        <charset val="134"/>
      </rPr>
      <t>现浇C2</t>
    </r>
    <r>
      <rPr>
        <sz val="10"/>
        <rFont val="宋体"/>
        <charset val="134"/>
      </rPr>
      <t>5</t>
    </r>
    <r>
      <rPr>
        <sz val="10"/>
        <rFont val="宋体"/>
        <charset val="134"/>
      </rPr>
      <t>混凝土渠道护坡修补</t>
    </r>
  </si>
  <si>
    <t>现浇C20混凝土渠道护底修补</t>
  </si>
  <si>
    <r>
      <rPr>
        <sz val="10"/>
        <rFont val="宋体"/>
        <charset val="134"/>
      </rPr>
      <t>P-4</t>
    </r>
    <r>
      <rPr>
        <sz val="10"/>
        <rFont val="宋体"/>
        <charset val="134"/>
      </rPr>
      <t>4-</t>
    </r>
    <r>
      <rPr>
        <sz val="10"/>
        <rFont val="宋体"/>
        <charset val="134"/>
      </rPr>
      <t>j</t>
    </r>
    <r>
      <rPr>
        <sz val="10"/>
        <rFont val="宋体"/>
        <charset val="134"/>
      </rPr>
      <t>3027</t>
    </r>
  </si>
  <si>
    <t>工作内容：基面整修、夯实，模板及支撑的制作、安装拆除、修整及配合浇筑，混凝土的配料、拌制、浇捣养护。</t>
  </si>
  <si>
    <t>原木二、三等</t>
  </si>
  <si>
    <t>零星卡具</t>
  </si>
  <si>
    <t>扣件</t>
  </si>
  <si>
    <t>马钉、卡钉、道钉</t>
  </si>
  <si>
    <t>园钉 综合</t>
  </si>
  <si>
    <r>
      <rPr>
        <sz val="10"/>
        <rFont val="宋体"/>
        <charset val="134"/>
      </rPr>
      <t>现浇C2</t>
    </r>
    <r>
      <rPr>
        <sz val="10"/>
        <rFont val="宋体"/>
        <charset val="134"/>
      </rPr>
      <t>5</t>
    </r>
    <r>
      <rPr>
        <sz val="10"/>
        <rFont val="宋体"/>
        <charset val="134"/>
      </rPr>
      <t>混凝土渠道护底修补</t>
    </r>
  </si>
  <si>
    <r>
      <rPr>
        <sz val="10"/>
        <rFont val="宋体"/>
        <charset val="134"/>
      </rPr>
      <t>P-44-</t>
    </r>
    <r>
      <rPr>
        <sz val="10"/>
        <rFont val="宋体"/>
        <charset val="134"/>
      </rPr>
      <t>j</t>
    </r>
    <r>
      <rPr>
        <sz val="10"/>
        <rFont val="宋体"/>
        <charset val="134"/>
      </rPr>
      <t>3027</t>
    </r>
  </si>
  <si>
    <r>
      <rPr>
        <sz val="10"/>
        <rFont val="宋体"/>
        <charset val="134"/>
      </rPr>
      <t>C2</t>
    </r>
    <r>
      <rPr>
        <sz val="10"/>
        <rFont val="宋体"/>
        <charset val="134"/>
      </rPr>
      <t>5混凝土</t>
    </r>
  </si>
  <si>
    <t>现浇C30混凝土渠道护底修补</t>
  </si>
  <si>
    <t>C30混凝土</t>
  </si>
  <si>
    <t>预制C20混凝土砌护板修补</t>
  </si>
  <si>
    <r>
      <rPr>
        <sz val="10"/>
        <rFont val="宋体"/>
        <charset val="134"/>
      </rPr>
      <t>P-4</t>
    </r>
    <r>
      <rPr>
        <sz val="10"/>
        <rFont val="宋体"/>
        <charset val="134"/>
      </rPr>
      <t>5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302</t>
    </r>
    <r>
      <rPr>
        <sz val="10"/>
        <rFont val="宋体"/>
        <charset val="134"/>
      </rPr>
      <t>8</t>
    </r>
  </si>
  <si>
    <t>工作内容：预制混凝土护坡包括预制块的模板制安、拆除、修理，混凝土及砂浆拌和、预制块及材料场内运输、浇筑、堆放、养护、预制块的浇筑、勾缝。</t>
  </si>
  <si>
    <t>定型钢模板</t>
  </si>
  <si>
    <t>铁件 经过交工的板、型钢</t>
  </si>
  <si>
    <t>砌筑预制C20混凝土砌护板修补</t>
  </si>
  <si>
    <r>
      <rPr>
        <sz val="10"/>
        <rFont val="宋体"/>
        <charset val="134"/>
      </rPr>
      <t>P-45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302</t>
    </r>
    <r>
      <rPr>
        <sz val="10"/>
        <rFont val="宋体"/>
        <charset val="134"/>
      </rPr>
      <t>9</t>
    </r>
  </si>
  <si>
    <t>预制混凝土块</t>
  </si>
  <si>
    <t>混凝土结构缺损修补（抹水泥砂浆修补）</t>
  </si>
  <si>
    <r>
      <rPr>
        <sz val="10"/>
        <rFont val="宋体"/>
        <charset val="134"/>
      </rPr>
      <t>P-4</t>
    </r>
    <r>
      <rPr>
        <sz val="10"/>
        <rFont val="宋体"/>
        <charset val="134"/>
      </rPr>
      <t>6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30</t>
    </r>
    <r>
      <rPr>
        <sz val="10"/>
        <rFont val="宋体"/>
        <charset val="134"/>
      </rPr>
      <t>30</t>
    </r>
  </si>
  <si>
    <t>工作内容：1、砂浆修补：去损、清理、洒水湿润、砂浆拌制、抹面等。</t>
  </si>
  <si>
    <r>
      <rPr>
        <sz val="10"/>
        <rFont val="宋体"/>
        <charset val="134"/>
      </rPr>
      <t>水泥砂浆1</t>
    </r>
    <r>
      <rPr>
        <sz val="10"/>
        <rFont val="宋体"/>
        <charset val="134"/>
      </rPr>
      <t>:2</t>
    </r>
  </si>
  <si>
    <t>载重汽车4t</t>
  </si>
  <si>
    <t>混凝土渗漏与裂缝处理</t>
  </si>
  <si>
    <r>
      <rPr>
        <sz val="10"/>
        <rFont val="宋体"/>
        <charset val="134"/>
      </rPr>
      <t>P-4</t>
    </r>
    <r>
      <rPr>
        <sz val="10"/>
        <rFont val="宋体"/>
        <charset val="134"/>
      </rPr>
      <t>8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30</t>
    </r>
    <r>
      <rPr>
        <sz val="10"/>
        <rFont val="宋体"/>
        <charset val="134"/>
      </rPr>
      <t>35</t>
    </r>
  </si>
  <si>
    <t>适用范围：混凝土裂缝。</t>
  </si>
  <si>
    <t>工作内容：裂缝清洗、嵌缝、配浆、封孔。</t>
  </si>
  <si>
    <t>环氧树脂</t>
  </si>
  <si>
    <t>糠醛</t>
  </si>
  <si>
    <t>无水乙二胺</t>
  </si>
  <si>
    <t>苯酚</t>
  </si>
  <si>
    <t>丙酮</t>
  </si>
  <si>
    <t>胶合剂501</t>
  </si>
  <si>
    <t>玻璃丝布</t>
  </si>
  <si>
    <t>紫铜管</t>
  </si>
  <si>
    <r>
      <rPr>
        <sz val="10"/>
        <rFont val="宋体"/>
        <charset val="134"/>
      </rPr>
      <t>m</t>
    </r>
  </si>
  <si>
    <t>氧气管</t>
  </si>
  <si>
    <r>
      <rPr>
        <sz val="8"/>
        <rFont val="宋体"/>
        <charset val="134"/>
      </rPr>
      <t>空压机电动移动式排气量3m</t>
    </r>
    <r>
      <rPr>
        <vertAlign val="superscript"/>
        <sz val="8"/>
        <rFont val="宋体"/>
        <charset val="134"/>
      </rPr>
      <t>3</t>
    </r>
    <r>
      <rPr>
        <sz val="8"/>
        <rFont val="宋体"/>
        <charset val="134"/>
      </rPr>
      <t>/分</t>
    </r>
  </si>
  <si>
    <t>风（砂）水枪耗风量2-6min</t>
  </si>
  <si>
    <t>渠道混凝土砌筑板板缝剔除</t>
  </si>
  <si>
    <r>
      <rPr>
        <sz val="10"/>
        <rFont val="宋体"/>
        <charset val="134"/>
      </rPr>
      <t>P-54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3054</t>
    </r>
  </si>
  <si>
    <t>工作内容：1、板缝剔除：清洗缝内垃圾、边缝修正、清理场地。</t>
  </si>
  <si>
    <t>细石混凝土</t>
  </si>
  <si>
    <t>渠道混凝土砌筑板板缝填筑</t>
  </si>
  <si>
    <t>伐树（40cm)</t>
  </si>
  <si>
    <t>P-56-j4002</t>
  </si>
  <si>
    <t>工作内容：1坎枝、截树头、截断，木料集中堆放。2、清理现场。</t>
  </si>
  <si>
    <t>挖树根（40cm)</t>
  </si>
  <si>
    <t>P-56-j4006</t>
  </si>
  <si>
    <t>工作内容：1、坎挖树根，木料集中堆放。2、回填树穴。3、清理现场。</t>
  </si>
  <si>
    <t>砍挖灌木丛（250cm)</t>
  </si>
  <si>
    <r>
      <rPr>
        <sz val="10"/>
        <rFont val="宋体"/>
        <charset val="134"/>
      </rPr>
      <t>P-57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4</t>
    </r>
    <r>
      <rPr>
        <sz val="10"/>
        <rFont val="宋体"/>
        <charset val="134"/>
      </rPr>
      <t>0</t>
    </r>
    <r>
      <rPr>
        <sz val="10"/>
        <rFont val="宋体"/>
        <charset val="134"/>
      </rPr>
      <t>12</t>
    </r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</si>
  <si>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00</t>
    </r>
    <r>
      <rPr>
        <sz val="10"/>
        <rFont val="宋体"/>
        <charset val="134"/>
      </rPr>
      <t>株</t>
    </r>
  </si>
  <si>
    <r>
      <rPr>
        <sz val="10"/>
        <rFont val="宋体"/>
        <charset val="134"/>
      </rPr>
      <t>起挖裸根乔木（1</t>
    </r>
    <r>
      <rPr>
        <sz val="10"/>
        <rFont val="宋体"/>
        <charset val="134"/>
      </rPr>
      <t>0</t>
    </r>
    <r>
      <rPr>
        <sz val="10"/>
        <rFont val="宋体"/>
        <charset val="134"/>
      </rPr>
      <t>cm)</t>
    </r>
  </si>
  <si>
    <r>
      <rPr>
        <sz val="10"/>
        <rFont val="宋体"/>
        <charset val="134"/>
      </rPr>
      <t>P-60-</t>
    </r>
    <r>
      <rPr>
        <sz val="10"/>
        <rFont val="宋体"/>
        <charset val="134"/>
      </rPr>
      <t>j</t>
    </r>
    <r>
      <rPr>
        <sz val="10"/>
        <rFont val="宋体"/>
        <charset val="134"/>
      </rPr>
      <t>4</t>
    </r>
    <r>
      <rPr>
        <sz val="10"/>
        <rFont val="宋体"/>
        <charset val="134"/>
      </rPr>
      <t>0</t>
    </r>
    <r>
      <rPr>
        <sz val="10"/>
        <rFont val="宋体"/>
        <charset val="134"/>
      </rPr>
      <t>37</t>
    </r>
  </si>
  <si>
    <r>
      <rPr>
        <sz val="10"/>
        <rFont val="宋体"/>
        <charset val="134"/>
      </rPr>
      <t>栽植带土球乔木（土球直径4</t>
    </r>
    <r>
      <rPr>
        <sz val="10"/>
        <rFont val="宋体"/>
        <charset val="134"/>
      </rPr>
      <t>0cm)</t>
    </r>
  </si>
  <si>
    <r>
      <rPr>
        <sz val="10"/>
        <rFont val="宋体"/>
        <charset val="134"/>
      </rPr>
      <t>P-59-</t>
    </r>
    <r>
      <rPr>
        <sz val="10"/>
        <rFont val="宋体"/>
        <charset val="134"/>
      </rPr>
      <t>j</t>
    </r>
    <r>
      <rPr>
        <sz val="10"/>
        <rFont val="宋体"/>
        <charset val="134"/>
      </rPr>
      <t>4</t>
    </r>
    <r>
      <rPr>
        <sz val="10"/>
        <rFont val="宋体"/>
        <charset val="134"/>
      </rPr>
      <t>026</t>
    </r>
  </si>
  <si>
    <t>工作内容：挖坑、栽植（落坑、扶正、回填土、捣实、筑水围）浇水、覆土、保墒、整形、清理。</t>
  </si>
  <si>
    <t>肥料</t>
  </si>
  <si>
    <t>绿化用水</t>
  </si>
  <si>
    <t>栽植裸根乔木（胸径10cm)</t>
  </si>
  <si>
    <r>
      <rPr>
        <sz val="10"/>
        <rFont val="宋体"/>
        <charset val="134"/>
      </rPr>
      <t>P-61-</t>
    </r>
    <r>
      <rPr>
        <sz val="10"/>
        <rFont val="宋体"/>
        <charset val="134"/>
      </rPr>
      <t>j</t>
    </r>
    <r>
      <rPr>
        <sz val="10"/>
        <rFont val="宋体"/>
        <charset val="134"/>
      </rPr>
      <t>4</t>
    </r>
    <r>
      <rPr>
        <sz val="10"/>
        <rFont val="宋体"/>
        <charset val="134"/>
      </rPr>
      <t>045</t>
    </r>
  </si>
  <si>
    <t>乔木一级养护（常绿乔木树高500cm)</t>
  </si>
  <si>
    <r>
      <rPr>
        <sz val="10"/>
        <rFont val="宋体"/>
        <charset val="134"/>
      </rPr>
      <t>P-</t>
    </r>
    <r>
      <rPr>
        <sz val="10"/>
        <rFont val="宋体"/>
        <charset val="134"/>
      </rPr>
      <t>67-</t>
    </r>
    <r>
      <rPr>
        <sz val="10"/>
        <rFont val="宋体"/>
        <charset val="134"/>
      </rPr>
      <t>j</t>
    </r>
    <r>
      <rPr>
        <sz val="10"/>
        <rFont val="宋体"/>
        <charset val="134"/>
      </rPr>
      <t>4105</t>
    </r>
  </si>
  <si>
    <t>工作内容：修剪整形、清理死树、钩枯枝、浇水施肥、防止病虫害、整地除草、排积水等。</t>
  </si>
  <si>
    <t>药剂</t>
  </si>
  <si>
    <t>喷药杀虫车1.5t</t>
  </si>
  <si>
    <t>乔木一级养护（落叶乔木胸径10cm)</t>
  </si>
  <si>
    <r>
      <rPr>
        <sz val="10"/>
        <rFont val="宋体"/>
        <charset val="134"/>
      </rPr>
      <t>P-67-</t>
    </r>
    <r>
      <rPr>
        <sz val="10"/>
        <rFont val="宋体"/>
        <charset val="134"/>
      </rPr>
      <t>j</t>
    </r>
    <r>
      <rPr>
        <sz val="10"/>
        <rFont val="宋体"/>
        <charset val="134"/>
      </rPr>
      <t>4110</t>
    </r>
  </si>
  <si>
    <t>涂剂（刷白）</t>
  </si>
  <si>
    <t>乔木养护（落叶乔木胸径10cm)</t>
  </si>
  <si>
    <t>修剪树木（20cm)</t>
  </si>
  <si>
    <r>
      <rPr>
        <sz val="10"/>
        <rFont val="宋体"/>
        <charset val="134"/>
      </rPr>
      <t>P-7</t>
    </r>
    <r>
      <rPr>
        <sz val="10"/>
        <rFont val="宋体"/>
        <charset val="134"/>
      </rPr>
      <t>0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4130</t>
    </r>
  </si>
  <si>
    <t>工作内容：修剪、整理、装卸运输、地勤安全、清理场地。</t>
  </si>
  <si>
    <t>树木涂白（落叶乔木胸径20cm)</t>
  </si>
  <si>
    <r>
      <rPr>
        <sz val="10"/>
        <rFont val="宋体"/>
        <charset val="134"/>
      </rPr>
      <t>P-</t>
    </r>
    <r>
      <rPr>
        <sz val="10"/>
        <rFont val="宋体"/>
        <charset val="134"/>
      </rPr>
      <t>71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41</t>
    </r>
    <r>
      <rPr>
        <sz val="10"/>
        <rFont val="宋体"/>
        <charset val="134"/>
      </rPr>
      <t>41</t>
    </r>
  </si>
  <si>
    <t>工作内容：整形、清理、涂白等。</t>
  </si>
  <si>
    <t>屋面拆除（铲除卷材防水层）</t>
  </si>
  <si>
    <r>
      <rPr>
        <sz val="10"/>
        <rFont val="宋体"/>
        <charset val="134"/>
      </rPr>
      <t>P-8</t>
    </r>
    <r>
      <rPr>
        <sz val="10"/>
        <rFont val="宋体"/>
        <charset val="134"/>
      </rPr>
      <t>2-</t>
    </r>
    <r>
      <rPr>
        <sz val="10"/>
        <rFont val="宋体"/>
        <charset val="134"/>
      </rPr>
      <t>j</t>
    </r>
    <r>
      <rPr>
        <sz val="10"/>
        <rFont val="宋体"/>
        <charset val="134"/>
      </rPr>
      <t>50</t>
    </r>
    <r>
      <rPr>
        <sz val="10"/>
        <rFont val="宋体"/>
        <charset val="134"/>
      </rPr>
      <t>64</t>
    </r>
  </si>
  <si>
    <r>
      <rPr>
        <sz val="10"/>
        <rFont val="宋体"/>
        <charset val="134"/>
      </rPr>
      <t>100</t>
    </r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2</t>
    </r>
  </si>
  <si>
    <t>工作内容：门窗扇拆除。</t>
  </si>
  <si>
    <t>屋面排水拆除（塑料水落管）</t>
  </si>
  <si>
    <r>
      <rPr>
        <sz val="10"/>
        <rFont val="宋体"/>
        <charset val="134"/>
      </rPr>
      <t>P-83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50</t>
    </r>
    <r>
      <rPr>
        <sz val="10"/>
        <rFont val="宋体"/>
        <charset val="134"/>
      </rPr>
      <t>67</t>
    </r>
  </si>
  <si>
    <r>
      <rPr>
        <sz val="10"/>
        <rFont val="宋体"/>
        <charset val="134"/>
      </rPr>
      <t>100</t>
    </r>
    <r>
      <rPr>
        <sz val="10"/>
        <rFont val="宋体"/>
        <charset val="134"/>
      </rPr>
      <t>m</t>
    </r>
  </si>
  <si>
    <t>工作内容：将拆下的各种材料运至指定地点，堆放整齐，并将现场清理干净。</t>
  </si>
  <si>
    <t>门扇拆除</t>
  </si>
  <si>
    <r>
      <rPr>
        <sz val="10"/>
        <rFont val="宋体"/>
        <charset val="134"/>
      </rPr>
      <t>P-</t>
    </r>
    <r>
      <rPr>
        <sz val="10"/>
        <rFont val="宋体"/>
        <charset val="134"/>
      </rPr>
      <t>83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5072</t>
    </r>
  </si>
  <si>
    <t>门窗拆除</t>
  </si>
  <si>
    <t>门窗换玻璃(平板玻璃5mm)</t>
  </si>
  <si>
    <r>
      <rPr>
        <sz val="10"/>
        <rFont val="宋体"/>
        <charset val="134"/>
      </rPr>
      <t>P-</t>
    </r>
    <r>
      <rPr>
        <sz val="10"/>
        <rFont val="宋体"/>
        <charset val="134"/>
      </rPr>
      <t>8</t>
    </r>
    <r>
      <rPr>
        <sz val="10"/>
        <rFont val="宋体"/>
        <charset val="134"/>
      </rPr>
      <t>4</t>
    </r>
    <r>
      <rPr>
        <sz val="10"/>
        <rFont val="宋体"/>
        <charset val="134"/>
      </rPr>
      <t>-j</t>
    </r>
    <r>
      <rPr>
        <sz val="10"/>
        <rFont val="宋体"/>
        <charset val="134"/>
      </rPr>
      <t>5</t>
    </r>
    <r>
      <rPr>
        <sz val="10"/>
        <rFont val="宋体"/>
        <charset val="134"/>
      </rPr>
      <t>075</t>
    </r>
  </si>
  <si>
    <r>
      <rPr>
        <sz val="10"/>
        <rFont val="宋体"/>
        <charset val="134"/>
      </rPr>
      <t>工作内容：铝合金门窗项目包括，丈量尺寸、清理槽口、复调油灰、裁安玻璃、塞垫胶条、打胶、钉压条等全部工作</t>
    </r>
    <r>
      <rPr>
        <sz val="10"/>
        <rFont val="宋体"/>
        <charset val="134"/>
      </rPr>
      <t>。</t>
    </r>
  </si>
  <si>
    <t>平板玻璃5mm</t>
  </si>
  <si>
    <t>橡胶密封条</t>
  </si>
  <si>
    <t>橡胶条</t>
  </si>
  <si>
    <r>
      <rPr>
        <sz val="10"/>
        <rFont val="宋体"/>
        <charset val="134"/>
      </rPr>
      <t>门窗换玻璃(中空玻璃</t>
    </r>
    <r>
      <rPr>
        <sz val="10"/>
        <rFont val="宋体"/>
        <charset val="134"/>
      </rPr>
      <t>6+12A+6)</t>
    </r>
  </si>
  <si>
    <r>
      <rPr>
        <sz val="10"/>
        <rFont val="宋体"/>
        <charset val="134"/>
      </rPr>
      <t>中空玻璃6</t>
    </r>
    <r>
      <rPr>
        <sz val="10"/>
        <rFont val="宋体"/>
        <charset val="134"/>
      </rPr>
      <t>+12A+6</t>
    </r>
  </si>
  <si>
    <t>修补屋面及防水工程（建筑油膏）</t>
  </si>
  <si>
    <r>
      <rPr>
        <sz val="10"/>
        <rFont val="宋体"/>
        <charset val="134"/>
      </rPr>
      <t>P-8</t>
    </r>
    <r>
      <rPr>
        <sz val="10"/>
        <rFont val="宋体"/>
        <charset val="134"/>
      </rPr>
      <t>7</t>
    </r>
    <r>
      <rPr>
        <sz val="10"/>
        <rFont val="宋体"/>
        <charset val="134"/>
      </rPr>
      <t>-j</t>
    </r>
    <r>
      <rPr>
        <sz val="10"/>
        <rFont val="宋体"/>
        <charset val="134"/>
      </rPr>
      <t>5</t>
    </r>
    <r>
      <rPr>
        <sz val="10"/>
        <rFont val="宋体"/>
        <charset val="134"/>
      </rPr>
      <t>0</t>
    </r>
    <r>
      <rPr>
        <sz val="10"/>
        <rFont val="宋体"/>
        <charset val="134"/>
      </rPr>
      <t>88</t>
    </r>
  </si>
  <si>
    <t>工作内容：拆除清理修补破损部位的防水层、基层等全部操作过程。</t>
  </si>
  <si>
    <t>建筑油膏</t>
  </si>
  <si>
    <t>附属设施（调换测量水尺）</t>
  </si>
  <si>
    <r>
      <rPr>
        <sz val="10"/>
        <rFont val="宋体"/>
        <charset val="134"/>
      </rPr>
      <t>P-</t>
    </r>
    <r>
      <rPr>
        <sz val="10"/>
        <rFont val="宋体"/>
        <charset val="134"/>
      </rPr>
      <t>93</t>
    </r>
    <r>
      <rPr>
        <sz val="10"/>
        <rFont val="宋体"/>
        <charset val="134"/>
      </rPr>
      <t>-j</t>
    </r>
    <r>
      <rPr>
        <sz val="10"/>
        <rFont val="宋体"/>
        <charset val="134"/>
      </rPr>
      <t>5</t>
    </r>
    <r>
      <rPr>
        <sz val="10"/>
        <rFont val="宋体"/>
        <charset val="134"/>
      </rPr>
      <t>110</t>
    </r>
  </si>
  <si>
    <t>工作内容：1、搪瓷水尺调换：拆除旧水尺、调换安装新水尺。</t>
  </si>
  <si>
    <t>成材</t>
  </si>
  <si>
    <t>水柏油</t>
  </si>
  <si>
    <t>搪瓷水尺</t>
  </si>
  <si>
    <r>
      <rPr>
        <sz val="10"/>
        <rFont val="宋体"/>
        <charset val="134"/>
      </rPr>
      <t>P-94</t>
    </r>
    <r>
      <rPr>
        <sz val="10"/>
        <rFont val="宋体"/>
        <charset val="134"/>
      </rPr>
      <t>-j</t>
    </r>
    <r>
      <rPr>
        <sz val="10"/>
        <rFont val="宋体"/>
        <charset val="134"/>
      </rPr>
      <t>5117</t>
    </r>
  </si>
  <si>
    <r>
      <rPr>
        <sz val="10"/>
        <rFont val="宋体"/>
        <charset val="134"/>
      </rPr>
      <t>工作内容：编织袋围堰：装土、封包、运输、堆筑、拆除、清理堰体（5</t>
    </r>
    <r>
      <rPr>
        <sz val="10"/>
        <rFont val="宋体"/>
        <charset val="134"/>
      </rPr>
      <t>0m)</t>
    </r>
    <r>
      <rPr>
        <sz val="10"/>
        <rFont val="宋体"/>
        <charset val="134"/>
      </rPr>
      <t>。</t>
    </r>
  </si>
  <si>
    <t>螺杆启闭机养护（启闭力手动3t)</t>
  </si>
  <si>
    <r>
      <rPr>
        <sz val="10"/>
        <rFont val="宋体"/>
        <charset val="134"/>
      </rPr>
      <t>P-293</t>
    </r>
    <r>
      <rPr>
        <sz val="10"/>
        <rFont val="宋体"/>
        <charset val="134"/>
      </rPr>
      <t>-</t>
    </r>
    <r>
      <rPr>
        <sz val="10"/>
        <rFont val="宋体"/>
        <charset val="134"/>
      </rPr>
      <t>s6003</t>
    </r>
  </si>
  <si>
    <t>防锈漆</t>
  </si>
  <si>
    <t>调和漆</t>
  </si>
  <si>
    <t>齿轮油</t>
  </si>
  <si>
    <t>黄油</t>
  </si>
  <si>
    <t>钢丝刷</t>
  </si>
  <si>
    <t>棉纱</t>
  </si>
  <si>
    <t>螺杆启闭机养护（启闭力手动5t)</t>
  </si>
  <si>
    <r>
      <rPr>
        <sz val="10"/>
        <rFont val="宋体"/>
        <charset val="134"/>
      </rPr>
      <t>P-293</t>
    </r>
    <r>
      <rPr>
        <sz val="10"/>
        <rFont val="宋体"/>
        <charset val="134"/>
      </rPr>
      <t>-</t>
    </r>
    <r>
      <rPr>
        <sz val="10"/>
        <rFont val="宋体"/>
        <charset val="134"/>
      </rPr>
      <t>s6006</t>
    </r>
  </si>
  <si>
    <t>螺杆启闭机养护（启闭力5t)</t>
  </si>
  <si>
    <r>
      <rPr>
        <sz val="10"/>
        <rFont val="宋体"/>
        <charset val="134"/>
      </rPr>
      <t>P-295</t>
    </r>
    <r>
      <rPr>
        <sz val="10"/>
        <rFont val="宋体"/>
        <charset val="134"/>
      </rPr>
      <t>-</t>
    </r>
    <r>
      <rPr>
        <sz val="10"/>
        <rFont val="宋体"/>
        <charset val="134"/>
      </rPr>
      <t>s6012</t>
    </r>
  </si>
  <si>
    <t>螺杆启闭机养护（启闭力2×10t)</t>
  </si>
  <si>
    <r>
      <rPr>
        <sz val="10"/>
        <rFont val="宋体"/>
        <charset val="134"/>
      </rPr>
      <t>P-297</t>
    </r>
    <r>
      <rPr>
        <sz val="10"/>
        <rFont val="宋体"/>
        <charset val="134"/>
      </rPr>
      <t>-</t>
    </r>
    <r>
      <rPr>
        <sz val="10"/>
        <rFont val="宋体"/>
        <charset val="134"/>
      </rPr>
      <t>s601</t>
    </r>
    <r>
      <rPr>
        <sz val="10"/>
        <rFont val="宋体"/>
        <charset val="134"/>
      </rPr>
      <t>5</t>
    </r>
  </si>
  <si>
    <t>螺杆启闭机养护（启闭力10t)</t>
  </si>
  <si>
    <r>
      <rPr>
        <sz val="10"/>
        <rFont val="宋体"/>
        <charset val="134"/>
      </rPr>
      <t>P-297</t>
    </r>
    <r>
      <rPr>
        <sz val="10"/>
        <rFont val="宋体"/>
        <charset val="134"/>
      </rPr>
      <t>-</t>
    </r>
    <r>
      <rPr>
        <sz val="10"/>
        <rFont val="宋体"/>
        <charset val="134"/>
      </rPr>
      <t>s6018</t>
    </r>
  </si>
  <si>
    <r>
      <rPr>
        <sz val="10"/>
        <rFont val="宋体"/>
        <charset val="134"/>
      </rPr>
      <t>螺杆启闭机养护（启闭力2×1</t>
    </r>
    <r>
      <rPr>
        <sz val="10"/>
        <rFont val="宋体"/>
        <charset val="134"/>
      </rPr>
      <t>5</t>
    </r>
    <r>
      <rPr>
        <sz val="10"/>
        <rFont val="宋体"/>
        <charset val="134"/>
      </rPr>
      <t>t)</t>
    </r>
  </si>
  <si>
    <r>
      <rPr>
        <sz val="10"/>
        <rFont val="宋体"/>
        <charset val="134"/>
      </rPr>
      <t>P-299</t>
    </r>
    <r>
      <rPr>
        <sz val="10"/>
        <rFont val="宋体"/>
        <charset val="134"/>
      </rPr>
      <t>-</t>
    </r>
    <r>
      <rPr>
        <sz val="10"/>
        <rFont val="宋体"/>
        <charset val="134"/>
      </rPr>
      <t>s60</t>
    </r>
    <r>
      <rPr>
        <sz val="10"/>
        <rFont val="宋体"/>
        <charset val="134"/>
      </rPr>
      <t>2</t>
    </r>
    <r>
      <rPr>
        <sz val="10"/>
        <rFont val="宋体"/>
        <charset val="134"/>
      </rPr>
      <t>1</t>
    </r>
  </si>
  <si>
    <r>
      <rPr>
        <sz val="10"/>
        <rFont val="宋体"/>
        <charset val="134"/>
      </rPr>
      <t>螺杆启闭机养护（启闭力1</t>
    </r>
    <r>
      <rPr>
        <sz val="10"/>
        <rFont val="宋体"/>
        <charset val="134"/>
      </rPr>
      <t>5</t>
    </r>
    <r>
      <rPr>
        <sz val="10"/>
        <rFont val="宋体"/>
        <charset val="134"/>
      </rPr>
      <t>t)</t>
    </r>
  </si>
  <si>
    <r>
      <rPr>
        <sz val="10"/>
        <rFont val="宋体"/>
        <charset val="134"/>
      </rPr>
      <t>P-29</t>
    </r>
    <r>
      <rPr>
        <sz val="10"/>
        <rFont val="宋体"/>
        <charset val="134"/>
      </rPr>
      <t>9</t>
    </r>
    <r>
      <rPr>
        <sz val="10"/>
        <rFont val="宋体"/>
        <charset val="134"/>
      </rPr>
      <t>-</t>
    </r>
    <r>
      <rPr>
        <sz val="10"/>
        <rFont val="宋体"/>
        <charset val="134"/>
      </rPr>
      <t>s60</t>
    </r>
    <r>
      <rPr>
        <sz val="10"/>
        <rFont val="宋体"/>
        <charset val="134"/>
      </rPr>
      <t>24</t>
    </r>
  </si>
  <si>
    <t>卷扬式启闭机养护（启闭力2×10t)</t>
  </si>
  <si>
    <r>
      <rPr>
        <sz val="10"/>
        <rFont val="宋体"/>
        <charset val="134"/>
      </rPr>
      <t>P-313</t>
    </r>
    <r>
      <rPr>
        <sz val="10"/>
        <rFont val="宋体"/>
        <charset val="134"/>
      </rPr>
      <t>-</t>
    </r>
    <r>
      <rPr>
        <sz val="10"/>
        <rFont val="宋体"/>
        <charset val="134"/>
      </rPr>
      <t>s6063</t>
    </r>
  </si>
  <si>
    <t>卷扬式启闭机养护（启闭力10t)</t>
  </si>
  <si>
    <r>
      <rPr>
        <sz val="10"/>
        <rFont val="宋体"/>
        <charset val="134"/>
      </rPr>
      <t>P-313</t>
    </r>
    <r>
      <rPr>
        <sz val="10"/>
        <rFont val="宋体"/>
        <charset val="134"/>
      </rPr>
      <t>-</t>
    </r>
    <r>
      <rPr>
        <sz val="10"/>
        <rFont val="宋体"/>
        <charset val="134"/>
      </rPr>
      <t>s6066</t>
    </r>
  </si>
  <si>
    <r>
      <rPr>
        <sz val="10"/>
        <rFont val="宋体"/>
        <charset val="134"/>
      </rPr>
      <t>卷扬式启闭机养护（启闭力25</t>
    </r>
    <r>
      <rPr>
        <sz val="10"/>
        <rFont val="宋体"/>
        <charset val="134"/>
      </rPr>
      <t>t)</t>
    </r>
  </si>
  <si>
    <r>
      <rPr>
        <sz val="10"/>
        <rFont val="宋体"/>
        <charset val="134"/>
      </rPr>
      <t>P-313</t>
    </r>
    <r>
      <rPr>
        <sz val="10"/>
        <rFont val="宋体"/>
        <charset val="134"/>
      </rPr>
      <t>-</t>
    </r>
    <r>
      <rPr>
        <sz val="10"/>
        <rFont val="宋体"/>
        <charset val="134"/>
      </rPr>
      <t>s60</t>
    </r>
    <r>
      <rPr>
        <sz val="10"/>
        <rFont val="宋体"/>
        <charset val="134"/>
      </rPr>
      <t>78</t>
    </r>
  </si>
  <si>
    <t>平面钢闸门养护（自重5t)</t>
  </si>
  <si>
    <r>
      <rPr>
        <sz val="10"/>
        <rFont val="宋体"/>
        <charset val="134"/>
      </rPr>
      <t>P-3</t>
    </r>
    <r>
      <rPr>
        <sz val="10"/>
        <rFont val="宋体"/>
        <charset val="134"/>
      </rPr>
      <t>42</t>
    </r>
    <r>
      <rPr>
        <sz val="10"/>
        <rFont val="宋体"/>
        <charset val="134"/>
      </rPr>
      <t>-</t>
    </r>
    <r>
      <rPr>
        <sz val="10"/>
        <rFont val="宋体"/>
        <charset val="134"/>
      </rPr>
      <t>s</t>
    </r>
    <r>
      <rPr>
        <sz val="10"/>
        <rFont val="宋体"/>
        <charset val="134"/>
      </rPr>
      <t>7006</t>
    </r>
  </si>
  <si>
    <t>环氧富锌底漆</t>
  </si>
  <si>
    <t>平面钢闸门养护（自重10t)</t>
  </si>
  <si>
    <r>
      <rPr>
        <sz val="10"/>
        <rFont val="宋体"/>
        <charset val="134"/>
      </rPr>
      <t>P-344</t>
    </r>
    <r>
      <rPr>
        <sz val="10"/>
        <rFont val="宋体"/>
        <charset val="134"/>
      </rPr>
      <t>-</t>
    </r>
    <r>
      <rPr>
        <sz val="10"/>
        <rFont val="宋体"/>
        <charset val="134"/>
      </rPr>
      <t>s</t>
    </r>
    <r>
      <rPr>
        <sz val="10"/>
        <rFont val="宋体"/>
        <charset val="134"/>
      </rPr>
      <t>7009</t>
    </r>
  </si>
  <si>
    <t>平面钢闸门养护（自重15t)</t>
  </si>
  <si>
    <r>
      <rPr>
        <sz val="10"/>
        <rFont val="宋体"/>
        <charset val="134"/>
      </rPr>
      <t>P-344</t>
    </r>
    <r>
      <rPr>
        <sz val="10"/>
        <rFont val="宋体"/>
        <charset val="134"/>
      </rPr>
      <t>-</t>
    </r>
    <r>
      <rPr>
        <sz val="10"/>
        <rFont val="宋体"/>
        <charset val="134"/>
      </rPr>
      <t>s</t>
    </r>
    <r>
      <rPr>
        <sz val="10"/>
        <rFont val="宋体"/>
        <charset val="134"/>
      </rPr>
      <t>7012</t>
    </r>
  </si>
  <si>
    <r>
      <rPr>
        <sz val="10"/>
        <rFont val="宋体"/>
        <charset val="134"/>
      </rPr>
      <t>铸铁闸门养护（面积≤1.0m</t>
    </r>
    <r>
      <rPr>
        <vertAlign val="superscript"/>
        <sz val="10"/>
        <rFont val="宋体"/>
        <charset val="134"/>
      </rPr>
      <t>2</t>
    </r>
    <r>
      <rPr>
        <sz val="10"/>
        <rFont val="宋体"/>
        <charset val="134"/>
      </rPr>
      <t>)</t>
    </r>
  </si>
  <si>
    <r>
      <rPr>
        <sz val="10"/>
        <rFont val="宋体"/>
        <charset val="134"/>
      </rPr>
      <t>P-368</t>
    </r>
    <r>
      <rPr>
        <sz val="10"/>
        <rFont val="宋体"/>
        <charset val="134"/>
      </rPr>
      <t>-</t>
    </r>
    <r>
      <rPr>
        <sz val="10"/>
        <rFont val="宋体"/>
        <charset val="134"/>
      </rPr>
      <t>s</t>
    </r>
    <r>
      <rPr>
        <sz val="10"/>
        <rFont val="宋体"/>
        <charset val="134"/>
      </rPr>
      <t>70</t>
    </r>
    <r>
      <rPr>
        <sz val="10"/>
        <rFont val="宋体"/>
        <charset val="134"/>
      </rPr>
      <t>81</t>
    </r>
  </si>
  <si>
    <t>油漆</t>
  </si>
  <si>
    <r>
      <rPr>
        <sz val="10"/>
        <rFont val="宋体"/>
        <charset val="134"/>
      </rPr>
      <t>铸铁闸门养护（面积3m</t>
    </r>
    <r>
      <rPr>
        <vertAlign val="superscript"/>
        <sz val="10"/>
        <rFont val="宋体"/>
        <charset val="134"/>
      </rPr>
      <t>2</t>
    </r>
    <r>
      <rPr>
        <sz val="10"/>
        <rFont val="宋体"/>
        <charset val="134"/>
      </rPr>
      <t>)</t>
    </r>
  </si>
  <si>
    <r>
      <rPr>
        <sz val="10"/>
        <rFont val="宋体"/>
        <charset val="134"/>
      </rPr>
      <t>P-369</t>
    </r>
    <r>
      <rPr>
        <sz val="10"/>
        <rFont val="宋体"/>
        <charset val="134"/>
      </rPr>
      <t>-</t>
    </r>
    <r>
      <rPr>
        <sz val="10"/>
        <rFont val="宋体"/>
        <charset val="134"/>
      </rPr>
      <t>s</t>
    </r>
    <r>
      <rPr>
        <sz val="10"/>
        <rFont val="宋体"/>
        <charset val="134"/>
      </rPr>
      <t>70</t>
    </r>
    <r>
      <rPr>
        <sz val="10"/>
        <rFont val="宋体"/>
        <charset val="134"/>
      </rPr>
      <t>87</t>
    </r>
  </si>
  <si>
    <r>
      <rPr>
        <sz val="10"/>
        <rFont val="宋体"/>
        <charset val="134"/>
      </rPr>
      <t>铸铁闸门养护（面积4m</t>
    </r>
    <r>
      <rPr>
        <vertAlign val="superscript"/>
        <sz val="10"/>
        <rFont val="宋体"/>
        <charset val="134"/>
      </rPr>
      <t>2</t>
    </r>
    <r>
      <rPr>
        <sz val="10"/>
        <rFont val="宋体"/>
        <charset val="134"/>
      </rPr>
      <t>)</t>
    </r>
  </si>
  <si>
    <r>
      <rPr>
        <sz val="10"/>
        <rFont val="宋体"/>
        <charset val="134"/>
      </rPr>
      <t>P-369</t>
    </r>
    <r>
      <rPr>
        <sz val="10"/>
        <rFont val="宋体"/>
        <charset val="134"/>
      </rPr>
      <t>-</t>
    </r>
    <r>
      <rPr>
        <sz val="10"/>
        <rFont val="宋体"/>
        <charset val="134"/>
      </rPr>
      <t>s</t>
    </r>
    <r>
      <rPr>
        <sz val="10"/>
        <rFont val="宋体"/>
        <charset val="134"/>
      </rPr>
      <t>70</t>
    </r>
    <r>
      <rPr>
        <sz val="10"/>
        <rFont val="宋体"/>
        <charset val="134"/>
      </rPr>
      <t>9</t>
    </r>
    <r>
      <rPr>
        <sz val="10"/>
        <rFont val="宋体"/>
        <charset val="134"/>
      </rPr>
      <t>0</t>
    </r>
  </si>
  <si>
    <r>
      <rPr>
        <sz val="10"/>
        <rFont val="宋体"/>
        <charset val="134"/>
      </rPr>
      <t>铸铁闸门养护（面积6</t>
    </r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2</t>
    </r>
    <r>
      <rPr>
        <sz val="10"/>
        <rFont val="宋体"/>
        <charset val="134"/>
      </rPr>
      <t>)</t>
    </r>
  </si>
  <si>
    <r>
      <rPr>
        <sz val="10"/>
        <rFont val="宋体"/>
        <charset val="134"/>
      </rPr>
      <t>P-370</t>
    </r>
    <r>
      <rPr>
        <sz val="10"/>
        <rFont val="宋体"/>
        <charset val="134"/>
      </rPr>
      <t>-</t>
    </r>
    <r>
      <rPr>
        <sz val="10"/>
        <rFont val="宋体"/>
        <charset val="134"/>
      </rPr>
      <t>s</t>
    </r>
    <r>
      <rPr>
        <sz val="10"/>
        <rFont val="宋体"/>
        <charset val="134"/>
      </rPr>
      <t>70</t>
    </r>
    <r>
      <rPr>
        <sz val="10"/>
        <rFont val="宋体"/>
        <charset val="134"/>
      </rPr>
      <t>9</t>
    </r>
    <r>
      <rPr>
        <sz val="10"/>
        <rFont val="宋体"/>
        <charset val="134"/>
      </rPr>
      <t>3</t>
    </r>
  </si>
  <si>
    <r>
      <rPr>
        <sz val="10"/>
        <rFont val="宋体"/>
        <charset val="134"/>
      </rPr>
      <t>铸铁闸门养护（面积9m</t>
    </r>
    <r>
      <rPr>
        <vertAlign val="superscript"/>
        <sz val="10"/>
        <rFont val="宋体"/>
        <charset val="134"/>
      </rPr>
      <t>2</t>
    </r>
    <r>
      <rPr>
        <sz val="10"/>
        <rFont val="宋体"/>
        <charset val="134"/>
      </rPr>
      <t>)</t>
    </r>
  </si>
  <si>
    <r>
      <rPr>
        <sz val="10"/>
        <rFont val="宋体"/>
        <charset val="134"/>
      </rPr>
      <t>P-370</t>
    </r>
    <r>
      <rPr>
        <sz val="10"/>
        <rFont val="宋体"/>
        <charset val="134"/>
      </rPr>
      <t>-</t>
    </r>
    <r>
      <rPr>
        <sz val="10"/>
        <rFont val="宋体"/>
        <charset val="134"/>
      </rPr>
      <t>s</t>
    </r>
    <r>
      <rPr>
        <sz val="10"/>
        <rFont val="宋体"/>
        <charset val="134"/>
      </rPr>
      <t>70</t>
    </r>
    <r>
      <rPr>
        <sz val="10"/>
        <rFont val="宋体"/>
        <charset val="134"/>
      </rPr>
      <t>96</t>
    </r>
  </si>
  <si>
    <r>
      <rPr>
        <sz val="10"/>
        <rFont val="宋体"/>
        <charset val="134"/>
      </rPr>
      <t>铸铁闸门养护（面积</t>
    </r>
    <r>
      <rPr>
        <sz val="10"/>
        <rFont val="宋体"/>
        <charset val="134"/>
      </rPr>
      <t>13</t>
    </r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2</t>
    </r>
    <r>
      <rPr>
        <sz val="10"/>
        <rFont val="宋体"/>
        <charset val="134"/>
      </rPr>
      <t>)</t>
    </r>
  </si>
  <si>
    <r>
      <rPr>
        <sz val="10"/>
        <rFont val="宋体"/>
        <charset val="134"/>
      </rPr>
      <t>P-37</t>
    </r>
    <r>
      <rPr>
        <sz val="10"/>
        <rFont val="宋体"/>
        <charset val="134"/>
      </rPr>
      <t>1</t>
    </r>
    <r>
      <rPr>
        <sz val="10"/>
        <rFont val="宋体"/>
        <charset val="134"/>
      </rPr>
      <t>-</t>
    </r>
    <r>
      <rPr>
        <sz val="10"/>
        <rFont val="宋体"/>
        <charset val="134"/>
      </rPr>
      <t>s</t>
    </r>
    <r>
      <rPr>
        <sz val="10"/>
        <rFont val="宋体"/>
        <charset val="134"/>
      </rPr>
      <t>70</t>
    </r>
    <r>
      <rPr>
        <sz val="10"/>
        <rFont val="宋体"/>
        <charset val="134"/>
      </rPr>
      <t>9</t>
    </r>
    <r>
      <rPr>
        <sz val="10"/>
        <rFont val="宋体"/>
        <charset val="134"/>
      </rPr>
      <t>9</t>
    </r>
  </si>
  <si>
    <t>钢丝绳上黄油</t>
  </si>
  <si>
    <r>
      <rPr>
        <sz val="10"/>
        <rFont val="宋体"/>
        <charset val="134"/>
      </rPr>
      <t>P-337</t>
    </r>
    <r>
      <rPr>
        <sz val="10"/>
        <rFont val="宋体"/>
        <charset val="134"/>
      </rPr>
      <t>-</t>
    </r>
    <r>
      <rPr>
        <sz val="10"/>
        <rFont val="宋体"/>
        <charset val="134"/>
      </rPr>
      <t>s</t>
    </r>
    <r>
      <rPr>
        <sz val="10"/>
        <rFont val="宋体"/>
        <charset val="134"/>
      </rPr>
      <t>6132</t>
    </r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</si>
  <si>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0m</t>
    </r>
  </si>
  <si>
    <t>钢丝绳上更换</t>
  </si>
  <si>
    <r>
      <rPr>
        <sz val="10"/>
        <rFont val="宋体"/>
        <charset val="134"/>
      </rPr>
      <t>P-337</t>
    </r>
    <r>
      <rPr>
        <sz val="10"/>
        <rFont val="宋体"/>
        <charset val="134"/>
      </rPr>
      <t>-</t>
    </r>
    <r>
      <rPr>
        <sz val="10"/>
        <rFont val="宋体"/>
        <charset val="134"/>
      </rPr>
      <t>s</t>
    </r>
    <r>
      <rPr>
        <sz val="10"/>
        <rFont val="宋体"/>
        <charset val="134"/>
      </rPr>
      <t>6136</t>
    </r>
  </si>
  <si>
    <t>钢丝绳</t>
  </si>
  <si>
    <t>挖掘机挖淤泥流砂</t>
  </si>
  <si>
    <t>适用范围：Ⅰ-Ⅱ类土、淤泥开挖、运输，露天作业。</t>
  </si>
  <si>
    <r>
      <rPr>
        <sz val="10"/>
        <rFont val="宋体"/>
        <charset val="134"/>
      </rPr>
      <t>0.5</t>
    </r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挖掘机挖装土自卸汽车运输（运距：0.</t>
    </r>
    <r>
      <rPr>
        <sz val="10"/>
        <rFont val="宋体"/>
        <charset val="134"/>
      </rPr>
      <t>25</t>
    </r>
    <r>
      <rPr>
        <sz val="10"/>
        <rFont val="宋体"/>
        <charset val="134"/>
      </rPr>
      <t>～</t>
    </r>
    <r>
      <rPr>
        <sz val="10"/>
        <rFont val="宋体"/>
        <charset val="134"/>
      </rPr>
      <t>0.5</t>
    </r>
    <r>
      <rPr>
        <sz val="10"/>
        <rFont val="宋体"/>
        <charset val="134"/>
      </rPr>
      <t>km）</t>
    </r>
  </si>
  <si>
    <r>
      <rPr>
        <sz val="10"/>
        <rFont val="宋体"/>
        <charset val="134"/>
      </rPr>
      <t>0.5</t>
    </r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挖掘机挖装土自卸汽车运输（运距：0.</t>
    </r>
    <r>
      <rPr>
        <sz val="10"/>
        <rFont val="宋体"/>
        <charset val="134"/>
      </rPr>
      <t>5</t>
    </r>
    <r>
      <rPr>
        <sz val="10"/>
        <rFont val="宋体"/>
        <charset val="134"/>
      </rPr>
      <t>～</t>
    </r>
    <r>
      <rPr>
        <sz val="10"/>
        <rFont val="宋体"/>
        <charset val="134"/>
      </rPr>
      <t>1</t>
    </r>
    <r>
      <rPr>
        <sz val="10"/>
        <rFont val="宋体"/>
        <charset val="134"/>
      </rPr>
      <t>km）</t>
    </r>
  </si>
  <si>
    <r>
      <rPr>
        <sz val="10"/>
        <rFont val="宋体"/>
        <charset val="134"/>
      </rPr>
      <t>0.5</t>
    </r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</t>
    </r>
    <r>
      <rPr>
        <sz val="10"/>
        <rFont val="宋体"/>
        <charset val="134"/>
      </rPr>
      <t>2</t>
    </r>
    <r>
      <rPr>
        <sz val="10"/>
        <rFont val="宋体"/>
        <charset val="134"/>
      </rPr>
      <t>～</t>
    </r>
    <r>
      <rPr>
        <sz val="10"/>
        <rFont val="宋体"/>
        <charset val="134"/>
      </rPr>
      <t>3</t>
    </r>
    <r>
      <rPr>
        <sz val="10"/>
        <rFont val="宋体"/>
        <charset val="134"/>
      </rPr>
      <t>km）</t>
    </r>
  </si>
  <si>
    <r>
      <rPr>
        <sz val="10"/>
        <rFont val="宋体"/>
        <charset val="134"/>
      </rPr>
      <t>0.5</t>
    </r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挖掘机挖装土自卸汽车运输（运距：4～5km）</t>
    </r>
  </si>
  <si>
    <r>
      <rPr>
        <sz val="10"/>
        <rFont val="宋体"/>
        <charset val="134"/>
      </rPr>
      <t>0.5</t>
    </r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</t>
    </r>
    <r>
      <rPr>
        <sz val="10"/>
        <rFont val="宋体"/>
        <charset val="134"/>
      </rPr>
      <t>8</t>
    </r>
    <r>
      <rPr>
        <sz val="10"/>
        <rFont val="宋体"/>
        <charset val="134"/>
      </rPr>
      <t>km）</t>
    </r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</si>
  <si>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挖掘机挖装土自卸汽车运输（运距：0.</t>
    </r>
    <r>
      <rPr>
        <sz val="10"/>
        <rFont val="宋体"/>
        <charset val="134"/>
      </rPr>
      <t>25</t>
    </r>
    <r>
      <rPr>
        <sz val="10"/>
        <rFont val="宋体"/>
        <charset val="134"/>
      </rPr>
      <t>～</t>
    </r>
    <r>
      <rPr>
        <sz val="10"/>
        <rFont val="宋体"/>
        <charset val="134"/>
      </rPr>
      <t>0.5</t>
    </r>
    <r>
      <rPr>
        <sz val="10"/>
        <rFont val="宋体"/>
        <charset val="134"/>
      </rPr>
      <t>km）</t>
    </r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</si>
  <si>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挖掘机挖装土自卸汽车运输（运距：0.</t>
    </r>
    <r>
      <rPr>
        <sz val="10"/>
        <rFont val="宋体"/>
        <charset val="134"/>
      </rPr>
      <t>5</t>
    </r>
    <r>
      <rPr>
        <sz val="10"/>
        <rFont val="宋体"/>
        <charset val="134"/>
      </rPr>
      <t>～</t>
    </r>
    <r>
      <rPr>
        <sz val="10"/>
        <rFont val="宋体"/>
        <charset val="134"/>
      </rPr>
      <t>1</t>
    </r>
    <r>
      <rPr>
        <sz val="10"/>
        <rFont val="宋体"/>
        <charset val="134"/>
      </rPr>
      <t>km）</t>
    </r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</si>
  <si>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</t>
    </r>
    <r>
      <rPr>
        <sz val="10"/>
        <rFont val="宋体"/>
        <charset val="134"/>
      </rPr>
      <t>2</t>
    </r>
    <r>
      <rPr>
        <sz val="10"/>
        <rFont val="宋体"/>
        <charset val="134"/>
      </rPr>
      <t>～</t>
    </r>
    <r>
      <rPr>
        <sz val="10"/>
        <rFont val="宋体"/>
        <charset val="134"/>
      </rPr>
      <t>3</t>
    </r>
    <r>
      <rPr>
        <sz val="10"/>
        <rFont val="宋体"/>
        <charset val="134"/>
      </rPr>
      <t>km）</t>
    </r>
  </si>
  <si>
    <t>伐树（50cm)</t>
  </si>
  <si>
    <r>
      <rPr>
        <sz val="10"/>
        <rFont val="宋体"/>
        <charset val="134"/>
      </rPr>
      <t>P-7</t>
    </r>
    <r>
      <rPr>
        <sz val="10"/>
        <rFont val="宋体"/>
        <charset val="134"/>
      </rPr>
      <t>0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4</t>
    </r>
    <r>
      <rPr>
        <sz val="10"/>
        <rFont val="宋体"/>
        <charset val="134"/>
      </rPr>
      <t>003</t>
    </r>
  </si>
  <si>
    <t>挖树根（50cm)</t>
  </si>
  <si>
    <r>
      <rPr>
        <sz val="10"/>
        <rFont val="宋体"/>
        <charset val="134"/>
      </rPr>
      <t>P-7</t>
    </r>
    <r>
      <rPr>
        <sz val="10"/>
        <rFont val="宋体"/>
        <charset val="134"/>
      </rPr>
      <t>0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4</t>
    </r>
    <r>
      <rPr>
        <sz val="10"/>
        <rFont val="宋体"/>
        <charset val="134"/>
      </rPr>
      <t>007</t>
    </r>
  </si>
  <si>
    <t>修剪树木（50cm)</t>
  </si>
  <si>
    <r>
      <rPr>
        <b/>
        <sz val="16"/>
        <rFont val="宋体"/>
        <charset val="134"/>
      </rPr>
      <t xml:space="preserve"> </t>
    </r>
    <r>
      <rPr>
        <b/>
        <sz val="18"/>
        <rFont val="宋体"/>
        <charset val="134"/>
      </rPr>
      <t>基础材料单价表201</t>
    </r>
    <r>
      <rPr>
        <b/>
        <sz val="18"/>
        <rFont val="宋体"/>
        <charset val="134"/>
      </rPr>
      <t>9.01</t>
    </r>
  </si>
  <si>
    <t>单价</t>
  </si>
  <si>
    <t>卡扣件</t>
  </si>
  <si>
    <r>
      <rPr>
        <sz val="10"/>
        <rFont val="宋体"/>
        <charset val="134"/>
      </rPr>
      <t>钢丝绳φ2</t>
    </r>
    <r>
      <rPr>
        <sz val="10"/>
        <rFont val="宋体"/>
        <charset val="134"/>
      </rPr>
      <t>8</t>
    </r>
  </si>
  <si>
    <t>110PVC排水管</t>
  </si>
  <si>
    <t>麦草</t>
  </si>
  <si>
    <r>
      <rPr>
        <sz val="10"/>
        <rFont val="宋体"/>
        <charset val="134"/>
      </rPr>
      <t>平板玻璃5</t>
    </r>
    <r>
      <rPr>
        <sz val="10"/>
        <rFont val="宋体"/>
        <charset val="134"/>
      </rPr>
      <t>mm</t>
    </r>
  </si>
  <si>
    <t>dn75pvc（0.63mpa)</t>
  </si>
  <si>
    <t>焊接钢管DN70</t>
  </si>
  <si>
    <t>炸药</t>
  </si>
  <si>
    <t>滑模</t>
  </si>
  <si>
    <t>环氧砂浆</t>
  </si>
  <si>
    <t>二等板方材</t>
  </si>
  <si>
    <r>
      <rPr>
        <sz val="10"/>
        <color indexed="12"/>
        <rFont val="宋体"/>
        <charset val="134"/>
      </rPr>
      <t>m</t>
    </r>
    <r>
      <rPr>
        <vertAlign val="superscript"/>
        <sz val="10"/>
        <color indexed="12"/>
        <rFont val="宋体"/>
        <charset val="134"/>
      </rPr>
      <t>3</t>
    </r>
  </si>
  <si>
    <t>模板木材（锯材）</t>
  </si>
  <si>
    <t>碱粉</t>
  </si>
  <si>
    <t>白灰</t>
  </si>
  <si>
    <t>导火线</t>
  </si>
  <si>
    <t>电线</t>
  </si>
  <si>
    <t>锚杆附件</t>
  </si>
  <si>
    <t>电雷管</t>
  </si>
  <si>
    <t>雷管</t>
  </si>
  <si>
    <t>矿粉</t>
  </si>
  <si>
    <t>麻布</t>
  </si>
  <si>
    <t>ｋｇ</t>
  </si>
  <si>
    <t>石屑</t>
  </si>
  <si>
    <t>铁垫块</t>
  </si>
  <si>
    <t>塑料带止水</t>
  </si>
  <si>
    <t>胶圈</t>
  </si>
  <si>
    <t>φ500橡胶止水圈</t>
  </si>
  <si>
    <t>润滑油</t>
  </si>
  <si>
    <t>油毛毡</t>
  </si>
  <si>
    <r>
      <rPr>
        <sz val="10"/>
        <rFont val="Times New Roman"/>
        <charset val="134"/>
      </rPr>
      <t>m</t>
    </r>
    <r>
      <rPr>
        <vertAlign val="superscript"/>
        <sz val="10"/>
        <rFont val="Times New Roman"/>
        <charset val="134"/>
      </rPr>
      <t>2</t>
    </r>
  </si>
  <si>
    <r>
      <rPr>
        <sz val="10"/>
        <rFont val="宋体"/>
        <charset val="134"/>
      </rPr>
      <t>铅丝</t>
    </r>
    <r>
      <rPr>
        <sz val="10"/>
        <rFont val="Times New Roman"/>
        <charset val="134"/>
      </rPr>
      <t>8#</t>
    </r>
  </si>
  <si>
    <r>
      <rPr>
        <sz val="10"/>
        <rFont val="宋体"/>
        <charset val="134"/>
      </rPr>
      <t>铅丝</t>
    </r>
    <r>
      <rPr>
        <sz val="10"/>
        <rFont val="Times New Roman"/>
        <charset val="134"/>
      </rPr>
      <t>10#</t>
    </r>
  </si>
  <si>
    <r>
      <rPr>
        <sz val="10"/>
        <rFont val="宋体"/>
        <charset val="134"/>
      </rPr>
      <t>钢板厚</t>
    </r>
    <r>
      <rPr>
        <sz val="10"/>
        <rFont val="Times New Roman"/>
        <charset val="134"/>
      </rPr>
      <t>4mm</t>
    </r>
  </si>
  <si>
    <t>钢板(中板）</t>
  </si>
  <si>
    <t>钢管</t>
  </si>
  <si>
    <t>土料（银川）</t>
  </si>
  <si>
    <t>格宾护垫6*2*0.3</t>
  </si>
  <si>
    <t>格宾护角、基础2*1*1</t>
  </si>
  <si>
    <r>
      <rPr>
        <sz val="10"/>
        <rFont val="宋体"/>
        <charset val="134"/>
      </rPr>
      <t>土工膜0.</t>
    </r>
    <r>
      <rPr>
        <sz val="10"/>
        <rFont val="宋体"/>
        <charset val="134"/>
      </rPr>
      <t>3</t>
    </r>
  </si>
  <si>
    <t>土工布（一布一膜）(200g/0.5mm)</t>
  </si>
  <si>
    <r>
      <rPr>
        <sz val="10"/>
        <rFont val="宋体"/>
        <charset val="134"/>
      </rPr>
      <t>土工布(200g/m</t>
    </r>
    <r>
      <rPr>
        <sz val="10"/>
        <rFont val="宋体"/>
        <charset val="134"/>
      </rPr>
      <t>2</t>
    </r>
    <r>
      <rPr>
        <sz val="10"/>
        <rFont val="宋体"/>
        <charset val="134"/>
      </rPr>
      <t>)</t>
    </r>
  </si>
  <si>
    <t>苯板20kg/m3</t>
  </si>
  <si>
    <t>烧结多孔砖</t>
  </si>
  <si>
    <r>
      <rPr>
        <sz val="10"/>
        <rFont val="宋体"/>
        <charset val="134"/>
      </rPr>
      <t>钢筋混凝土排水管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Ⅱ级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φ</t>
    </r>
    <r>
      <rPr>
        <sz val="10"/>
        <rFont val="Times New Roman"/>
        <charset val="134"/>
      </rPr>
      <t>=1.6m</t>
    </r>
  </si>
  <si>
    <r>
      <rPr>
        <sz val="10"/>
        <rFont val="宋体"/>
        <charset val="134"/>
      </rPr>
      <t>钢筋混凝土排水管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Ⅱ级</t>
    </r>
    <r>
      <rPr>
        <sz val="10"/>
        <rFont val="Times New Roman"/>
        <charset val="134"/>
      </rPr>
      <t xml:space="preserve"> 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φ</t>
    </r>
    <r>
      <rPr>
        <sz val="10"/>
        <rFont val="Times New Roman"/>
        <charset val="134"/>
      </rPr>
      <t>=1.4m</t>
    </r>
  </si>
  <si>
    <r>
      <rPr>
        <sz val="10"/>
        <rFont val="宋体"/>
        <charset val="134"/>
      </rPr>
      <t>钢筋混凝土排水管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Ⅱ级</t>
    </r>
    <r>
      <rPr>
        <sz val="10"/>
        <rFont val="Times New Roman"/>
        <charset val="134"/>
      </rPr>
      <t xml:space="preserve"> 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φ</t>
    </r>
    <r>
      <rPr>
        <sz val="10"/>
        <rFont val="Times New Roman"/>
        <charset val="134"/>
      </rPr>
      <t>=1.2m</t>
    </r>
  </si>
  <si>
    <r>
      <rPr>
        <sz val="10"/>
        <rFont val="宋体"/>
        <charset val="134"/>
      </rPr>
      <t>钢筋混凝土排水管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Ⅱ级</t>
    </r>
    <r>
      <rPr>
        <sz val="10"/>
        <rFont val="Times New Roman"/>
        <charset val="134"/>
      </rPr>
      <t xml:space="preserve"> 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φ</t>
    </r>
    <r>
      <rPr>
        <sz val="10"/>
        <rFont val="Times New Roman"/>
        <charset val="134"/>
      </rPr>
      <t>=1.0m</t>
    </r>
  </si>
  <si>
    <r>
      <rPr>
        <sz val="10"/>
        <rFont val="宋体"/>
        <charset val="134"/>
      </rPr>
      <t>钢筋混凝土排水管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Ⅱ级</t>
    </r>
    <r>
      <rPr>
        <sz val="10"/>
        <rFont val="Times New Roman"/>
        <charset val="134"/>
      </rPr>
      <t xml:space="preserve"> φ</t>
    </r>
    <r>
      <rPr>
        <sz val="10"/>
        <rFont val="Times New Roman"/>
        <charset val="134"/>
      </rPr>
      <t>=0.8m</t>
    </r>
  </si>
  <si>
    <r>
      <rPr>
        <sz val="10"/>
        <rFont val="宋体"/>
        <charset val="134"/>
      </rPr>
      <t>钢筋混凝土排水管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Ⅱ级</t>
    </r>
    <r>
      <rPr>
        <sz val="10"/>
        <rFont val="Times New Roman"/>
        <charset val="134"/>
      </rPr>
      <t xml:space="preserve"> φ</t>
    </r>
    <r>
      <rPr>
        <sz val="10"/>
        <rFont val="Times New Roman"/>
        <charset val="134"/>
      </rPr>
      <t>=0.</t>
    </r>
    <r>
      <rPr>
        <sz val="10"/>
        <rFont val="Times New Roman"/>
        <charset val="134"/>
      </rPr>
      <t>6</t>
    </r>
    <r>
      <rPr>
        <sz val="10"/>
        <rFont val="Times New Roman"/>
        <charset val="134"/>
      </rPr>
      <t>m</t>
    </r>
  </si>
  <si>
    <r>
      <rPr>
        <sz val="10"/>
        <rFont val="宋体"/>
        <charset val="134"/>
      </rPr>
      <t>钢筋混凝土排水管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Ⅱ级</t>
    </r>
    <r>
      <rPr>
        <sz val="10"/>
        <rFont val="Times New Roman"/>
        <charset val="134"/>
      </rPr>
      <t xml:space="preserve"> φ</t>
    </r>
    <r>
      <rPr>
        <sz val="10"/>
        <rFont val="Times New Roman"/>
        <charset val="134"/>
      </rPr>
      <t>=0.</t>
    </r>
    <r>
      <rPr>
        <sz val="10"/>
        <rFont val="Times New Roman"/>
        <charset val="134"/>
      </rPr>
      <t>5</t>
    </r>
    <r>
      <rPr>
        <sz val="10"/>
        <rFont val="Times New Roman"/>
        <charset val="134"/>
      </rPr>
      <t>m</t>
    </r>
  </si>
  <si>
    <r>
      <rPr>
        <sz val="10"/>
        <rFont val="宋体"/>
        <charset val="134"/>
      </rPr>
      <t>钢筋混凝土排水管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Ⅱ级</t>
    </r>
    <r>
      <rPr>
        <sz val="10"/>
        <rFont val="Times New Roman"/>
        <charset val="134"/>
      </rPr>
      <t xml:space="preserve"> φ</t>
    </r>
    <r>
      <rPr>
        <sz val="10"/>
        <rFont val="Times New Roman"/>
        <charset val="134"/>
      </rPr>
      <t>=0.</t>
    </r>
    <r>
      <rPr>
        <sz val="10"/>
        <rFont val="Times New Roman"/>
        <charset val="134"/>
      </rPr>
      <t>4</t>
    </r>
    <r>
      <rPr>
        <sz val="10"/>
        <rFont val="Times New Roman"/>
        <charset val="134"/>
      </rPr>
      <t>m</t>
    </r>
  </si>
  <si>
    <r>
      <rPr>
        <sz val="10"/>
        <rFont val="宋体"/>
        <charset val="134"/>
      </rPr>
      <t>钢筋混凝土排水管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Ⅱ级</t>
    </r>
    <r>
      <rPr>
        <sz val="10"/>
        <rFont val="Times New Roman"/>
        <charset val="134"/>
      </rPr>
      <t xml:space="preserve"> φ</t>
    </r>
    <r>
      <rPr>
        <sz val="10"/>
        <rFont val="Times New Roman"/>
        <charset val="134"/>
      </rPr>
      <t>=0.</t>
    </r>
    <r>
      <rPr>
        <sz val="10"/>
        <rFont val="Times New Roman"/>
        <charset val="134"/>
      </rPr>
      <t>3</t>
    </r>
    <r>
      <rPr>
        <sz val="10"/>
        <rFont val="Times New Roman"/>
        <charset val="134"/>
      </rPr>
      <t>m</t>
    </r>
  </si>
  <si>
    <r>
      <rPr>
        <sz val="10"/>
        <rFont val="宋体"/>
        <charset val="134"/>
      </rPr>
      <t>钢筋混凝土排水管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Ⅱ级</t>
    </r>
    <r>
      <rPr>
        <sz val="10"/>
        <rFont val="Times New Roman"/>
        <charset val="134"/>
      </rPr>
      <t xml:space="preserve"> 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φ</t>
    </r>
    <r>
      <rPr>
        <sz val="10"/>
        <rFont val="Times New Roman"/>
        <charset val="134"/>
      </rPr>
      <t>=0.</t>
    </r>
    <r>
      <rPr>
        <sz val="10"/>
        <rFont val="Times New Roman"/>
        <charset val="134"/>
      </rPr>
      <t>2</t>
    </r>
    <r>
      <rPr>
        <sz val="10"/>
        <rFont val="Times New Roman"/>
        <charset val="134"/>
      </rPr>
      <t>m</t>
    </r>
  </si>
  <si>
    <t xml:space="preserve">               P E材价格表</t>
  </si>
  <si>
    <t xml:space="preserve">               PVC-U管材价格表</t>
  </si>
  <si>
    <t xml:space="preserve">                                              PVC-U管材重量表   </t>
  </si>
  <si>
    <t>单位：kg/m</t>
  </si>
  <si>
    <t>单价:</t>
  </si>
  <si>
    <t>元/t</t>
  </si>
  <si>
    <t>单位:元/km</t>
  </si>
  <si>
    <t>单位:元/m</t>
  </si>
  <si>
    <r>
      <rPr>
        <b/>
        <sz val="11"/>
        <rFont val="宋体"/>
        <charset val="134"/>
      </rPr>
      <t>公称外径</t>
    </r>
    <r>
      <rPr>
        <b/>
        <sz val="11"/>
        <rFont val="Times New Roman"/>
        <charset val="134"/>
      </rPr>
      <t>(dn)</t>
    </r>
  </si>
  <si>
    <r>
      <rPr>
        <b/>
        <sz val="11"/>
        <rFont val="宋体"/>
        <charset val="134"/>
      </rPr>
      <t>公</t>
    </r>
    <r>
      <rPr>
        <b/>
        <sz val="11"/>
        <rFont val="Times New Roman"/>
        <charset val="134"/>
      </rPr>
      <t xml:space="preserve">        </t>
    </r>
    <r>
      <rPr>
        <b/>
        <sz val="11"/>
        <rFont val="宋体"/>
        <charset val="134"/>
      </rPr>
      <t>称</t>
    </r>
    <r>
      <rPr>
        <b/>
        <sz val="11"/>
        <rFont val="Times New Roman"/>
        <charset val="134"/>
      </rPr>
      <t xml:space="preserve">    </t>
    </r>
    <r>
      <rPr>
        <b/>
        <sz val="11"/>
        <rFont val="宋体"/>
        <charset val="134"/>
      </rPr>
      <t>压</t>
    </r>
    <r>
      <rPr>
        <b/>
        <sz val="11"/>
        <rFont val="Times New Roman"/>
        <charset val="134"/>
      </rPr>
      <t xml:space="preserve">       </t>
    </r>
    <r>
      <rPr>
        <b/>
        <sz val="11"/>
        <rFont val="宋体"/>
        <charset val="134"/>
      </rPr>
      <t>力</t>
    </r>
  </si>
  <si>
    <t>公 称外径(dn)</t>
  </si>
  <si>
    <t>公        称    压       力</t>
  </si>
  <si>
    <t>0.32Mpa</t>
  </si>
  <si>
    <t>0.63Mpa</t>
  </si>
  <si>
    <t>0.8 Mpa</t>
  </si>
  <si>
    <t>1.0 Mpa</t>
  </si>
  <si>
    <t>1.25Mpa</t>
  </si>
  <si>
    <t>1.6 Mpa</t>
  </si>
  <si>
    <t>2.0 Mpa</t>
  </si>
  <si>
    <t>2.5 Mpa</t>
  </si>
  <si>
    <t>￠20</t>
  </si>
  <si>
    <t>￠25</t>
  </si>
  <si>
    <t>￠32</t>
  </si>
  <si>
    <t>￠40</t>
  </si>
  <si>
    <t>￠50</t>
  </si>
  <si>
    <t>￠63</t>
  </si>
  <si>
    <t>￠75</t>
  </si>
  <si>
    <t>￠90</t>
  </si>
  <si>
    <t>￠110</t>
  </si>
  <si>
    <t>￠125</t>
  </si>
  <si>
    <t>￠140</t>
  </si>
  <si>
    <t>￠160</t>
  </si>
  <si>
    <t>￠180</t>
  </si>
  <si>
    <t>￠200</t>
  </si>
  <si>
    <t>￠225</t>
  </si>
  <si>
    <t>￠250</t>
  </si>
  <si>
    <t>￠280</t>
  </si>
  <si>
    <t>￠315</t>
  </si>
  <si>
    <t>￠355</t>
  </si>
  <si>
    <t>￠400</t>
  </si>
  <si>
    <t>￠450</t>
  </si>
  <si>
    <t>￠500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</si>
</sst>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3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$&quot;#,##0_);[Red]\(&quot;$&quot;#,##0\)"/>
    <numFmt numFmtId="177" formatCode="#\ ??/??"/>
    <numFmt numFmtId="178" formatCode="\$#,##0.00;\(\$#,##0.00\)"/>
    <numFmt numFmtId="179" formatCode="&quot;$&quot;\ #,##0.00_-;[Red]&quot;$&quot;\ #,##0.00\-"/>
    <numFmt numFmtId="180" formatCode="#,##0;\(#,##0\)"/>
    <numFmt numFmtId="181" formatCode="_-* #,##0.00_-;\-* #,##0.00_-;_-* &quot;-&quot;??_-;_-@_-"/>
    <numFmt numFmtId="182" formatCode="_-&quot;$&quot;\ * #,##0.00_-;_-&quot;$&quot;\ * #,##0.00\-;_-&quot;$&quot;\ * &quot;-&quot;??_-;_-@_-"/>
    <numFmt numFmtId="183" formatCode="\$#,##0;\(\$#,##0\)"/>
    <numFmt numFmtId="184" formatCode="_ [$€-2]* #,##0.00_ ;_ [$€-2]* \-#,##0.00_ ;_ [$€-2]* &quot;-&quot;??_ "/>
    <numFmt numFmtId="185" formatCode="#,##0.0_);\(#,##0.0\)"/>
    <numFmt numFmtId="186" formatCode="_-&quot;$&quot;\ * #,##0_-;_-&quot;$&quot;\ * #,##0\-;_-&quot;$&quot;\ * &quot;-&quot;_-;_-@_-"/>
    <numFmt numFmtId="187" formatCode="&quot;$&quot;#,##0.00_);[Red]\(&quot;$&quot;#,##0.00\)"/>
    <numFmt numFmtId="188" formatCode="&quot;$&quot;\ #,##0_-;[Red]&quot;$&quot;\ #,##0\-"/>
    <numFmt numFmtId="189" formatCode="_(&quot;$&quot;* #,##0.00_);_(&quot;$&quot;* \(#,##0.00\);_(&quot;$&quot;* &quot;-&quot;??_);_(@_)"/>
    <numFmt numFmtId="190" formatCode="_(&quot;$&quot;* #,##0_);_(&quot;$&quot;* \(#,##0\);_(&quot;$&quot;* &quot;-&quot;_);_(@_)"/>
    <numFmt numFmtId="191" formatCode="0.00_ "/>
    <numFmt numFmtId="192" formatCode="0.00_);[Red]\(0.00\)"/>
    <numFmt numFmtId="193" formatCode="0.0_ "/>
    <numFmt numFmtId="194" formatCode="0_ "/>
    <numFmt numFmtId="195" formatCode="0.0%"/>
    <numFmt numFmtId="196" formatCode="0.000_ "/>
    <numFmt numFmtId="197" formatCode="0_);[Red]\(0\)"/>
    <numFmt numFmtId="198" formatCode="0.00;[Red]0.00"/>
    <numFmt numFmtId="199" formatCode="0.0"/>
    <numFmt numFmtId="200" formatCode="0;[Red]0"/>
    <numFmt numFmtId="201" formatCode="0_);\(0\)"/>
    <numFmt numFmtId="202" formatCode="0.0000000000000_ "/>
  </numFmts>
  <fonts count="169">
    <font>
      <sz val="12"/>
      <name val="宋体"/>
      <charset val="134"/>
    </font>
    <font>
      <b/>
      <sz val="14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sz val="10.5"/>
      <name val="宋体"/>
      <charset val="134"/>
    </font>
    <font>
      <b/>
      <sz val="18"/>
      <color indexed="63"/>
      <name val="微软雅黑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indexed="12"/>
      <name val="宋体"/>
      <charset val="134"/>
    </font>
    <font>
      <sz val="10"/>
      <name val="Times New Roman"/>
      <charset val="134"/>
    </font>
    <font>
      <b/>
      <sz val="12"/>
      <name val="宋体"/>
      <charset val="134"/>
    </font>
    <font>
      <sz val="10"/>
      <color indexed="40"/>
      <name val="宋体"/>
      <charset val="134"/>
    </font>
    <font>
      <sz val="12"/>
      <name val="楷体_GB2312"/>
      <charset val="134"/>
    </font>
    <font>
      <b/>
      <sz val="14"/>
      <color indexed="8"/>
      <name val="宋体"/>
      <charset val="134"/>
    </font>
    <font>
      <sz val="9"/>
      <name val="宋体"/>
      <charset val="134"/>
    </font>
    <font>
      <sz val="8"/>
      <name val="宋体"/>
      <charset val="134"/>
    </font>
    <font>
      <sz val="14"/>
      <name val="宋体"/>
      <charset val="134"/>
    </font>
    <font>
      <sz val="14"/>
      <color indexed="8"/>
      <name val="宋体"/>
      <charset val="134"/>
    </font>
    <font>
      <sz val="14"/>
      <color indexed="12"/>
      <name val="宋体"/>
      <charset val="134"/>
    </font>
    <font>
      <sz val="11"/>
      <name val="新宋体"/>
      <charset val="134"/>
    </font>
    <font>
      <sz val="10"/>
      <color indexed="8"/>
      <name val="宋体"/>
      <charset val="134"/>
    </font>
    <font>
      <sz val="10"/>
      <color rgb="FFFF0000"/>
      <name val="宋体"/>
      <charset val="134"/>
    </font>
    <font>
      <sz val="8"/>
      <name val="楷体_GB2312"/>
      <charset val="134"/>
    </font>
    <font>
      <sz val="14"/>
      <color rgb="FFFF0000"/>
      <name val="宋体"/>
      <charset val="134"/>
    </font>
    <font>
      <sz val="10"/>
      <color indexed="10"/>
      <name val="宋体"/>
      <charset val="134"/>
    </font>
    <font>
      <sz val="12"/>
      <color indexed="10"/>
      <name val="楷体_GB2312"/>
      <charset val="134"/>
    </font>
    <font>
      <sz val="12"/>
      <color indexed="8"/>
      <name val="楷体_GB2312"/>
      <charset val="134"/>
    </font>
    <font>
      <sz val="10"/>
      <name val="楷体_GB2312"/>
      <charset val="134"/>
    </font>
    <font>
      <sz val="12"/>
      <name val="Times New Roman"/>
      <charset val="134"/>
    </font>
    <font>
      <b/>
      <sz val="9"/>
      <name val="宋体"/>
      <charset val="134"/>
    </font>
    <font>
      <sz val="16"/>
      <name val="Times New Roman"/>
      <charset val="134"/>
    </font>
    <font>
      <sz val="12"/>
      <color indexed="48"/>
      <name val="Times New Roman"/>
      <charset val="134"/>
    </font>
    <font>
      <sz val="12"/>
      <name val="仿宋_GB2312"/>
      <charset val="134"/>
    </font>
    <font>
      <b/>
      <sz val="14"/>
      <name val="仿宋_GB2312"/>
      <charset val="134"/>
    </font>
    <font>
      <sz val="16"/>
      <name val="黑体"/>
      <charset val="134"/>
    </font>
    <font>
      <sz val="14"/>
      <name val="黑体"/>
      <charset val="134"/>
    </font>
    <font>
      <b/>
      <sz val="10"/>
      <color indexed="8"/>
      <name val="宋体"/>
      <charset val="134"/>
    </font>
    <font>
      <b/>
      <sz val="9"/>
      <color rgb="FF000000"/>
      <name val="宋体"/>
      <charset val="134"/>
    </font>
    <font>
      <sz val="10"/>
      <color indexed="8"/>
      <name val="Times New Roman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b/>
      <sz val="12"/>
      <name val="Times New Roman"/>
      <charset val="134"/>
    </font>
    <font>
      <sz val="12"/>
      <color indexed="10"/>
      <name val="宋体"/>
      <charset val="134"/>
    </font>
    <font>
      <b/>
      <sz val="14"/>
      <color rgb="FF000000"/>
      <name val="宋体"/>
      <charset val="134"/>
    </font>
    <font>
      <sz val="10"/>
      <name val="仿宋_GB2312"/>
      <charset val="134"/>
    </font>
    <font>
      <sz val="9"/>
      <color indexed="8"/>
      <name val="宋体"/>
      <charset val="134"/>
    </font>
    <font>
      <sz val="9"/>
      <name val="仿宋_GB2312"/>
      <charset val="134"/>
    </font>
    <font>
      <sz val="9"/>
      <color rgb="FF000000"/>
      <name val="宋体"/>
      <charset val="134"/>
    </font>
    <font>
      <sz val="12"/>
      <color indexed="10"/>
      <name val="仿宋_GB2312"/>
      <charset val="134"/>
    </font>
    <font>
      <sz val="8"/>
      <color indexed="8"/>
      <name val="宋体"/>
      <charset val="134"/>
    </font>
    <font>
      <b/>
      <sz val="18"/>
      <color rgb="FF000000"/>
      <name val="宋体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9"/>
      <color rgb="FF000000"/>
      <name val="仿宋_GB2312"/>
      <charset val="134"/>
    </font>
    <font>
      <b/>
      <sz val="16"/>
      <name val="黑体"/>
      <charset val="134"/>
    </font>
    <font>
      <sz val="10.5"/>
      <color rgb="FF000000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9"/>
      <name val="宋体"/>
      <charset val="134"/>
    </font>
    <font>
      <sz val="8"/>
      <name val="Times New Roman"/>
      <charset val="134"/>
    </font>
    <font>
      <sz val="12"/>
      <color indexed="8"/>
      <name val="宋体"/>
      <charset val="134"/>
    </font>
    <font>
      <b/>
      <sz val="11"/>
      <color indexed="52"/>
      <name val="宋体"/>
      <charset val="134"/>
    </font>
    <font>
      <sz val="12"/>
      <color indexed="9"/>
      <name val="宋体"/>
      <charset val="134"/>
    </font>
    <font>
      <sz val="12"/>
      <color theme="0"/>
      <name val="宋体"/>
      <charset val="134"/>
    </font>
    <font>
      <i/>
      <sz val="12"/>
      <color rgb="FF7F7F7F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b/>
      <sz val="13"/>
      <color indexed="56"/>
      <name val="宋体"/>
      <charset val="134"/>
    </font>
    <font>
      <b/>
      <sz val="11"/>
      <color indexed="62"/>
      <name val="宋体"/>
      <charset val="134"/>
    </font>
    <font>
      <sz val="10"/>
      <name val="Arial"/>
      <charset val="134"/>
    </font>
    <font>
      <b/>
      <sz val="11"/>
      <color indexed="63"/>
      <name val="宋体"/>
      <charset val="134"/>
    </font>
    <font>
      <b/>
      <sz val="15"/>
      <color indexed="56"/>
      <name val="宋体"/>
      <charset val="134"/>
    </font>
    <font>
      <sz val="11"/>
      <color indexed="20"/>
      <name val="宋体"/>
      <charset val="134"/>
    </font>
    <font>
      <b/>
      <sz val="18"/>
      <color theme="3"/>
      <name val="宋体"/>
      <charset val="134"/>
      <scheme val="major"/>
    </font>
    <font>
      <b/>
      <sz val="18"/>
      <color indexed="56"/>
      <name val="黑体"/>
      <charset val="134"/>
    </font>
    <font>
      <b/>
      <sz val="10"/>
      <name val="MS Sans Serif"/>
      <charset val="134"/>
    </font>
    <font>
      <sz val="10"/>
      <name val="Geneva"/>
      <charset val="134"/>
    </font>
    <font>
      <sz val="10"/>
      <name val="Helv"/>
      <charset val="134"/>
    </font>
    <font>
      <b/>
      <sz val="18"/>
      <color theme="3"/>
      <name val="宋体"/>
      <charset val="134"/>
    </font>
    <font>
      <sz val="12"/>
      <color theme="1"/>
      <name val="宋体"/>
      <charset val="134"/>
    </font>
    <font>
      <b/>
      <sz val="11"/>
      <color indexed="42"/>
      <name val="宋体"/>
      <charset val="134"/>
    </font>
    <font>
      <u/>
      <sz val="12"/>
      <color indexed="12"/>
      <name val="仿宋_GB2312"/>
      <charset val="134"/>
    </font>
    <font>
      <sz val="11"/>
      <color indexed="42"/>
      <name val="宋体"/>
      <charset val="134"/>
    </font>
    <font>
      <sz val="10"/>
      <name val="楷体"/>
      <charset val="134"/>
    </font>
    <font>
      <b/>
      <sz val="9"/>
      <name val="Arial"/>
      <charset val="134"/>
    </font>
    <font>
      <i/>
      <sz val="11"/>
      <color indexed="23"/>
      <name val="宋体"/>
      <charset val="134"/>
    </font>
    <font>
      <sz val="10"/>
      <color indexed="0"/>
      <name val="Arial"/>
      <charset val="134"/>
    </font>
    <font>
      <sz val="11"/>
      <color theme="1"/>
      <name val="宋体"/>
      <charset val="134"/>
    </font>
    <font>
      <sz val="11"/>
      <color indexed="17"/>
      <name val="宋体"/>
      <charset val="134"/>
    </font>
    <font>
      <sz val="8"/>
      <name val="Arial"/>
      <charset val="134"/>
    </font>
    <font>
      <b/>
      <sz val="12"/>
      <name val="Arial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sz val="12"/>
      <name val="Helv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sz val="12"/>
      <color indexed="9"/>
      <name val="Helv"/>
      <charset val="134"/>
    </font>
    <font>
      <sz val="11"/>
      <color indexed="60"/>
      <name val="宋体"/>
      <charset val="134"/>
    </font>
    <font>
      <sz val="7"/>
      <name val="Small Fonts"/>
      <charset val="134"/>
    </font>
    <font>
      <b/>
      <sz val="12"/>
      <color theme="0"/>
      <name val="宋体"/>
      <charset val="134"/>
    </font>
    <font>
      <b/>
      <sz val="10"/>
      <name val="Tms Rmn"/>
      <charset val="134"/>
    </font>
    <font>
      <sz val="10"/>
      <color indexed="8"/>
      <name val="MS Sans Serif"/>
      <charset val="134"/>
    </font>
    <font>
      <b/>
      <sz val="18"/>
      <color indexed="62"/>
      <name val="宋体"/>
      <charset val="134"/>
    </font>
    <font>
      <b/>
      <sz val="11"/>
      <color indexed="8"/>
      <name val="宋体"/>
      <charset val="134"/>
    </font>
    <font>
      <sz val="11"/>
      <color indexed="10"/>
      <name val="宋体"/>
      <charset val="134"/>
    </font>
    <font>
      <sz val="12"/>
      <color indexed="17"/>
      <name val="宋体"/>
      <charset val="134"/>
    </font>
    <font>
      <b/>
      <sz val="15"/>
      <color theme="3"/>
      <name val="宋体"/>
      <charset val="134"/>
    </font>
    <font>
      <b/>
      <sz val="18"/>
      <color indexed="56"/>
      <name val="宋体"/>
      <charset val="134"/>
    </font>
    <font>
      <b/>
      <sz val="13"/>
      <color theme="3"/>
      <name val="宋体"/>
      <charset val="134"/>
    </font>
    <font>
      <b/>
      <sz val="11"/>
      <color indexed="56"/>
      <name val="宋体"/>
      <charset val="134"/>
    </font>
    <font>
      <b/>
      <sz val="11"/>
      <color theme="3"/>
      <name val="宋体"/>
      <charset val="134"/>
    </font>
    <font>
      <b/>
      <sz val="14"/>
      <name val="楷体"/>
      <charset val="134"/>
    </font>
    <font>
      <sz val="12"/>
      <color rgb="FF9C0006"/>
      <name val="宋体"/>
      <charset val="134"/>
    </font>
    <font>
      <sz val="12"/>
      <color rgb="FF006100"/>
      <name val="宋体"/>
      <charset val="134"/>
    </font>
    <font>
      <sz val="10"/>
      <color indexed="20"/>
      <name val="宋体"/>
      <charset val="134"/>
    </font>
    <font>
      <sz val="12"/>
      <color indexed="16"/>
      <name val="宋体"/>
      <charset val="134"/>
    </font>
    <font>
      <sz val="11"/>
      <color indexed="20"/>
      <name val="Tahoma"/>
      <charset val="134"/>
    </font>
    <font>
      <sz val="12"/>
      <color indexed="20"/>
      <name val="宋体"/>
      <charset val="134"/>
    </font>
    <font>
      <sz val="16"/>
      <name val="宋体"/>
      <charset val="134"/>
    </font>
    <font>
      <sz val="11"/>
      <color indexed="17"/>
      <name val="Tahoma"/>
      <charset val="134"/>
    </font>
    <font>
      <u/>
      <sz val="12"/>
      <color indexed="12"/>
      <name val="宋体"/>
      <charset val="134"/>
    </font>
    <font>
      <sz val="11"/>
      <color indexed="10"/>
      <name val="Times New Roman"/>
      <charset val="134"/>
    </font>
    <font>
      <b/>
      <sz val="10"/>
      <name val="Arial"/>
      <charset val="134"/>
    </font>
    <font>
      <sz val="10"/>
      <color indexed="17"/>
      <name val="宋体"/>
      <charset val="134"/>
    </font>
    <font>
      <b/>
      <sz val="12"/>
      <color theme="1"/>
      <name val="宋体"/>
      <charset val="134"/>
    </font>
    <font>
      <b/>
      <sz val="12"/>
      <color rgb="FFFA7D00"/>
      <name val="宋体"/>
      <charset val="134"/>
    </font>
    <font>
      <sz val="12"/>
      <color rgb="FFFF0000"/>
      <name val="宋体"/>
      <charset val="134"/>
    </font>
    <font>
      <sz val="12"/>
      <color rgb="FFFA7D00"/>
      <name val="宋体"/>
      <charset val="134"/>
    </font>
    <font>
      <sz val="12"/>
      <color rgb="FF9C6500"/>
      <name val="宋体"/>
      <charset val="134"/>
    </font>
    <font>
      <b/>
      <sz val="12"/>
      <color rgb="FF3F3F3F"/>
      <name val="宋体"/>
      <charset val="134"/>
    </font>
    <font>
      <sz val="12"/>
      <color rgb="FF3F3F76"/>
      <name val="宋体"/>
      <charset val="134"/>
    </font>
    <font>
      <vertAlign val="superscript"/>
      <sz val="10"/>
      <name val="宋体"/>
      <charset val="134"/>
    </font>
    <font>
      <vertAlign val="superscript"/>
      <sz val="9"/>
      <color indexed="8"/>
      <name val="宋体"/>
      <charset val="134"/>
    </font>
    <font>
      <b/>
      <sz val="10"/>
      <name val="Times New Roman"/>
      <charset val="134"/>
    </font>
    <font>
      <vertAlign val="superscript"/>
      <sz val="9"/>
      <color rgb="FF000000"/>
      <name val="宋体"/>
      <charset val="134"/>
    </font>
    <font>
      <vertAlign val="superscript"/>
      <sz val="10"/>
      <color indexed="12"/>
      <name val="宋体"/>
      <charset val="134"/>
    </font>
    <font>
      <vertAlign val="superscript"/>
      <sz val="10"/>
      <name val="仿宋_GB2312"/>
      <charset val="134"/>
    </font>
    <font>
      <vertAlign val="superscript"/>
      <sz val="10"/>
      <name val="Times New Roman"/>
      <charset val="134"/>
    </font>
    <font>
      <vertAlign val="superscript"/>
      <sz val="10"/>
      <color indexed="8"/>
      <name val="Times New Roman"/>
      <charset val="134"/>
    </font>
    <font>
      <vertAlign val="superscript"/>
      <sz val="10"/>
      <color indexed="8"/>
      <name val="宋体"/>
      <charset val="134"/>
    </font>
    <font>
      <vertAlign val="superscript"/>
      <sz val="8"/>
      <name val="宋体"/>
      <charset val="134"/>
    </font>
    <font>
      <b/>
      <sz val="16"/>
      <name val="宋体"/>
      <charset val="134"/>
    </font>
    <font>
      <b/>
      <sz val="18"/>
      <name val="宋体"/>
      <charset val="134"/>
    </font>
    <font>
      <b/>
      <sz val="10"/>
      <color indexed="8"/>
      <name val="Times New Roman"/>
      <charset val="134"/>
    </font>
    <font>
      <b/>
      <sz val="14"/>
      <color indexed="8"/>
      <name val="Times New Roman"/>
      <charset val="134"/>
    </font>
    <font>
      <vertAlign val="superscript"/>
      <sz val="10"/>
      <color indexed="10"/>
      <name val="宋体"/>
      <charset val="134"/>
    </font>
    <font>
      <vertAlign val="superscript"/>
      <sz val="11"/>
      <name val="新宋体"/>
      <charset val="134"/>
    </font>
    <font>
      <sz val="9"/>
      <name val="宋体"/>
      <charset val="134"/>
    </font>
  </fonts>
  <fills count="92">
    <fill>
      <patternFill patternType="none"/>
    </fill>
    <fill>
      <patternFill patternType="gray125"/>
    </fill>
    <fill>
      <patternFill patternType="solid">
        <fgColor indexed="1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theme="7" tint="0.39988402966399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5" tint="0.39988402966399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8" tint="0.399884029663991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31"/>
        <bgColor indexed="31"/>
      </patternFill>
    </fill>
    <fill>
      <patternFill patternType="solid">
        <fgColor indexed="9"/>
        <bgColor indexed="64"/>
      </patternFill>
    </fill>
    <fill>
      <patternFill patternType="solid">
        <fgColor theme="4" tint="0.799890133365886"/>
        <bgColor indexed="64"/>
      </patternFill>
    </fill>
    <fill>
      <patternFill patternType="solid">
        <fgColor indexed="47"/>
        <bgColor indexed="47"/>
      </patternFill>
    </fill>
    <fill>
      <patternFill patternType="solid">
        <fgColor theme="5" tint="0.799890133365886"/>
        <bgColor indexed="64"/>
      </patternFill>
    </fill>
    <fill>
      <patternFill patternType="solid">
        <fgColor theme="9" tint="0.399884029663991"/>
        <bgColor indexed="64"/>
      </patternFill>
    </fill>
    <fill>
      <patternFill patternType="solid">
        <fgColor theme="6" tint="0.79989013336588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890133365886"/>
        <bgColor indexed="64"/>
      </patternFill>
    </fill>
    <fill>
      <patternFill patternType="solid">
        <fgColor theme="8" tint="0.799890133365886"/>
        <bgColor indexed="64"/>
      </patternFill>
    </fill>
    <fill>
      <patternFill patternType="solid">
        <fgColor theme="9" tint="0.79989013336588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4" tint="0.399884029663991"/>
        <bgColor indexed="64"/>
      </patternFill>
    </fill>
    <fill>
      <patternFill patternType="solid">
        <fgColor theme="6" tint="0.39988402966399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gray0625"/>
    </fill>
    <fill>
      <patternFill patternType="solid">
        <fgColor indexed="45"/>
        <bgColor indexed="45"/>
      </patternFill>
    </fill>
  </fills>
  <borders count="83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medium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medium">
        <color indexed="0"/>
      </right>
      <top style="thin">
        <color indexed="0"/>
      </top>
      <bottom style="thin">
        <color indexed="0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 diagonalDown="1"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 style="thin">
        <color auto="1"/>
      </diagonal>
    </border>
    <border diagonalDown="1"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thin">
        <color auto="1"/>
      </diagonal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3"/>
      </bottom>
      <diagonal/>
    </border>
    <border>
      <left/>
      <right/>
      <top/>
      <bottom style="medium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theme="4" tint="0.399884029663991"/>
      </bottom>
      <diagonal/>
    </border>
    <border>
      <left/>
      <right/>
      <top/>
      <bottom style="medium">
        <color indexed="13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284">
    <xf numFmtId="0" fontId="0" fillId="0" borderId="0"/>
    <xf numFmtId="43" fontId="58" fillId="0" borderId="0" applyFont="0" applyFill="0" applyBorder="0" applyAlignment="0" applyProtection="0">
      <alignment vertical="center"/>
    </xf>
    <xf numFmtId="44" fontId="58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41" fontId="58" fillId="0" borderId="0" applyFont="0" applyFill="0" applyBorder="0" applyAlignment="0" applyProtection="0">
      <alignment vertical="center"/>
    </xf>
    <xf numFmtId="42" fontId="58" fillId="0" borderId="0" applyFon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8" fillId="20" borderId="54" applyNumberFormat="0" applyFon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4" fillId="0" borderId="55" applyNumberFormat="0" applyFill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21" borderId="57" applyNumberFormat="0" applyAlignment="0" applyProtection="0">
      <alignment vertical="center"/>
    </xf>
    <xf numFmtId="0" fontId="68" fillId="22" borderId="58" applyNumberFormat="0" applyAlignment="0" applyProtection="0">
      <alignment vertical="center"/>
    </xf>
    <xf numFmtId="0" fontId="69" fillId="22" borderId="57" applyNumberFormat="0" applyAlignment="0" applyProtection="0">
      <alignment vertical="center"/>
    </xf>
    <xf numFmtId="0" fontId="70" fillId="23" borderId="59" applyNumberFormat="0" applyAlignment="0" applyProtection="0">
      <alignment vertical="center"/>
    </xf>
    <xf numFmtId="0" fontId="71" fillId="0" borderId="60" applyNumberFormat="0" applyFill="0" applyAlignment="0" applyProtection="0">
      <alignment vertical="center"/>
    </xf>
    <xf numFmtId="0" fontId="72" fillId="0" borderId="61" applyNumberFormat="0" applyFill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6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6" fillId="30" borderId="0" applyNumberFormat="0" applyBorder="0" applyAlignment="0" applyProtection="0">
      <alignment vertical="center"/>
    </xf>
    <xf numFmtId="0" fontId="76" fillId="31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3" borderId="0" applyNumberFormat="0" applyBorder="0" applyAlignment="0" applyProtection="0">
      <alignment vertical="center"/>
    </xf>
    <xf numFmtId="0" fontId="76" fillId="34" borderId="0" applyNumberFormat="0" applyBorder="0" applyAlignment="0" applyProtection="0">
      <alignment vertical="center"/>
    </xf>
    <xf numFmtId="0" fontId="76" fillId="35" borderId="0" applyNumberFormat="0" applyBorder="0" applyAlignment="0" applyProtection="0">
      <alignment vertical="center"/>
    </xf>
    <xf numFmtId="0" fontId="77" fillId="36" borderId="0" applyNumberFormat="0" applyBorder="0" applyAlignment="0" applyProtection="0">
      <alignment vertical="center"/>
    </xf>
    <xf numFmtId="0" fontId="77" fillId="37" borderId="0" applyNumberFormat="0" applyBorder="0" applyAlignment="0" applyProtection="0">
      <alignment vertical="center"/>
    </xf>
    <xf numFmtId="0" fontId="76" fillId="38" borderId="0" applyNumberFormat="0" applyBorder="0" applyAlignment="0" applyProtection="0">
      <alignment vertical="center"/>
    </xf>
    <xf numFmtId="0" fontId="76" fillId="39" borderId="0" applyNumberFormat="0" applyBorder="0" applyAlignment="0" applyProtection="0">
      <alignment vertical="center"/>
    </xf>
    <xf numFmtId="0" fontId="77" fillId="40" borderId="0" applyNumberFormat="0" applyBorder="0" applyAlignment="0" applyProtection="0">
      <alignment vertical="center"/>
    </xf>
    <xf numFmtId="0" fontId="77" fillId="41" borderId="0" applyNumberFormat="0" applyBorder="0" applyAlignment="0" applyProtection="0">
      <alignment vertical="center"/>
    </xf>
    <xf numFmtId="0" fontId="76" fillId="42" borderId="0" applyNumberFormat="0" applyBorder="0" applyAlignment="0" applyProtection="0">
      <alignment vertical="center"/>
    </xf>
    <xf numFmtId="0" fontId="76" fillId="43" borderId="0" applyNumberFormat="0" applyBorder="0" applyAlignment="0" applyProtection="0">
      <alignment vertical="center"/>
    </xf>
    <xf numFmtId="0" fontId="77" fillId="44" borderId="0" applyNumberFormat="0" applyBorder="0" applyAlignment="0" applyProtection="0">
      <alignment vertical="center"/>
    </xf>
    <xf numFmtId="0" fontId="77" fillId="45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7" fillId="48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8" fillId="14" borderId="0" applyNumberFormat="0" applyBorder="0" applyAlignment="0" applyProtection="0">
      <alignment vertical="center"/>
    </xf>
    <xf numFmtId="0" fontId="79" fillId="0" borderId="0">
      <alignment horizontal="center" wrapText="1"/>
      <protection locked="0"/>
    </xf>
    <xf numFmtId="0" fontId="80" fillId="51" borderId="0" applyNumberFormat="0" applyBorder="0" applyAlignment="0" applyProtection="0"/>
    <xf numFmtId="0" fontId="81" fillId="52" borderId="62" applyNumberFormat="0" applyAlignment="0" applyProtection="0">
      <alignment vertical="center"/>
    </xf>
    <xf numFmtId="0" fontId="82" fillId="53" borderId="0" applyNumberFormat="0" applyBorder="0" applyAlignment="0" applyProtection="0"/>
    <xf numFmtId="0" fontId="83" fillId="54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55" borderId="0" applyNumberFormat="0" applyBorder="0" applyAlignment="0" applyProtection="0">
      <alignment vertical="center"/>
    </xf>
    <xf numFmtId="0" fontId="82" fillId="56" borderId="0" applyNumberFormat="0" applyBorder="0" applyAlignment="0" applyProtection="0"/>
    <xf numFmtId="0" fontId="83" fillId="5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86" fillId="5" borderId="62" applyNumberFormat="0" applyAlignment="0" applyProtection="0">
      <alignment vertical="center"/>
    </xf>
    <xf numFmtId="176" fontId="87" fillId="0" borderId="0" applyFont="0" applyFill="0" applyBorder="0" applyAlignment="0" applyProtection="0"/>
    <xf numFmtId="0" fontId="88" fillId="0" borderId="63" applyNumberFormat="0" applyFill="0" applyAlignment="0" applyProtection="0">
      <alignment vertical="center"/>
    </xf>
    <xf numFmtId="0" fontId="89" fillId="0" borderId="64" applyNumberFormat="0" applyFill="0" applyAlignment="0" applyProtection="0">
      <alignment vertical="center"/>
    </xf>
    <xf numFmtId="0" fontId="85" fillId="5" borderId="0" applyNumberFormat="0" applyBorder="0" applyAlignment="0" applyProtection="0">
      <alignment vertical="center"/>
    </xf>
    <xf numFmtId="10" fontId="90" fillId="0" borderId="0" applyFont="0" applyFill="0" applyBorder="0" applyAlignment="0" applyProtection="0"/>
    <xf numFmtId="0" fontId="85" fillId="0" borderId="0"/>
    <xf numFmtId="0" fontId="91" fillId="52" borderId="65" applyNumberFormat="0" applyAlignment="0" applyProtection="0">
      <alignment vertical="center"/>
    </xf>
    <xf numFmtId="0" fontId="92" fillId="0" borderId="66" applyNumberFormat="0" applyFill="0" applyAlignment="0" applyProtection="0">
      <alignment vertical="center"/>
    </xf>
    <xf numFmtId="0" fontId="85" fillId="58" borderId="0" applyNumberFormat="0" applyBorder="0" applyAlignment="0" applyProtection="0">
      <alignment vertical="center"/>
    </xf>
    <xf numFmtId="0" fontId="0" fillId="0" borderId="0" applyProtection="0"/>
    <xf numFmtId="0" fontId="87" fillId="0" borderId="0" applyNumberFormat="0" applyFont="0" applyFill="0" applyBorder="0" applyAlignment="0" applyProtection="0">
      <alignment horizontal="left"/>
    </xf>
    <xf numFmtId="0" fontId="85" fillId="10" borderId="0" applyNumberFormat="0" applyBorder="0" applyAlignment="0" applyProtection="0">
      <alignment vertical="center"/>
    </xf>
    <xf numFmtId="0" fontId="93" fillId="59" borderId="0" applyProtection="0"/>
    <xf numFmtId="0" fontId="94" fillId="0" borderId="0" applyNumberFormat="0" applyFill="0" applyBorder="0" applyAlignment="0" applyProtection="0">
      <alignment vertical="center"/>
    </xf>
    <xf numFmtId="0" fontId="0" fillId="0" borderId="0"/>
    <xf numFmtId="0" fontId="95" fillId="0" borderId="0" applyNumberFormat="0" applyFill="0" applyBorder="0" applyAlignment="0" applyProtection="0">
      <alignment vertical="center"/>
    </xf>
    <xf numFmtId="0" fontId="83" fillId="60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0" fontId="90" fillId="0" borderId="0"/>
    <xf numFmtId="0" fontId="78" fillId="9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/>
    <xf numFmtId="0" fontId="97" fillId="0" borderId="0"/>
    <xf numFmtId="0" fontId="85" fillId="8" borderId="0" applyNumberFormat="0" applyBorder="0" applyAlignment="0" applyProtection="0">
      <alignment vertical="center"/>
    </xf>
    <xf numFmtId="0" fontId="98" fillId="0" borderId="0"/>
    <xf numFmtId="0" fontId="80" fillId="61" borderId="0" applyNumberFormat="0" applyBorder="0" applyAlignment="0" applyProtection="0"/>
    <xf numFmtId="49" fontId="90" fillId="0" borderId="0" applyFont="0" applyFill="0" applyBorder="0" applyAlignment="0" applyProtection="0"/>
    <xf numFmtId="0" fontId="99" fillId="0" borderId="0" applyNumberFormat="0" applyFill="0" applyBorder="0" applyAlignment="0" applyProtection="0">
      <alignment vertical="center"/>
    </xf>
    <xf numFmtId="49" fontId="0" fillId="0" borderId="0" applyFont="0" applyFill="0" applyBorder="0" applyAlignment="0" applyProtection="0"/>
    <xf numFmtId="0" fontId="80" fillId="62" borderId="0" applyNumberFormat="0" applyBorder="0" applyAlignment="0" applyProtection="0"/>
    <xf numFmtId="0" fontId="85" fillId="63" borderId="0" applyNumberFormat="0" applyBorder="0" applyAlignment="0" applyProtection="0">
      <alignment vertical="center"/>
    </xf>
    <xf numFmtId="0" fontId="0" fillId="0" borderId="0"/>
    <xf numFmtId="177" fontId="90" fillId="0" borderId="0" applyFont="0" applyFill="0" applyProtection="0"/>
    <xf numFmtId="0" fontId="100" fillId="64" borderId="0" applyNumberFormat="0" applyBorder="0" applyAlignment="0" applyProtection="0">
      <alignment vertical="center"/>
    </xf>
    <xf numFmtId="0" fontId="82" fillId="65" borderId="0" applyNumberFormat="0" applyBorder="0" applyAlignment="0" applyProtection="0"/>
    <xf numFmtId="0" fontId="85" fillId="59" borderId="0" applyNumberFormat="0" applyBorder="0" applyAlignment="0" applyProtection="0">
      <alignment vertical="center"/>
    </xf>
    <xf numFmtId="0" fontId="100" fillId="66" borderId="0" applyNumberFormat="0" applyBorder="0" applyAlignment="0" applyProtection="0">
      <alignment vertical="center"/>
    </xf>
    <xf numFmtId="0" fontId="83" fillId="67" borderId="0" applyNumberFormat="0" applyBorder="0" applyAlignment="0" applyProtection="0">
      <alignment vertical="center"/>
    </xf>
    <xf numFmtId="0" fontId="85" fillId="15" borderId="0" applyNumberFormat="0" applyBorder="0" applyAlignment="0" applyProtection="0">
      <alignment vertical="center"/>
    </xf>
    <xf numFmtId="0" fontId="30" fillId="0" borderId="0"/>
    <xf numFmtId="0" fontId="100" fillId="68" borderId="0" applyNumberFormat="0" applyBorder="0" applyAlignment="0" applyProtection="0">
      <alignment vertical="center"/>
    </xf>
    <xf numFmtId="0" fontId="101" fillId="56" borderId="67" applyNumberFormat="0" applyAlignment="0" applyProtection="0">
      <alignment vertical="center"/>
    </xf>
    <xf numFmtId="0" fontId="100" fillId="45" borderId="0" applyNumberFormat="0" applyBorder="0" applyAlignment="0" applyProtection="0">
      <alignment vertical="center"/>
    </xf>
    <xf numFmtId="0" fontId="85" fillId="69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top"/>
      <protection locked="0"/>
    </xf>
    <xf numFmtId="0" fontId="100" fillId="70" borderId="0" applyNumberFormat="0" applyBorder="0" applyAlignment="0" applyProtection="0">
      <alignment vertical="center"/>
    </xf>
    <xf numFmtId="0" fontId="100" fillId="71" borderId="0" applyNumberFormat="0" applyBorder="0" applyAlignment="0" applyProtection="0">
      <alignment vertical="center"/>
    </xf>
    <xf numFmtId="0" fontId="100" fillId="72" borderId="0" applyNumberFormat="0" applyBorder="0" applyAlignment="0" applyProtection="0">
      <alignment vertical="center"/>
    </xf>
    <xf numFmtId="0" fontId="85" fillId="52" borderId="0" applyNumberFormat="0" applyBorder="0" applyAlignment="0" applyProtection="0">
      <alignment vertical="center"/>
    </xf>
    <xf numFmtId="0" fontId="82" fillId="73" borderId="0" applyNumberFormat="0" applyBorder="0" applyAlignment="0" applyProtection="0"/>
    <xf numFmtId="0" fontId="85" fillId="74" borderId="0" applyNumberFormat="0" applyBorder="0" applyAlignment="0" applyProtection="0">
      <alignment vertical="center"/>
    </xf>
    <xf numFmtId="0" fontId="85" fillId="3" borderId="0" applyNumberFormat="0" applyBorder="0" applyAlignment="0" applyProtection="0">
      <alignment vertical="center"/>
    </xf>
    <xf numFmtId="0" fontId="85" fillId="14" borderId="0" applyNumberFormat="0" applyBorder="0" applyAlignment="0" applyProtection="0">
      <alignment vertical="center"/>
    </xf>
    <xf numFmtId="0" fontId="100" fillId="29" borderId="0" applyNumberFormat="0" applyBorder="0" applyAlignment="0" applyProtection="0">
      <alignment vertical="center"/>
    </xf>
    <xf numFmtId="0" fontId="100" fillId="33" borderId="0" applyNumberFormat="0" applyBorder="0" applyAlignment="0" applyProtection="0">
      <alignment vertical="center"/>
    </xf>
    <xf numFmtId="0" fontId="100" fillId="37" borderId="0" applyNumberFormat="0" applyBorder="0" applyAlignment="0" applyProtection="0">
      <alignment vertical="center"/>
    </xf>
    <xf numFmtId="0" fontId="100" fillId="41" borderId="0" applyNumberFormat="0" applyBorder="0" applyAlignment="0" applyProtection="0">
      <alignment vertical="center"/>
    </xf>
    <xf numFmtId="0" fontId="85" fillId="7" borderId="0" applyNumberFormat="0" applyBorder="0" applyAlignment="0" applyProtection="0">
      <alignment vertical="center"/>
    </xf>
    <xf numFmtId="0" fontId="100" fillId="49" borderId="0" applyNumberFormat="0" applyBorder="0" applyAlignment="0" applyProtection="0">
      <alignment vertical="center"/>
    </xf>
    <xf numFmtId="0" fontId="0" fillId="0" borderId="0"/>
    <xf numFmtId="0" fontId="103" fillId="73" borderId="0" applyNumberFormat="0" applyBorder="0" applyAlignment="0" applyProtection="0">
      <alignment vertical="center"/>
    </xf>
    <xf numFmtId="0" fontId="104" fillId="0" borderId="68" applyNumberFormat="0" applyFill="0" applyProtection="0">
      <alignment horizontal="center"/>
    </xf>
    <xf numFmtId="0" fontId="103" fillId="74" borderId="0" applyNumberFormat="0" applyBorder="0" applyAlignment="0" applyProtection="0">
      <alignment vertical="center"/>
    </xf>
    <xf numFmtId="0" fontId="103" fillId="3" borderId="0" applyNumberFormat="0" applyBorder="0" applyAlignment="0" applyProtection="0">
      <alignment vertical="center"/>
    </xf>
    <xf numFmtId="3" fontId="87" fillId="0" borderId="0" applyFont="0" applyFill="0" applyBorder="0" applyAlignment="0" applyProtection="0"/>
    <xf numFmtId="14" fontId="79" fillId="0" borderId="0">
      <alignment horizontal="center" wrapText="1"/>
      <protection locked="0"/>
    </xf>
    <xf numFmtId="0" fontId="103" fillId="52" borderId="0" applyNumberFormat="0" applyBorder="0" applyAlignment="0" applyProtection="0">
      <alignment vertical="center"/>
    </xf>
    <xf numFmtId="0" fontId="103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8" fillId="75" borderId="0" applyNumberFormat="0" applyBorder="0" applyAlignment="0" applyProtection="0">
      <alignment vertical="center"/>
    </xf>
    <xf numFmtId="0" fontId="83" fillId="76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74" borderId="0" applyNumberFormat="0" applyBorder="0" applyAlignment="0" applyProtection="0">
      <alignment vertical="center"/>
    </xf>
    <xf numFmtId="0" fontId="78" fillId="5" borderId="0" applyNumberFormat="0" applyBorder="0" applyAlignment="0" applyProtection="0">
      <alignment vertical="center"/>
    </xf>
    <xf numFmtId="0" fontId="78" fillId="55" borderId="0" applyNumberFormat="0" applyBorder="0" applyAlignment="0" applyProtection="0">
      <alignment vertical="center"/>
    </xf>
    <xf numFmtId="0" fontId="78" fillId="52" borderId="0" applyNumberFormat="0" applyBorder="0" applyAlignment="0" applyProtection="0">
      <alignment vertical="center"/>
    </xf>
    <xf numFmtId="0" fontId="83" fillId="77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78" borderId="0" applyNumberFormat="0" applyBorder="0" applyAlignment="0" applyProtection="0">
      <alignment vertical="center"/>
    </xf>
    <xf numFmtId="0" fontId="78" fillId="73" borderId="0" applyNumberFormat="0" applyBorder="0" applyAlignment="0" applyProtection="0">
      <alignment vertical="center"/>
    </xf>
    <xf numFmtId="0" fontId="0" fillId="0" borderId="0"/>
    <xf numFmtId="178" fontId="11" fillId="0" borderId="0"/>
    <xf numFmtId="0" fontId="78" fillId="79" borderId="0" applyNumberFormat="0" applyBorder="0" applyAlignment="0" applyProtection="0">
      <alignment vertical="center"/>
    </xf>
    <xf numFmtId="0" fontId="78" fillId="12" borderId="0" applyNumberFormat="0" applyBorder="0" applyAlignment="0" applyProtection="0">
      <alignment vertical="center"/>
    </xf>
    <xf numFmtId="0" fontId="98" fillId="0" borderId="0">
      <protection locked="0"/>
    </xf>
    <xf numFmtId="0" fontId="82" fillId="80" borderId="0" applyNumberFormat="0" applyBorder="0" applyAlignment="0" applyProtection="0"/>
    <xf numFmtId="0" fontId="82" fillId="81" borderId="0" applyNumberFormat="0" applyBorder="0" applyAlignment="0" applyProtection="0"/>
    <xf numFmtId="0" fontId="83" fillId="43" borderId="0" applyNumberFormat="0" applyBorder="0" applyAlignment="0" applyProtection="0">
      <alignment vertical="center"/>
    </xf>
    <xf numFmtId="0" fontId="103" fillId="9" borderId="0" applyNumberFormat="0" applyBorder="0" applyAlignment="0" applyProtection="0">
      <alignment vertical="center"/>
    </xf>
    <xf numFmtId="0" fontId="82" fillId="82" borderId="0" applyNumberFormat="0" applyBorder="0" applyAlignment="0" applyProtection="0"/>
    <xf numFmtId="0" fontId="103" fillId="12" borderId="0" applyNumberFormat="0" applyBorder="0" applyAlignment="0" applyProtection="0">
      <alignment vertical="center"/>
    </xf>
    <xf numFmtId="179" fontId="90" fillId="0" borderId="0" applyFont="0" applyFill="0" applyBorder="0" applyAlignment="0" applyProtection="0"/>
    <xf numFmtId="0" fontId="80" fillId="83" borderId="0" applyNumberFormat="0" applyBorder="0" applyAlignment="0" applyProtection="0"/>
    <xf numFmtId="0" fontId="82" fillId="51" borderId="0" applyNumberFormat="0" applyBorder="0" applyAlignment="0" applyProtection="0"/>
    <xf numFmtId="0" fontId="103" fillId="81" borderId="0" applyNumberFormat="0" applyBorder="0" applyAlignment="0" applyProtection="0">
      <alignment vertical="center"/>
    </xf>
    <xf numFmtId="0" fontId="80" fillId="84" borderId="0" applyNumberFormat="0" applyBorder="0" applyAlignment="0" applyProtection="0"/>
    <xf numFmtId="0" fontId="93" fillId="69" borderId="0" applyNumberFormat="0" applyBorder="0" applyAlignment="0" applyProtection="0">
      <alignment vertical="center"/>
    </xf>
    <xf numFmtId="0" fontId="103" fillId="85" borderId="0" applyNumberFormat="0" applyBorder="0" applyAlignment="0" applyProtection="0">
      <alignment vertical="center"/>
    </xf>
    <xf numFmtId="0" fontId="80" fillId="65" borderId="0" applyNumberFormat="0" applyBorder="0" applyAlignment="0" applyProtection="0"/>
    <xf numFmtId="0" fontId="82" fillId="79" borderId="0" applyNumberFormat="0" applyBorder="0" applyAlignment="0" applyProtection="0"/>
    <xf numFmtId="0" fontId="93" fillId="59" borderId="0" applyNumberFormat="0" applyBorder="0" applyAlignment="0" applyProtection="0">
      <alignment vertical="center"/>
    </xf>
    <xf numFmtId="0" fontId="96" fillId="0" borderId="31">
      <alignment horizontal="center"/>
    </xf>
    <xf numFmtId="0" fontId="81" fillId="63" borderId="62" applyNumberFormat="0" applyAlignment="0" applyProtection="0">
      <alignment vertical="center"/>
    </xf>
    <xf numFmtId="38" fontId="87" fillId="0" borderId="0" applyFont="0" applyFill="0" applyBorder="0" applyAlignment="0" applyProtection="0"/>
    <xf numFmtId="180" fontId="11" fillId="0" borderId="0"/>
    <xf numFmtId="181" fontId="90" fillId="0" borderId="0" applyFont="0" applyFill="0" applyBorder="0" applyAlignment="0" applyProtection="0"/>
    <xf numFmtId="0" fontId="105" fillId="0" borderId="0" applyNumberFormat="0" applyFill="0" applyBorder="0" applyAlignment="0" applyProtection="0"/>
    <xf numFmtId="182" fontId="90" fillId="0" borderId="0" applyFont="0" applyFill="0" applyBorder="0" applyAlignment="0" applyProtection="0"/>
    <xf numFmtId="15" fontId="87" fillId="0" borderId="0"/>
    <xf numFmtId="183" fontId="11" fillId="0" borderId="0"/>
    <xf numFmtId="184" fontId="0" fillId="0" borderId="0" applyFont="0" applyFill="0" applyBorder="0" applyAlignment="0" applyProtection="0">
      <alignment vertical="center"/>
    </xf>
    <xf numFmtId="0" fontId="78" fillId="86" borderId="0" applyNumberFormat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7" fillId="0" borderId="0" applyFill="0"/>
    <xf numFmtId="0" fontId="90" fillId="0" borderId="0" applyProtection="0"/>
    <xf numFmtId="0" fontId="108" fillId="0" borderId="0">
      <alignment vertical="center"/>
    </xf>
    <xf numFmtId="0" fontId="109" fillId="15" borderId="0" applyNumberFormat="0" applyBorder="0" applyAlignment="0" applyProtection="0">
      <alignment vertical="center"/>
    </xf>
    <xf numFmtId="38" fontId="110" fillId="52" borderId="0" applyNumberFormat="0" applyBorder="0" applyAlignment="0" applyProtection="0"/>
    <xf numFmtId="0" fontId="111" fillId="0" borderId="69" applyNumberFormat="0" applyAlignment="0" applyProtection="0">
      <alignment horizontal="left" vertical="center"/>
    </xf>
    <xf numFmtId="0" fontId="111" fillId="0" borderId="29">
      <alignment horizontal="left" vertical="center"/>
    </xf>
    <xf numFmtId="0" fontId="112" fillId="0" borderId="70" applyNumberFormat="0" applyFill="0" applyAlignment="0" applyProtection="0">
      <alignment vertical="center"/>
    </xf>
    <xf numFmtId="0" fontId="113" fillId="0" borderId="71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0" fontId="110" fillId="58" borderId="2" applyNumberFormat="0" applyBorder="0" applyAlignment="0" applyProtection="0"/>
    <xf numFmtId="185" fontId="114" fillId="87" borderId="0"/>
    <xf numFmtId="0" fontId="115" fillId="56" borderId="67" applyNumberFormat="0" applyAlignment="0" applyProtection="0">
      <alignment vertical="center"/>
    </xf>
    <xf numFmtId="0" fontId="116" fillId="0" borderId="72" applyNumberFormat="0" applyFill="0" applyAlignment="0" applyProtection="0">
      <alignment vertical="center"/>
    </xf>
    <xf numFmtId="185" fontId="117" fillId="88" borderId="0"/>
    <xf numFmtId="40" fontId="87" fillId="0" borderId="0" applyFont="0" applyFill="0" applyBorder="0" applyAlignment="0" applyProtection="0"/>
    <xf numFmtId="186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187" fontId="87" fillId="0" borderId="0" applyFont="0" applyFill="0" applyBorder="0" applyAlignment="0" applyProtection="0"/>
    <xf numFmtId="0" fontId="118" fillId="3" borderId="0" applyNumberFormat="0" applyBorder="0" applyAlignment="0" applyProtection="0">
      <alignment vertical="center"/>
    </xf>
    <xf numFmtId="0" fontId="11" fillId="0" borderId="0"/>
    <xf numFmtId="37" fontId="119" fillId="0" borderId="0"/>
    <xf numFmtId="188" fontId="90" fillId="0" borderId="0"/>
    <xf numFmtId="0" fontId="90" fillId="58" borderId="73" applyNumberFormat="0" applyFont="0" applyAlignment="0" applyProtection="0">
      <alignment vertical="center"/>
    </xf>
    <xf numFmtId="0" fontId="91" fillId="63" borderId="65" applyNumberFormat="0" applyAlignment="0" applyProtection="0">
      <alignment vertical="center"/>
    </xf>
    <xf numFmtId="9" fontId="98" fillId="0" borderId="0" applyFont="0" applyFill="0" applyBorder="0" applyAlignment="0" applyProtection="0"/>
    <xf numFmtId="15" fontId="87" fillId="0" borderId="0" applyFont="0" applyFill="0" applyBorder="0" applyAlignment="0" applyProtection="0"/>
    <xf numFmtId="0" fontId="120" fillId="23" borderId="59" applyNumberFormat="0" applyAlignment="0" applyProtection="0">
      <alignment vertical="center"/>
    </xf>
    <xf numFmtId="0" fontId="0" fillId="0" borderId="0">
      <alignment vertical="center"/>
    </xf>
    <xf numFmtId="4" fontId="87" fillId="0" borderId="0" applyFont="0" applyFill="0" applyBorder="0" applyAlignment="0" applyProtection="0"/>
    <xf numFmtId="0" fontId="85" fillId="0" borderId="0">
      <alignment vertical="center"/>
    </xf>
    <xf numFmtId="0" fontId="87" fillId="89" borderId="0" applyNumberFormat="0" applyFont="0" applyBorder="0" applyAlignment="0" applyProtection="0"/>
    <xf numFmtId="0" fontId="121" fillId="90" borderId="44">
      <protection locked="0"/>
    </xf>
    <xf numFmtId="0" fontId="83" fillId="27" borderId="0" applyNumberFormat="0" applyBorder="0" applyAlignment="0" applyProtection="0">
      <alignment vertical="center"/>
    </xf>
    <xf numFmtId="0" fontId="122" fillId="0" borderId="0"/>
    <xf numFmtId="0" fontId="123" fillId="0" borderId="0" applyNumberFormat="0" applyFill="0" applyBorder="0" applyAlignment="0" applyProtection="0">
      <alignment vertical="center"/>
    </xf>
    <xf numFmtId="0" fontId="124" fillId="0" borderId="74" applyNumberFormat="0" applyFill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0" fontId="126" fillId="15" borderId="0" applyNumberFormat="0" applyBorder="0" applyAlignment="0" applyProtection="0"/>
    <xf numFmtId="9" fontId="0" fillId="0" borderId="0" applyProtection="0"/>
    <xf numFmtId="189" fontId="90" fillId="0" borderId="0" applyFont="0" applyFill="0" applyBorder="0" applyAlignment="0" applyProtection="0"/>
    <xf numFmtId="190" fontId="90" fillId="0" borderId="0" applyFont="0" applyFill="0" applyBorder="0" applyAlignment="0" applyProtection="0"/>
    <xf numFmtId="0" fontId="90" fillId="0" borderId="42" applyNumberFormat="0" applyFill="0" applyProtection="0">
      <alignment horizontal="right"/>
    </xf>
    <xf numFmtId="0" fontId="92" fillId="0" borderId="75" applyNumberFormat="0" applyFill="0" applyAlignment="0" applyProtection="0">
      <alignment vertical="center"/>
    </xf>
    <xf numFmtId="0" fontId="127" fillId="0" borderId="76" applyNumberFormat="0" applyFill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88" fillId="0" borderId="71" applyNumberFormat="0" applyFill="0" applyAlignment="0" applyProtection="0">
      <alignment vertical="center"/>
    </xf>
    <xf numFmtId="0" fontId="129" fillId="0" borderId="77" applyNumberFormat="0" applyFill="0" applyAlignment="0" applyProtection="0">
      <alignment vertical="center"/>
    </xf>
    <xf numFmtId="0" fontId="130" fillId="0" borderId="78" applyNumberFormat="0" applyFill="0" applyAlignment="0" applyProtection="0">
      <alignment vertical="center"/>
    </xf>
    <xf numFmtId="0" fontId="131" fillId="0" borderId="79" applyNumberFormat="0" applyFill="0" applyAlignment="0" applyProtection="0">
      <alignment vertical="center"/>
    </xf>
    <xf numFmtId="0" fontId="130" fillId="0" borderId="80" applyNumberFormat="0" applyFill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0" borderId="0" applyNumberFormat="0" applyFill="0" applyBorder="0" applyAlignment="0" applyProtection="0">
      <alignment vertical="center"/>
    </xf>
    <xf numFmtId="0" fontId="132" fillId="0" borderId="42" applyNumberFormat="0" applyFill="0" applyProtection="0">
      <alignment horizontal="center"/>
    </xf>
    <xf numFmtId="0" fontId="123" fillId="0" borderId="0" applyNumberFormat="0" applyFill="0" applyBorder="0" applyAlignment="0" applyProtection="0"/>
    <xf numFmtId="0" fontId="133" fillId="25" borderId="0" applyNumberFormat="0" applyBorder="0" applyAlignment="0" applyProtection="0">
      <alignment vertical="center"/>
    </xf>
    <xf numFmtId="0" fontId="134" fillId="24" borderId="0" applyNumberFormat="0" applyBorder="0" applyAlignment="0" applyProtection="0">
      <alignment vertical="center"/>
    </xf>
    <xf numFmtId="0" fontId="135" fillId="59" borderId="0" applyNumberFormat="0" applyBorder="0" applyAlignment="0" applyProtection="0">
      <alignment vertical="center"/>
    </xf>
    <xf numFmtId="0" fontId="93" fillId="52" borderId="0" applyNumberFormat="0" applyBorder="0" applyAlignment="0" applyProtection="0">
      <alignment vertical="center"/>
    </xf>
    <xf numFmtId="0" fontId="136" fillId="91" borderId="0" applyNumberFormat="0" applyBorder="0" applyAlignment="0" applyProtection="0"/>
    <xf numFmtId="0" fontId="136" fillId="59" borderId="0" applyNumberFormat="0" applyBorder="0" applyAlignment="0" applyProtection="0"/>
    <xf numFmtId="0" fontId="137" fillId="59" borderId="0" applyNumberFormat="0" applyBorder="0" applyAlignment="0" applyProtection="0">
      <alignment vertical="center"/>
    </xf>
    <xf numFmtId="0" fontId="138" fillId="59" borderId="0" applyNumberFormat="0" applyBorder="0" applyAlignment="0" applyProtection="0">
      <alignment vertical="center"/>
    </xf>
    <xf numFmtId="0" fontId="108" fillId="0" borderId="0"/>
    <xf numFmtId="0" fontId="0" fillId="0" borderId="0"/>
    <xf numFmtId="0" fontId="58" fillId="0" borderId="0">
      <alignment vertical="center"/>
    </xf>
    <xf numFmtId="0" fontId="58" fillId="0" borderId="0"/>
    <xf numFmtId="0" fontId="139" fillId="0" borderId="0"/>
    <xf numFmtId="0" fontId="0" fillId="0" borderId="0" applyProtection="0">
      <alignment vertical="center"/>
    </xf>
    <xf numFmtId="0" fontId="0" fillId="0" borderId="0"/>
    <xf numFmtId="0" fontId="10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40" fillId="15" borderId="0" applyNumberFormat="0" applyBorder="0" applyAlignment="0" applyProtection="0">
      <alignment vertical="center"/>
    </xf>
    <xf numFmtId="0" fontId="141" fillId="0" borderId="0" applyNumberFormat="0" applyFill="0" applyBorder="0" applyAlignment="0" applyProtection="0">
      <alignment vertical="top"/>
      <protection locked="0"/>
    </xf>
    <xf numFmtId="0" fontId="83" fillId="31" borderId="0" applyNumberFormat="0" applyBorder="0" applyAlignment="0" applyProtection="0">
      <alignment vertical="center"/>
    </xf>
    <xf numFmtId="0" fontId="142" fillId="0" borderId="0">
      <alignment vertical="center"/>
    </xf>
    <xf numFmtId="0" fontId="142" fillId="0" borderId="0">
      <alignment horizontal="left" vertical="center"/>
    </xf>
    <xf numFmtId="3" fontId="143" fillId="0" borderId="0" applyNumberFormat="0" applyFill="0" applyBorder="0" applyAlignment="0" applyProtection="0"/>
    <xf numFmtId="0" fontId="125" fillId="0" borderId="81" applyFont="0">
      <alignment horizontal="left" vertical="center" wrapText="1"/>
    </xf>
    <xf numFmtId="0" fontId="144" fillId="15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10" borderId="0" applyNumberFormat="0" applyBorder="0" applyAlignment="0" applyProtection="0">
      <alignment vertical="center"/>
    </xf>
    <xf numFmtId="0" fontId="126" fillId="83" borderId="0" applyNumberFormat="0" applyBorder="0" applyAlignment="0" applyProtection="0"/>
    <xf numFmtId="0" fontId="124" fillId="0" borderId="82" applyNumberFormat="0" applyFill="0" applyAlignment="0" applyProtection="0">
      <alignment vertical="center"/>
    </xf>
    <xf numFmtId="0" fontId="145" fillId="0" borderId="61" applyNumberFormat="0" applyFill="0" applyAlignment="0" applyProtection="0">
      <alignment vertical="center"/>
    </xf>
    <xf numFmtId="0" fontId="146" fillId="22" borderId="57" applyNumberFormat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8" fillId="0" borderId="60" applyNumberFormat="0" applyFill="0" applyAlignment="0" applyProtection="0">
      <alignment vertical="center"/>
    </xf>
    <xf numFmtId="0" fontId="83" fillId="35" borderId="0" applyNumberFormat="0" applyBorder="0" applyAlignment="0" applyProtection="0">
      <alignment vertical="center"/>
    </xf>
    <xf numFmtId="0" fontId="83" fillId="39" borderId="0" applyNumberFormat="0" applyBorder="0" applyAlignment="0" applyProtection="0">
      <alignment vertical="center"/>
    </xf>
    <xf numFmtId="0" fontId="78" fillId="85" borderId="0" applyNumberFormat="0" applyBorder="0" applyAlignment="0" applyProtection="0">
      <alignment vertical="center"/>
    </xf>
    <xf numFmtId="0" fontId="83" fillId="47" borderId="0" applyNumberFormat="0" applyBorder="0" applyAlignment="0" applyProtection="0">
      <alignment vertical="center"/>
    </xf>
    <xf numFmtId="0" fontId="149" fillId="26" borderId="0" applyNumberFormat="0" applyBorder="0" applyAlignment="0" applyProtection="0">
      <alignment vertical="center"/>
    </xf>
    <xf numFmtId="0" fontId="150" fillId="22" borderId="58" applyNumberFormat="0" applyAlignment="0" applyProtection="0">
      <alignment vertical="center"/>
    </xf>
    <xf numFmtId="0" fontId="151" fillId="21" borderId="57" applyNumberFormat="0" applyAlignment="0" applyProtection="0">
      <alignment vertical="center"/>
    </xf>
    <xf numFmtId="0" fontId="0" fillId="58" borderId="73" applyNumberFormat="0" applyFont="0" applyAlignment="0" applyProtection="0">
      <alignment vertical="center"/>
    </xf>
    <xf numFmtId="0" fontId="80" fillId="20" borderId="54" applyNumberFormat="0" applyFont="0" applyAlignment="0" applyProtection="0">
      <alignment vertical="center"/>
    </xf>
  </cellStyleXfs>
  <cellXfs count="1036">
    <xf numFmtId="0" fontId="0" fillId="0" borderId="0" xfId="0" applyFont="1"/>
    <xf numFmtId="0" fontId="1" fillId="0" borderId="0" xfId="100" applyFont="1"/>
    <xf numFmtId="0" fontId="0" fillId="0" borderId="0" xfId="100" applyFont="1"/>
    <xf numFmtId="0" fontId="1" fillId="0" borderId="0" xfId="100" applyFont="1" applyBorder="1" applyAlignment="1">
      <alignment horizontal="center"/>
    </xf>
    <xf numFmtId="0" fontId="2" fillId="0" borderId="1" xfId="100" applyFont="1" applyBorder="1" applyAlignment="1">
      <alignment horizontal="center"/>
    </xf>
    <xf numFmtId="0" fontId="3" fillId="0" borderId="0" xfId="100" applyFont="1"/>
    <xf numFmtId="0" fontId="3" fillId="0" borderId="0" xfId="100" applyFont="1" applyAlignment="1">
      <alignment horizontal="right"/>
    </xf>
    <xf numFmtId="0" fontId="3" fillId="2" borderId="2" xfId="100" applyFont="1" applyFill="1" applyBorder="1"/>
    <xf numFmtId="0" fontId="2" fillId="0" borderId="0" xfId="100" applyFont="1" applyBorder="1" applyAlignment="1">
      <alignment horizontal="center"/>
    </xf>
    <xf numFmtId="0" fontId="2" fillId="3" borderId="2" xfId="100" applyFont="1" applyFill="1" applyBorder="1" applyAlignment="1">
      <alignment horizontal="center" wrapText="1"/>
    </xf>
    <xf numFmtId="0" fontId="2" fillId="0" borderId="3" xfId="100" applyFont="1" applyBorder="1" applyAlignment="1">
      <alignment horizontal="center" wrapText="1"/>
    </xf>
    <xf numFmtId="0" fontId="2" fillId="0" borderId="4" xfId="100" applyFont="1" applyBorder="1" applyAlignment="1">
      <alignment horizontal="center" wrapText="1"/>
    </xf>
    <xf numFmtId="0" fontId="2" fillId="0" borderId="5" xfId="100" applyFont="1" applyBorder="1" applyAlignment="1">
      <alignment horizontal="center" wrapText="1"/>
    </xf>
    <xf numFmtId="0" fontId="2" fillId="0" borderId="6" xfId="100" applyFont="1" applyBorder="1" applyAlignment="1">
      <alignment horizontal="center" wrapText="1"/>
    </xf>
    <xf numFmtId="0" fontId="2" fillId="4" borderId="7" xfId="100" applyFont="1" applyFill="1" applyBorder="1" applyAlignment="1">
      <alignment horizontal="center" wrapText="1"/>
    </xf>
    <xf numFmtId="0" fontId="4" fillId="3" borderId="2" xfId="100" applyFont="1" applyFill="1" applyBorder="1" applyAlignment="1">
      <alignment horizontal="center" wrapText="1"/>
    </xf>
    <xf numFmtId="0" fontId="2" fillId="0" borderId="7" xfId="100" applyFont="1" applyBorder="1" applyAlignment="1">
      <alignment horizontal="center" wrapText="1"/>
    </xf>
    <xf numFmtId="0" fontId="2" fillId="0" borderId="8" xfId="100" applyFont="1" applyBorder="1" applyAlignment="1">
      <alignment horizontal="center" wrapText="1"/>
    </xf>
    <xf numFmtId="0" fontId="3" fillId="3" borderId="2" xfId="100" applyFont="1" applyFill="1" applyBorder="1" applyAlignment="1">
      <alignment horizontal="justify" wrapText="1"/>
    </xf>
    <xf numFmtId="0" fontId="5" fillId="5" borderId="2" xfId="100" applyFont="1" applyFill="1" applyBorder="1" applyAlignment="1">
      <alignment horizontal="right" wrapText="1"/>
    </xf>
    <xf numFmtId="0" fontId="5" fillId="2" borderId="2" xfId="100" applyFont="1" applyFill="1" applyBorder="1" applyAlignment="1">
      <alignment horizontal="right" wrapText="1"/>
    </xf>
    <xf numFmtId="191" fontId="5" fillId="2" borderId="2" xfId="100" applyNumberFormat="1" applyFont="1" applyFill="1" applyBorder="1" applyAlignment="1">
      <alignment horizontal="right" wrapText="1"/>
    </xf>
    <xf numFmtId="0" fontId="3" fillId="0" borderId="7" xfId="100" applyFont="1" applyBorder="1" applyAlignment="1">
      <alignment horizontal="center" wrapText="1"/>
    </xf>
    <xf numFmtId="0" fontId="2" fillId="0" borderId="9" xfId="100" applyFont="1" applyBorder="1" applyAlignment="1">
      <alignment horizontal="center" wrapText="1"/>
    </xf>
    <xf numFmtId="0" fontId="6" fillId="0" borderId="2" xfId="100" applyFont="1" applyBorder="1" applyAlignment="1">
      <alignment horizontal="center" wrapText="1"/>
    </xf>
    <xf numFmtId="0" fontId="3" fillId="0" borderId="10" xfId="100" applyFont="1" applyBorder="1" applyAlignment="1">
      <alignment horizontal="center" wrapText="1"/>
    </xf>
    <xf numFmtId="0" fontId="5" fillId="4" borderId="2" xfId="100" applyFont="1" applyFill="1" applyBorder="1" applyAlignment="1">
      <alignment horizontal="right" wrapText="1"/>
    </xf>
    <xf numFmtId="0" fontId="2" fillId="3" borderId="11" xfId="100" applyFont="1" applyFill="1" applyBorder="1" applyAlignment="1">
      <alignment horizontal="center" wrapText="1"/>
    </xf>
    <xf numFmtId="0" fontId="5" fillId="5" borderId="11" xfId="100" applyFont="1" applyFill="1" applyBorder="1" applyAlignment="1">
      <alignment horizontal="right" wrapText="1"/>
    </xf>
    <xf numFmtId="0" fontId="3" fillId="3" borderId="11" xfId="100" applyFont="1" applyFill="1" applyBorder="1" applyAlignment="1">
      <alignment horizontal="justify" wrapText="1"/>
    </xf>
    <xf numFmtId="0" fontId="5" fillId="2" borderId="11" xfId="100" applyFont="1" applyFill="1" applyBorder="1" applyAlignment="1">
      <alignment horizontal="right" wrapText="1"/>
    </xf>
    <xf numFmtId="0" fontId="0" fillId="0" borderId="0" xfId="248" applyFont="1" applyFill="1">
      <alignment vertical="center"/>
    </xf>
    <xf numFmtId="0" fontId="0" fillId="0" borderId="0" xfId="248" applyFont="1">
      <alignment vertical="center"/>
    </xf>
    <xf numFmtId="191" fontId="1" fillId="0" borderId="0" xfId="59" applyNumberFormat="1" applyFont="1" applyFill="1" applyBorder="1" applyAlignment="1">
      <alignment horizontal="center" vertical="center"/>
    </xf>
    <xf numFmtId="0" fontId="0" fillId="0" borderId="0" xfId="246" applyFont="1" applyFill="1"/>
    <xf numFmtId="0" fontId="7" fillId="0" borderId="0" xfId="246" applyFont="1" applyFill="1"/>
    <xf numFmtId="0" fontId="8" fillId="0" borderId="12" xfId="59" applyFont="1" applyFill="1" applyBorder="1" applyAlignment="1">
      <alignment horizontal="center" vertical="center"/>
    </xf>
    <xf numFmtId="0" fontId="8" fillId="0" borderId="13" xfId="59" applyFont="1" applyFill="1" applyBorder="1" applyAlignment="1">
      <alignment horizontal="center" vertical="center"/>
    </xf>
    <xf numFmtId="192" fontId="8" fillId="0" borderId="13" xfId="59" applyNumberFormat="1" applyFont="1" applyFill="1" applyBorder="1" applyAlignment="1">
      <alignment horizontal="center" vertical="center"/>
    </xf>
    <xf numFmtId="192" fontId="8" fillId="0" borderId="14" xfId="59" applyNumberFormat="1" applyFont="1" applyFill="1" applyBorder="1" applyAlignment="1">
      <alignment horizontal="center" vertical="center"/>
    </xf>
    <xf numFmtId="0" fontId="9" fillId="0" borderId="15" xfId="59" applyFont="1" applyFill="1" applyBorder="1" applyAlignment="1">
      <alignment horizontal="center" vertical="center"/>
    </xf>
    <xf numFmtId="0" fontId="10" fillId="0" borderId="2" xfId="59" applyFont="1" applyFill="1" applyBorder="1" applyAlignment="1">
      <alignment horizontal="justify" vertical="center"/>
    </xf>
    <xf numFmtId="0" fontId="10" fillId="0" borderId="2" xfId="59" applyFont="1" applyFill="1" applyBorder="1" applyAlignment="1">
      <alignment horizontal="center" vertical="center"/>
    </xf>
    <xf numFmtId="192" fontId="10" fillId="6" borderId="2" xfId="59" applyNumberFormat="1" applyFont="1" applyFill="1" applyBorder="1" applyAlignment="1">
      <alignment horizontal="center" vertical="center"/>
    </xf>
    <xf numFmtId="0" fontId="9" fillId="0" borderId="2" xfId="59" applyFont="1" applyFill="1" applyBorder="1" applyAlignment="1">
      <alignment horizontal="center" vertical="center"/>
    </xf>
    <xf numFmtId="0" fontId="9" fillId="0" borderId="2" xfId="246" applyFont="1" applyFill="1" applyBorder="1" applyAlignment="1">
      <alignment horizontal="center"/>
    </xf>
    <xf numFmtId="191" fontId="9" fillId="0" borderId="16" xfId="246" applyNumberFormat="1" applyFont="1" applyFill="1" applyBorder="1" applyAlignment="1">
      <alignment horizontal="center"/>
    </xf>
    <xf numFmtId="0" fontId="9" fillId="0" borderId="2" xfId="59" applyFont="1" applyFill="1" applyBorder="1" applyAlignment="1">
      <alignment horizontal="justify" vertical="center"/>
    </xf>
    <xf numFmtId="192" fontId="9" fillId="0" borderId="2" xfId="59" applyNumberFormat="1" applyFont="1" applyFill="1" applyBorder="1" applyAlignment="1">
      <alignment horizontal="center" vertical="center"/>
    </xf>
    <xf numFmtId="191" fontId="9" fillId="7" borderId="16" xfId="246" applyNumberFormat="1" applyFont="1" applyFill="1" applyBorder="1" applyAlignment="1">
      <alignment horizontal="center"/>
    </xf>
    <xf numFmtId="191" fontId="9" fillId="6" borderId="16" xfId="246" applyNumberFormat="1" applyFont="1" applyFill="1" applyBorder="1" applyAlignment="1">
      <alignment horizontal="center"/>
    </xf>
    <xf numFmtId="192" fontId="9" fillId="7" borderId="2" xfId="59" applyNumberFormat="1" applyFont="1" applyFill="1" applyBorder="1" applyAlignment="1">
      <alignment horizontal="center" vertical="center"/>
    </xf>
    <xf numFmtId="0" fontId="9" fillId="7" borderId="2" xfId="59" applyFont="1" applyFill="1" applyBorder="1" applyAlignment="1">
      <alignment horizontal="justify" vertical="center"/>
    </xf>
    <xf numFmtId="192" fontId="9" fillId="3" borderId="2" xfId="59" applyNumberFormat="1" applyFont="1" applyFill="1" applyBorder="1" applyAlignment="1">
      <alignment horizontal="center" vertical="center"/>
    </xf>
    <xf numFmtId="0" fontId="9" fillId="8" borderId="2" xfId="248" applyFont="1" applyFill="1" applyBorder="1" applyAlignment="1">
      <alignment horizontal="center" vertical="center"/>
    </xf>
    <xf numFmtId="0" fontId="9" fillId="5" borderId="2" xfId="248" applyFont="1" applyFill="1" applyBorder="1" applyAlignment="1">
      <alignment horizontal="center" vertical="center"/>
    </xf>
    <xf numFmtId="191" fontId="9" fillId="9" borderId="16" xfId="246" applyNumberFormat="1" applyFont="1" applyFill="1" applyBorder="1" applyAlignment="1">
      <alignment horizontal="center"/>
    </xf>
    <xf numFmtId="192" fontId="9" fillId="0" borderId="2" xfId="202" applyNumberFormat="1" applyFont="1" applyBorder="1" applyAlignment="1">
      <alignment horizontal="left" vertical="center" wrapText="1"/>
    </xf>
    <xf numFmtId="0" fontId="9" fillId="6" borderId="2" xfId="248" applyFont="1" applyFill="1" applyBorder="1" applyAlignment="1">
      <alignment horizontal="center" vertical="center"/>
    </xf>
    <xf numFmtId="0" fontId="0" fillId="0" borderId="2" xfId="246" applyFont="1" applyFill="1" applyBorder="1"/>
    <xf numFmtId="0" fontId="9" fillId="3" borderId="2" xfId="248" applyFont="1" applyFill="1" applyBorder="1" applyAlignment="1">
      <alignment horizontal="center" vertical="center"/>
    </xf>
    <xf numFmtId="0" fontId="9" fillId="0" borderId="2" xfId="248" applyFont="1" applyFill="1" applyBorder="1" applyAlignment="1">
      <alignment horizontal="center" vertical="center"/>
    </xf>
    <xf numFmtId="0" fontId="9" fillId="7" borderId="2" xfId="248" applyFont="1" applyFill="1" applyBorder="1" applyAlignment="1">
      <alignment horizontal="center" vertical="center"/>
    </xf>
    <xf numFmtId="0" fontId="0" fillId="0" borderId="16" xfId="246" applyFont="1" applyFill="1" applyBorder="1"/>
    <xf numFmtId="0" fontId="9" fillId="9" borderId="2" xfId="248" applyFont="1" applyFill="1" applyBorder="1" applyAlignment="1">
      <alignment horizontal="center" vertical="center"/>
    </xf>
    <xf numFmtId="192" fontId="9" fillId="9" borderId="2" xfId="59" applyNumberFormat="1" applyFont="1" applyFill="1" applyBorder="1" applyAlignment="1">
      <alignment horizontal="center" vertical="center"/>
    </xf>
    <xf numFmtId="0" fontId="9" fillId="10" borderId="17" xfId="248" applyFont="1" applyFill="1" applyBorder="1" applyAlignment="1">
      <alignment horizontal="left" vertical="center"/>
    </xf>
    <xf numFmtId="0" fontId="9" fillId="10" borderId="18" xfId="248" applyFont="1" applyFill="1" applyBorder="1" applyAlignment="1">
      <alignment horizontal="left" vertical="center"/>
    </xf>
    <xf numFmtId="0" fontId="9" fillId="0" borderId="2" xfId="59" applyFont="1" applyFill="1" applyBorder="1" applyAlignment="1">
      <alignment horizontal="left" vertical="center"/>
    </xf>
    <xf numFmtId="0" fontId="11" fillId="0" borderId="2" xfId="59" applyFont="1" applyFill="1" applyBorder="1" applyAlignment="1">
      <alignment horizontal="center" vertical="center"/>
    </xf>
    <xf numFmtId="0" fontId="9" fillId="0" borderId="2" xfId="59" applyFont="1" applyFill="1" applyBorder="1" applyAlignment="1">
      <alignment vertical="center"/>
    </xf>
    <xf numFmtId="0" fontId="10" fillId="0" borderId="2" xfId="59" applyFont="1" applyFill="1" applyBorder="1" applyAlignment="1">
      <alignment vertical="center"/>
    </xf>
    <xf numFmtId="0" fontId="12" fillId="0" borderId="2" xfId="59" applyFont="1" applyFill="1" applyBorder="1"/>
    <xf numFmtId="192" fontId="10" fillId="0" borderId="2" xfId="59" applyNumberFormat="1" applyFont="1" applyFill="1" applyBorder="1" applyAlignment="1">
      <alignment horizontal="center" vertical="center"/>
    </xf>
    <xf numFmtId="0" fontId="10" fillId="0" borderId="2" xfId="59" applyFont="1" applyFill="1" applyBorder="1" applyAlignment="1">
      <alignment horizontal="left" vertical="center"/>
    </xf>
    <xf numFmtId="0" fontId="9" fillId="0" borderId="2" xfId="249" applyFont="1" applyFill="1" applyBorder="1" applyAlignment="1">
      <alignment horizontal="center" vertical="center"/>
    </xf>
    <xf numFmtId="192" fontId="13" fillId="0" borderId="2" xfId="59" applyNumberFormat="1" applyFont="1" applyFill="1" applyBorder="1" applyAlignment="1">
      <alignment horizontal="center" vertical="center"/>
    </xf>
    <xf numFmtId="192" fontId="10" fillId="11" borderId="2" xfId="59" applyNumberFormat="1" applyFont="1" applyFill="1" applyBorder="1" applyAlignment="1">
      <alignment horizontal="center" vertical="center"/>
    </xf>
    <xf numFmtId="192" fontId="10" fillId="12" borderId="2" xfId="59" applyNumberFormat="1" applyFont="1" applyFill="1" applyBorder="1" applyAlignment="1">
      <alignment horizontal="center" vertical="center"/>
    </xf>
    <xf numFmtId="0" fontId="9" fillId="0" borderId="19" xfId="59" applyFont="1" applyFill="1" applyBorder="1" applyAlignment="1">
      <alignment horizontal="center" vertical="center"/>
    </xf>
    <xf numFmtId="0" fontId="11" fillId="0" borderId="20" xfId="59" applyFont="1" applyFill="1" applyBorder="1" applyAlignment="1">
      <alignment horizontal="center" vertical="center"/>
    </xf>
    <xf numFmtId="192" fontId="10" fillId="12" borderId="20" xfId="59" applyNumberFormat="1" applyFont="1" applyFill="1" applyBorder="1" applyAlignment="1">
      <alignment horizontal="center" vertical="center"/>
    </xf>
    <xf numFmtId="0" fontId="9" fillId="0" borderId="20" xfId="59" applyFont="1" applyFill="1" applyBorder="1" applyAlignment="1">
      <alignment vertical="center"/>
    </xf>
    <xf numFmtId="0" fontId="0" fillId="0" borderId="20" xfId="246" applyFont="1" applyFill="1" applyBorder="1"/>
    <xf numFmtId="0" fontId="0" fillId="0" borderId="21" xfId="246" applyFont="1" applyFill="1" applyBorder="1"/>
    <xf numFmtId="0" fontId="9" fillId="0" borderId="22" xfId="59" applyFont="1" applyFill="1" applyBorder="1" applyAlignment="1">
      <alignment horizontal="center" vertical="center"/>
    </xf>
    <xf numFmtId="0" fontId="9" fillId="0" borderId="20" xfId="59" applyFont="1" applyFill="1" applyBorder="1" applyAlignment="1">
      <alignment horizontal="left" vertical="center"/>
    </xf>
    <xf numFmtId="0" fontId="11" fillId="0" borderId="23" xfId="59" applyFont="1" applyFill="1" applyBorder="1" applyAlignment="1">
      <alignment horizontal="center" vertical="center"/>
    </xf>
    <xf numFmtId="192" fontId="10" fillId="0" borderId="23" xfId="59" applyNumberFormat="1" applyFont="1" applyFill="1" applyBorder="1" applyAlignment="1">
      <alignment horizontal="center" vertical="center"/>
    </xf>
    <xf numFmtId="0" fontId="9" fillId="0" borderId="24" xfId="59" applyFont="1" applyFill="1" applyBorder="1" applyAlignment="1">
      <alignment vertical="center"/>
    </xf>
    <xf numFmtId="0" fontId="9" fillId="0" borderId="23" xfId="59" applyFont="1" applyFill="1" applyBorder="1" applyAlignment="1">
      <alignment horizontal="left" vertical="center"/>
    </xf>
    <xf numFmtId="0" fontId="14" fillId="0" borderId="0" xfId="0" applyFont="1" applyFill="1"/>
    <xf numFmtId="0" fontId="14" fillId="0" borderId="0" xfId="0" applyFont="1"/>
    <xf numFmtId="0" fontId="14" fillId="0" borderId="0" xfId="0" applyFont="1" applyAlignment="1">
      <alignment horizontal="center"/>
    </xf>
    <xf numFmtId="49" fontId="15" fillId="10" borderId="0" xfId="248" applyNumberFormat="1" applyFont="1" applyFill="1" applyBorder="1" applyAlignment="1">
      <alignment horizontal="center" vertical="center"/>
    </xf>
    <xf numFmtId="49" fontId="9" fillId="10" borderId="12" xfId="248" applyNumberFormat="1" applyFont="1" applyFill="1" applyBorder="1" applyAlignment="1">
      <alignment horizontal="center" vertical="center"/>
    </xf>
    <xf numFmtId="49" fontId="9" fillId="10" borderId="13" xfId="248" applyNumberFormat="1" applyFont="1" applyFill="1" applyBorder="1" applyAlignment="1">
      <alignment horizontal="center" vertical="center"/>
    </xf>
    <xf numFmtId="49" fontId="9" fillId="10" borderId="25" xfId="248" applyNumberFormat="1" applyFont="1" applyFill="1" applyBorder="1" applyAlignment="1">
      <alignment horizontal="left" vertical="center" shrinkToFit="1"/>
    </xf>
    <xf numFmtId="49" fontId="9" fillId="10" borderId="26" xfId="248" applyNumberFormat="1" applyFont="1" applyFill="1" applyBorder="1" applyAlignment="1">
      <alignment horizontal="left" vertical="center" shrinkToFit="1"/>
    </xf>
    <xf numFmtId="49" fontId="9" fillId="10" borderId="27" xfId="248" applyNumberFormat="1" applyFont="1" applyFill="1" applyBorder="1" applyAlignment="1">
      <alignment horizontal="left" vertical="center" shrinkToFit="1"/>
    </xf>
    <xf numFmtId="49" fontId="9" fillId="10" borderId="15" xfId="248" applyNumberFormat="1" applyFont="1" applyFill="1" applyBorder="1" applyAlignment="1">
      <alignment horizontal="center" vertical="center"/>
    </xf>
    <xf numFmtId="49" fontId="9" fillId="10" borderId="2" xfId="248" applyNumberFormat="1" applyFont="1" applyFill="1" applyBorder="1" applyAlignment="1">
      <alignment horizontal="center" vertical="center"/>
    </xf>
    <xf numFmtId="49" fontId="9" fillId="10" borderId="2" xfId="248" applyNumberFormat="1" applyFont="1" applyFill="1" applyBorder="1" applyAlignment="1">
      <alignment horizontal="left" vertical="center"/>
    </xf>
    <xf numFmtId="0" fontId="9" fillId="10" borderId="2" xfId="248" applyFont="1" applyFill="1" applyBorder="1" applyAlignment="1">
      <alignment horizontal="center" vertical="center"/>
    </xf>
    <xf numFmtId="0" fontId="9" fillId="10" borderId="16" xfId="248" applyFont="1" applyFill="1" applyBorder="1" applyAlignment="1">
      <alignment horizontal="center" vertical="center"/>
    </xf>
    <xf numFmtId="49" fontId="9" fillId="10" borderId="15" xfId="248" applyNumberFormat="1" applyFont="1" applyFill="1" applyBorder="1" applyAlignment="1">
      <alignment horizontal="left" vertical="center"/>
    </xf>
    <xf numFmtId="49" fontId="9" fillId="10" borderId="16" xfId="248" applyNumberFormat="1" applyFont="1" applyFill="1" applyBorder="1" applyAlignment="1">
      <alignment horizontal="left" vertical="center"/>
    </xf>
    <xf numFmtId="49" fontId="9" fillId="10" borderId="28" xfId="248" applyNumberFormat="1" applyFont="1" applyFill="1" applyBorder="1" applyAlignment="1">
      <alignment horizontal="left" vertical="center" wrapText="1"/>
    </xf>
    <xf numFmtId="49" fontId="9" fillId="10" borderId="29" xfId="248" applyNumberFormat="1" applyFont="1" applyFill="1" applyBorder="1" applyAlignment="1">
      <alignment horizontal="left" vertical="center" wrapText="1"/>
    </xf>
    <xf numFmtId="0" fontId="9" fillId="10" borderId="29" xfId="0" applyFont="1" applyFill="1" applyBorder="1" applyAlignment="1">
      <alignment horizontal="left" vertical="center"/>
    </xf>
    <xf numFmtId="0" fontId="9" fillId="10" borderId="30" xfId="0" applyFont="1" applyFill="1" applyBorder="1" applyAlignment="1">
      <alignment horizontal="left" vertical="center"/>
    </xf>
    <xf numFmtId="191" fontId="9" fillId="10" borderId="2" xfId="248" applyNumberFormat="1" applyFont="1" applyFill="1" applyBorder="1" applyAlignment="1">
      <alignment horizontal="center" vertical="center"/>
    </xf>
    <xf numFmtId="0" fontId="9" fillId="10" borderId="2" xfId="248" applyFont="1" applyFill="1" applyBorder="1" applyAlignment="1">
      <alignment horizontal="left" vertical="center"/>
    </xf>
    <xf numFmtId="191" fontId="9" fillId="10" borderId="16" xfId="248" applyNumberFormat="1" applyFont="1" applyFill="1" applyBorder="1" applyAlignment="1">
      <alignment horizontal="center" vertical="center"/>
    </xf>
    <xf numFmtId="193" fontId="9" fillId="10" borderId="2" xfId="248" applyNumberFormat="1" applyFont="1" applyFill="1" applyBorder="1" applyAlignment="1">
      <alignment horizontal="center" vertical="center"/>
    </xf>
    <xf numFmtId="194" fontId="9" fillId="10" borderId="2" xfId="248" applyNumberFormat="1" applyFont="1" applyFill="1" applyBorder="1" applyAlignment="1">
      <alignment horizontal="center" vertical="center"/>
    </xf>
    <xf numFmtId="191" fontId="9" fillId="10" borderId="2" xfId="3" applyNumberFormat="1" applyFont="1" applyFill="1" applyBorder="1" applyAlignment="1">
      <alignment horizontal="center" vertical="center"/>
    </xf>
    <xf numFmtId="195" fontId="9" fillId="10" borderId="2" xfId="248" applyNumberFormat="1" applyFont="1" applyFill="1" applyBorder="1" applyAlignment="1">
      <alignment horizontal="center" vertical="center"/>
    </xf>
    <xf numFmtId="9" fontId="9" fillId="10" borderId="2" xfId="248" applyNumberFormat="1" applyFont="1" applyFill="1" applyBorder="1" applyAlignment="1">
      <alignment horizontal="center" vertical="center"/>
    </xf>
    <xf numFmtId="0" fontId="9" fillId="10" borderId="19" xfId="248" applyFont="1" applyFill="1" applyBorder="1" applyAlignment="1">
      <alignment horizontal="center" vertical="center"/>
    </xf>
    <xf numFmtId="0" fontId="9" fillId="10" borderId="20" xfId="248" applyFont="1" applyFill="1" applyBorder="1" applyAlignment="1">
      <alignment horizontal="center" vertical="center"/>
    </xf>
    <xf numFmtId="191" fontId="9" fillId="10" borderId="20" xfId="248" applyNumberFormat="1" applyFont="1" applyFill="1" applyBorder="1" applyAlignment="1">
      <alignment horizontal="center" vertical="center"/>
    </xf>
    <xf numFmtId="191" fontId="9" fillId="10" borderId="21" xfId="248" applyNumberFormat="1" applyFont="1" applyFill="1" applyBorder="1" applyAlignment="1">
      <alignment horizontal="center" vertical="center"/>
    </xf>
    <xf numFmtId="0" fontId="9" fillId="0" borderId="0" xfId="248" applyFont="1" applyFill="1" applyBorder="1" applyAlignment="1">
      <alignment horizontal="center" vertical="center"/>
    </xf>
    <xf numFmtId="191" fontId="9" fillId="0" borderId="0" xfId="248" applyNumberFormat="1" applyFont="1" applyFill="1" applyBorder="1" applyAlignment="1">
      <alignment horizontal="center" vertical="center"/>
    </xf>
    <xf numFmtId="49" fontId="15" fillId="10" borderId="31" xfId="248" applyNumberFormat="1" applyFont="1" applyFill="1" applyBorder="1" applyAlignment="1">
      <alignment horizontal="center" vertical="center"/>
    </xf>
    <xf numFmtId="49" fontId="15" fillId="0" borderId="31" xfId="248" applyNumberFormat="1" applyFont="1" applyFill="1" applyBorder="1" applyAlignment="1">
      <alignment horizontal="center" vertical="center"/>
    </xf>
    <xf numFmtId="49" fontId="9" fillId="0" borderId="32" xfId="248" applyNumberFormat="1" applyFont="1" applyFill="1" applyBorder="1" applyAlignment="1">
      <alignment horizontal="center" vertical="center"/>
    </xf>
    <xf numFmtId="49" fontId="9" fillId="0" borderId="33" xfId="248" applyNumberFormat="1" applyFont="1" applyFill="1" applyBorder="1" applyAlignment="1">
      <alignment horizontal="center" vertical="center"/>
    </xf>
    <xf numFmtId="49" fontId="9" fillId="0" borderId="13" xfId="248" applyNumberFormat="1" applyFont="1" applyFill="1" applyBorder="1" applyAlignment="1">
      <alignment horizontal="center" vertical="center"/>
    </xf>
    <xf numFmtId="49" fontId="9" fillId="0" borderId="25" xfId="248" applyNumberFormat="1" applyFont="1" applyFill="1" applyBorder="1" applyAlignment="1">
      <alignment horizontal="left" vertical="center" shrinkToFit="1"/>
    </xf>
    <xf numFmtId="49" fontId="9" fillId="0" borderId="26" xfId="248" applyNumberFormat="1" applyFont="1" applyFill="1" applyBorder="1" applyAlignment="1">
      <alignment horizontal="left" vertical="center" shrinkToFit="1"/>
    </xf>
    <xf numFmtId="49" fontId="9" fillId="0" borderId="27" xfId="248" applyNumberFormat="1" applyFont="1" applyFill="1" applyBorder="1" applyAlignment="1">
      <alignment horizontal="left" vertical="center" shrinkToFit="1"/>
    </xf>
    <xf numFmtId="49" fontId="9" fillId="0" borderId="28" xfId="248" applyNumberFormat="1" applyFont="1" applyFill="1" applyBorder="1" applyAlignment="1">
      <alignment horizontal="center" vertical="center"/>
    </xf>
    <xf numFmtId="49" fontId="9" fillId="0" borderId="18" xfId="248" applyNumberFormat="1" applyFont="1" applyFill="1" applyBorder="1" applyAlignment="1">
      <alignment horizontal="center" vertical="center"/>
    </xf>
    <xf numFmtId="49" fontId="9" fillId="0" borderId="17" xfId="248" applyNumberFormat="1" applyFont="1" applyFill="1" applyBorder="1" applyAlignment="1">
      <alignment horizontal="left" vertical="center"/>
    </xf>
    <xf numFmtId="49" fontId="9" fillId="0" borderId="29" xfId="248" applyNumberFormat="1" applyFont="1" applyFill="1" applyBorder="1" applyAlignment="1">
      <alignment horizontal="left" vertical="center"/>
    </xf>
    <xf numFmtId="49" fontId="9" fillId="0" borderId="18" xfId="248" applyNumberFormat="1" applyFont="1" applyFill="1" applyBorder="1" applyAlignment="1">
      <alignment horizontal="left" vertical="center"/>
    </xf>
    <xf numFmtId="0" fontId="9" fillId="0" borderId="16" xfId="248" applyFont="1" applyFill="1" applyBorder="1" applyAlignment="1">
      <alignment horizontal="center" vertical="center"/>
    </xf>
    <xf numFmtId="49" fontId="9" fillId="0" borderId="28" xfId="248" applyNumberFormat="1" applyFont="1" applyFill="1" applyBorder="1" applyAlignment="1">
      <alignment horizontal="left" vertical="center"/>
    </xf>
    <xf numFmtId="49" fontId="9" fillId="0" borderId="30" xfId="248" applyNumberFormat="1" applyFont="1" applyFill="1" applyBorder="1" applyAlignment="1">
      <alignment horizontal="left" vertical="center"/>
    </xf>
    <xf numFmtId="49" fontId="9" fillId="0" borderId="28" xfId="248" applyNumberFormat="1" applyFont="1" applyFill="1" applyBorder="1" applyAlignment="1">
      <alignment horizontal="left" vertical="center" wrapText="1"/>
    </xf>
    <xf numFmtId="49" fontId="9" fillId="0" borderId="29" xfId="248" applyNumberFormat="1" applyFont="1" applyFill="1" applyBorder="1" applyAlignment="1">
      <alignment horizontal="left" vertical="center" wrapText="1"/>
    </xf>
    <xf numFmtId="49" fontId="9" fillId="0" borderId="30" xfId="248" applyNumberFormat="1" applyFont="1" applyFill="1" applyBorder="1" applyAlignment="1">
      <alignment horizontal="left" vertical="center" wrapText="1"/>
    </xf>
    <xf numFmtId="49" fontId="9" fillId="0" borderId="15" xfId="248" applyNumberFormat="1" applyFont="1" applyFill="1" applyBorder="1" applyAlignment="1">
      <alignment horizontal="center" vertical="center"/>
    </xf>
    <xf numFmtId="0" fontId="9" fillId="0" borderId="17" xfId="248" applyFont="1" applyFill="1" applyBorder="1" applyAlignment="1">
      <alignment horizontal="center" vertical="center"/>
    </xf>
    <xf numFmtId="0" fontId="9" fillId="0" borderId="18" xfId="248" applyFont="1" applyFill="1" applyBorder="1" applyAlignment="1">
      <alignment horizontal="center" vertical="center"/>
    </xf>
    <xf numFmtId="191" fontId="9" fillId="0" borderId="2" xfId="248" applyNumberFormat="1" applyFont="1" applyFill="1" applyBorder="1" applyAlignment="1">
      <alignment horizontal="center" vertical="center"/>
    </xf>
    <xf numFmtId="0" fontId="9" fillId="0" borderId="17" xfId="248" applyFont="1" applyFill="1" applyBorder="1" applyAlignment="1">
      <alignment horizontal="left" vertical="center"/>
    </xf>
    <xf numFmtId="0" fontId="9" fillId="0" borderId="18" xfId="248" applyFont="1" applyFill="1" applyBorder="1" applyAlignment="1">
      <alignment horizontal="left" vertical="center"/>
    </xf>
    <xf numFmtId="191" fontId="9" fillId="0" borderId="16" xfId="248" applyNumberFormat="1" applyFont="1" applyFill="1" applyBorder="1" applyAlignment="1">
      <alignment horizontal="center" vertical="center"/>
    </xf>
    <xf numFmtId="193" fontId="9" fillId="0" borderId="2" xfId="248" applyNumberFormat="1" applyFont="1" applyFill="1" applyBorder="1" applyAlignment="1">
      <alignment horizontal="center" vertical="center"/>
    </xf>
    <xf numFmtId="194" fontId="9" fillId="0" borderId="2" xfId="248" applyNumberFormat="1" applyFont="1" applyFill="1" applyBorder="1" applyAlignment="1">
      <alignment horizontal="center" vertical="center"/>
    </xf>
    <xf numFmtId="0" fontId="9" fillId="0" borderId="2" xfId="248" applyFont="1" applyFill="1" applyBorder="1" applyAlignment="1">
      <alignment horizontal="left" vertical="center"/>
    </xf>
    <xf numFmtId="191" fontId="9" fillId="0" borderId="2" xfId="3" applyNumberFormat="1" applyFont="1" applyFill="1" applyBorder="1" applyAlignment="1">
      <alignment horizontal="center" vertical="center"/>
    </xf>
    <xf numFmtId="195" fontId="9" fillId="0" borderId="2" xfId="248" applyNumberFormat="1" applyFont="1" applyFill="1" applyBorder="1" applyAlignment="1">
      <alignment horizontal="center" vertical="center"/>
    </xf>
    <xf numFmtId="9" fontId="9" fillId="0" borderId="2" xfId="248" applyNumberFormat="1" applyFont="1" applyFill="1" applyBorder="1" applyAlignment="1">
      <alignment horizontal="center" vertical="center"/>
    </xf>
    <xf numFmtId="10" fontId="9" fillId="0" borderId="2" xfId="248" applyNumberFormat="1" applyFont="1" applyFill="1" applyBorder="1" applyAlignment="1">
      <alignment horizontal="center" vertical="center"/>
    </xf>
    <xf numFmtId="0" fontId="9" fillId="0" borderId="19" xfId="248" applyFont="1" applyFill="1" applyBorder="1" applyAlignment="1">
      <alignment horizontal="center" vertical="center"/>
    </xf>
    <xf numFmtId="0" fontId="9" fillId="0" borderId="34" xfId="248" applyFont="1" applyFill="1" applyBorder="1" applyAlignment="1">
      <alignment horizontal="center" vertical="center"/>
    </xf>
    <xf numFmtId="0" fontId="9" fillId="0" borderId="35" xfId="248" applyFont="1" applyFill="1" applyBorder="1" applyAlignment="1">
      <alignment horizontal="center" vertical="center"/>
    </xf>
    <xf numFmtId="0" fontId="9" fillId="0" borderId="20" xfId="248" applyFont="1" applyFill="1" applyBorder="1" applyAlignment="1">
      <alignment horizontal="center" vertical="center"/>
    </xf>
    <xf numFmtId="191" fontId="9" fillId="0" borderId="20" xfId="248" applyNumberFormat="1" applyFont="1" applyFill="1" applyBorder="1" applyAlignment="1">
      <alignment horizontal="center" vertical="center"/>
    </xf>
    <xf numFmtId="191" fontId="9" fillId="0" borderId="21" xfId="248" applyNumberFormat="1" applyFont="1" applyFill="1" applyBorder="1" applyAlignment="1">
      <alignment horizontal="center" vertical="center"/>
    </xf>
    <xf numFmtId="49" fontId="15" fillId="0" borderId="0" xfId="248" applyNumberFormat="1" applyFont="1" applyFill="1" applyBorder="1" applyAlignment="1">
      <alignment horizontal="center" vertical="center"/>
    </xf>
    <xf numFmtId="49" fontId="9" fillId="0" borderId="12" xfId="248" applyNumberFormat="1" applyFont="1" applyFill="1" applyBorder="1" applyAlignment="1">
      <alignment horizontal="center" vertical="center"/>
    </xf>
    <xf numFmtId="49" fontId="9" fillId="0" borderId="2" xfId="248" applyNumberFormat="1" applyFont="1" applyFill="1" applyBorder="1" applyAlignment="1">
      <alignment horizontal="center" vertical="center"/>
    </xf>
    <xf numFmtId="49" fontId="9" fillId="0" borderId="2" xfId="248" applyNumberFormat="1" applyFont="1" applyFill="1" applyBorder="1" applyAlignment="1">
      <alignment horizontal="left" vertical="center"/>
    </xf>
    <xf numFmtId="49" fontId="9" fillId="0" borderId="15" xfId="248" applyNumberFormat="1" applyFont="1" applyFill="1" applyBorder="1" applyAlignment="1">
      <alignment horizontal="left" vertical="center"/>
    </xf>
    <xf numFmtId="49" fontId="9" fillId="0" borderId="16" xfId="248" applyNumberFormat="1" applyFont="1" applyFill="1" applyBorder="1" applyAlignment="1">
      <alignment horizontal="left" vertical="center"/>
    </xf>
    <xf numFmtId="0" fontId="9" fillId="0" borderId="29" xfId="0" applyFont="1" applyFill="1" applyBorder="1" applyAlignment="1">
      <alignment horizontal="left" vertical="center"/>
    </xf>
    <xf numFmtId="0" fontId="9" fillId="0" borderId="30" xfId="0" applyFont="1" applyFill="1" applyBorder="1" applyAlignment="1">
      <alignment horizontal="left" vertical="center"/>
    </xf>
    <xf numFmtId="0" fontId="14" fillId="0" borderId="0" xfId="0" applyFont="1" applyFill="1" applyBorder="1"/>
    <xf numFmtId="0" fontId="0" fillId="0" borderId="0" xfId="248" applyFont="1" applyFill="1" applyBorder="1">
      <alignment vertical="center"/>
    </xf>
    <xf numFmtId="0" fontId="0" fillId="0" borderId="0" xfId="0" applyFont="1" applyFill="1" applyBorder="1" applyAlignment="1">
      <alignment horizontal="center"/>
    </xf>
    <xf numFmtId="191" fontId="0" fillId="0" borderId="0" xfId="0" applyNumberFormat="1" applyFont="1" applyFill="1" applyBorder="1" applyAlignment="1">
      <alignment horizontal="center"/>
    </xf>
    <xf numFmtId="49" fontId="1" fillId="0" borderId="0" xfId="248" applyNumberFormat="1" applyFont="1" applyFill="1" applyBorder="1" applyAlignment="1">
      <alignment horizontal="center" vertical="center"/>
    </xf>
    <xf numFmtId="49" fontId="9" fillId="0" borderId="13" xfId="248" applyNumberFormat="1" applyFont="1" applyFill="1" applyBorder="1" applyAlignment="1">
      <alignment horizontal="left" vertical="center"/>
    </xf>
    <xf numFmtId="49" fontId="9" fillId="0" borderId="14" xfId="248" applyNumberFormat="1" applyFont="1" applyFill="1" applyBorder="1" applyAlignment="1">
      <alignment horizontal="left" vertical="center"/>
    </xf>
    <xf numFmtId="0" fontId="9" fillId="0" borderId="2" xfId="248" applyFont="1" applyFill="1" applyBorder="1" applyAlignment="1">
      <alignment vertical="center"/>
    </xf>
    <xf numFmtId="0" fontId="9" fillId="0" borderId="17" xfId="248" applyFont="1" applyFill="1" applyBorder="1" applyAlignment="1">
      <alignment vertical="center"/>
    </xf>
    <xf numFmtId="0" fontId="9" fillId="0" borderId="18" xfId="248" applyFont="1" applyFill="1" applyBorder="1" applyAlignment="1">
      <alignment vertical="center"/>
    </xf>
    <xf numFmtId="0" fontId="9" fillId="0" borderId="17" xfId="248" applyFont="1" applyFill="1" applyBorder="1" applyAlignment="1">
      <alignment horizontal="left" vertical="center" shrinkToFit="1"/>
    </xf>
    <xf numFmtId="0" fontId="9" fillId="0" borderId="18" xfId="248" applyFont="1" applyFill="1" applyBorder="1" applyAlignment="1">
      <alignment horizontal="left" vertical="center" shrinkToFit="1"/>
    </xf>
    <xf numFmtId="49" fontId="9" fillId="0" borderId="25" xfId="248" applyNumberFormat="1" applyFont="1" applyFill="1" applyBorder="1" applyAlignment="1">
      <alignment horizontal="left" vertical="center"/>
    </xf>
    <xf numFmtId="49" fontId="9" fillId="0" borderId="26" xfId="248" applyNumberFormat="1" applyFont="1" applyFill="1" applyBorder="1" applyAlignment="1">
      <alignment horizontal="left" vertical="center"/>
    </xf>
    <xf numFmtId="49" fontId="9" fillId="0" borderId="27" xfId="248" applyNumberFormat="1" applyFont="1" applyFill="1" applyBorder="1" applyAlignment="1">
      <alignment horizontal="left" vertical="center"/>
    </xf>
    <xf numFmtId="196" fontId="9" fillId="0" borderId="2" xfId="248" applyNumberFormat="1" applyFont="1" applyFill="1" applyBorder="1" applyAlignment="1">
      <alignment horizontal="center" vertical="center"/>
    </xf>
    <xf numFmtId="0" fontId="9" fillId="0" borderId="17" xfId="248" applyFont="1" applyFill="1" applyBorder="1" applyAlignment="1">
      <alignment horizontal="left" vertical="center" wrapText="1"/>
    </xf>
    <xf numFmtId="0" fontId="9" fillId="0" borderId="18" xfId="248" applyFont="1" applyFill="1" applyBorder="1" applyAlignment="1">
      <alignment horizontal="left" vertical="center" wrapText="1"/>
    </xf>
    <xf numFmtId="0" fontId="16" fillId="0" borderId="2" xfId="248" applyFont="1" applyFill="1" applyBorder="1" applyAlignment="1">
      <alignment horizontal="left" vertical="center"/>
    </xf>
    <xf numFmtId="0" fontId="17" fillId="0" borderId="17" xfId="248" applyFont="1" applyFill="1" applyBorder="1" applyAlignment="1">
      <alignment horizontal="left" vertical="center"/>
    </xf>
    <xf numFmtId="0" fontId="17" fillId="0" borderId="18" xfId="248" applyFont="1" applyFill="1" applyBorder="1" applyAlignment="1">
      <alignment horizontal="left" vertical="center"/>
    </xf>
    <xf numFmtId="191" fontId="0" fillId="0" borderId="0" xfId="248" applyNumberFormat="1" applyFont="1" applyBorder="1" applyAlignment="1">
      <alignment horizontal="center" vertical="center"/>
    </xf>
    <xf numFmtId="49" fontId="0" fillId="0" borderId="0" xfId="248" applyNumberFormat="1" applyFont="1" applyBorder="1" applyAlignment="1">
      <alignment horizontal="center" vertical="center"/>
    </xf>
    <xf numFmtId="0" fontId="0" fillId="0" borderId="0" xfId="248" applyFont="1" applyBorder="1">
      <alignment vertical="center"/>
    </xf>
    <xf numFmtId="0" fontId="14" fillId="0" borderId="0" xfId="0" applyFont="1" applyBorder="1" applyAlignment="1">
      <alignment horizontal="center"/>
    </xf>
    <xf numFmtId="0" fontId="14" fillId="0" borderId="0" xfId="0" applyFont="1" applyBorder="1"/>
    <xf numFmtId="49" fontId="15" fillId="8" borderId="0" xfId="248" applyNumberFormat="1" applyFont="1" applyFill="1" applyBorder="1" applyAlignment="1">
      <alignment horizontal="center" vertical="center"/>
    </xf>
    <xf numFmtId="49" fontId="9" fillId="8" borderId="12" xfId="248" applyNumberFormat="1" applyFont="1" applyFill="1" applyBorder="1" applyAlignment="1">
      <alignment horizontal="center" vertical="center"/>
    </xf>
    <xf numFmtId="49" fontId="9" fillId="8" borderId="13" xfId="248" applyNumberFormat="1" applyFont="1" applyFill="1" applyBorder="1" applyAlignment="1">
      <alignment horizontal="center" vertical="center"/>
    </xf>
    <xf numFmtId="49" fontId="9" fillId="8" borderId="25" xfId="248" applyNumberFormat="1" applyFont="1" applyFill="1" applyBorder="1" applyAlignment="1">
      <alignment horizontal="left" vertical="center" shrinkToFit="1"/>
    </xf>
    <xf numFmtId="49" fontId="9" fillId="8" borderId="26" xfId="248" applyNumberFormat="1" applyFont="1" applyFill="1" applyBorder="1" applyAlignment="1">
      <alignment horizontal="left" vertical="center" shrinkToFit="1"/>
    </xf>
    <xf numFmtId="49" fontId="9" fillId="8" borderId="27" xfId="248" applyNumberFormat="1" applyFont="1" applyFill="1" applyBorder="1" applyAlignment="1">
      <alignment horizontal="left" vertical="center" shrinkToFit="1"/>
    </xf>
    <xf numFmtId="49" fontId="9" fillId="8" borderId="15" xfId="248" applyNumberFormat="1" applyFont="1" applyFill="1" applyBorder="1" applyAlignment="1">
      <alignment horizontal="center" vertical="center"/>
    </xf>
    <xf numFmtId="49" fontId="9" fillId="8" borderId="2" xfId="248" applyNumberFormat="1" applyFont="1" applyFill="1" applyBorder="1" applyAlignment="1">
      <alignment horizontal="center" vertical="center"/>
    </xf>
    <xf numFmtId="49" fontId="9" fillId="8" borderId="2" xfId="248" applyNumberFormat="1" applyFont="1" applyFill="1" applyBorder="1" applyAlignment="1">
      <alignment horizontal="left" vertical="center"/>
    </xf>
    <xf numFmtId="0" fontId="9" fillId="8" borderId="16" xfId="248" applyFont="1" applyFill="1" applyBorder="1" applyAlignment="1">
      <alignment horizontal="center" vertical="center"/>
    </xf>
    <xf numFmtId="49" fontId="9" fillId="8" borderId="15" xfId="248" applyNumberFormat="1" applyFont="1" applyFill="1" applyBorder="1" applyAlignment="1">
      <alignment horizontal="left" vertical="center"/>
    </xf>
    <xf numFmtId="49" fontId="9" fillId="8" borderId="16" xfId="248" applyNumberFormat="1" applyFont="1" applyFill="1" applyBorder="1" applyAlignment="1">
      <alignment horizontal="left" vertical="center"/>
    </xf>
    <xf numFmtId="49" fontId="9" fillId="8" borderId="28" xfId="248" applyNumberFormat="1" applyFont="1" applyFill="1" applyBorder="1" applyAlignment="1">
      <alignment horizontal="left" vertical="center" wrapText="1"/>
    </xf>
    <xf numFmtId="49" fontId="9" fillId="8" borderId="29" xfId="248" applyNumberFormat="1" applyFont="1" applyFill="1" applyBorder="1" applyAlignment="1">
      <alignment horizontal="left" vertical="center" wrapText="1"/>
    </xf>
    <xf numFmtId="0" fontId="9" fillId="8" borderId="29" xfId="0" applyFont="1" applyFill="1" applyBorder="1" applyAlignment="1">
      <alignment horizontal="left" vertical="center"/>
    </xf>
    <xf numFmtId="0" fontId="9" fillId="8" borderId="30" xfId="0" applyFont="1" applyFill="1" applyBorder="1" applyAlignment="1">
      <alignment horizontal="left" vertical="center"/>
    </xf>
    <xf numFmtId="191" fontId="9" fillId="8" borderId="2" xfId="248" applyNumberFormat="1" applyFont="1" applyFill="1" applyBorder="1" applyAlignment="1">
      <alignment horizontal="center" vertical="center"/>
    </xf>
    <xf numFmtId="0" fontId="9" fillId="8" borderId="2" xfId="248" applyFont="1" applyFill="1" applyBorder="1" applyAlignment="1">
      <alignment horizontal="left" vertical="center"/>
    </xf>
    <xf numFmtId="191" fontId="9" fillId="8" borderId="16" xfId="248" applyNumberFormat="1" applyFont="1" applyFill="1" applyBorder="1" applyAlignment="1">
      <alignment horizontal="center" vertical="center"/>
    </xf>
    <xf numFmtId="193" fontId="9" fillId="8" borderId="2" xfId="248" applyNumberFormat="1" applyFont="1" applyFill="1" applyBorder="1" applyAlignment="1">
      <alignment horizontal="center" vertical="center"/>
    </xf>
    <xf numFmtId="0" fontId="9" fillId="8" borderId="17" xfId="248" applyFont="1" applyFill="1" applyBorder="1" applyAlignment="1">
      <alignment horizontal="left" vertical="center"/>
    </xf>
    <xf numFmtId="0" fontId="9" fillId="8" borderId="18" xfId="248" applyFont="1" applyFill="1" applyBorder="1" applyAlignment="1">
      <alignment horizontal="left" vertical="center"/>
    </xf>
    <xf numFmtId="191" fontId="9" fillId="8" borderId="2" xfId="3" applyNumberFormat="1" applyFont="1" applyFill="1" applyBorder="1" applyAlignment="1">
      <alignment horizontal="center" vertical="center"/>
    </xf>
    <xf numFmtId="195" fontId="9" fillId="8" borderId="2" xfId="248" applyNumberFormat="1" applyFont="1" applyFill="1" applyBorder="1" applyAlignment="1">
      <alignment horizontal="center" vertical="center"/>
    </xf>
    <xf numFmtId="9" fontId="9" fillId="8" borderId="2" xfId="248" applyNumberFormat="1" applyFont="1" applyFill="1" applyBorder="1" applyAlignment="1">
      <alignment horizontal="center" vertical="center"/>
    </xf>
    <xf numFmtId="0" fontId="9" fillId="8" borderId="19" xfId="248" applyFont="1" applyFill="1" applyBorder="1" applyAlignment="1">
      <alignment horizontal="center" vertical="center"/>
    </xf>
    <xf numFmtId="0" fontId="9" fillId="8" borderId="20" xfId="248" applyFont="1" applyFill="1" applyBorder="1" applyAlignment="1">
      <alignment horizontal="center" vertical="center"/>
    </xf>
    <xf numFmtId="191" fontId="9" fillId="8" borderId="20" xfId="248" applyNumberFormat="1" applyFont="1" applyFill="1" applyBorder="1" applyAlignment="1">
      <alignment horizontal="center" vertical="center"/>
    </xf>
    <xf numFmtId="191" fontId="9" fillId="8" borderId="21" xfId="248" applyNumberFormat="1" applyFont="1" applyFill="1" applyBorder="1" applyAlignment="1">
      <alignment horizontal="center" vertical="center"/>
    </xf>
    <xf numFmtId="0" fontId="9" fillId="0" borderId="0" xfId="248" applyFont="1" applyBorder="1" applyAlignment="1">
      <alignment horizontal="center" vertical="center"/>
    </xf>
    <xf numFmtId="191" fontId="9" fillId="0" borderId="0" xfId="248" applyNumberFormat="1" applyFont="1" applyBorder="1" applyAlignment="1">
      <alignment horizontal="center" vertical="center"/>
    </xf>
    <xf numFmtId="194" fontId="9" fillId="8" borderId="2" xfId="248" applyNumberFormat="1" applyFont="1" applyFill="1" applyBorder="1" applyAlignment="1">
      <alignment horizontal="center" vertical="center"/>
    </xf>
    <xf numFmtId="10" fontId="9" fillId="8" borderId="2" xfId="248" applyNumberFormat="1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/>
    </xf>
    <xf numFmtId="0" fontId="0" fillId="0" borderId="0" xfId="0" applyFont="1" applyBorder="1" applyAlignment="1">
      <alignment horizontal="center"/>
    </xf>
    <xf numFmtId="191" fontId="0" fillId="0" borderId="0" xfId="0" applyNumberFormat="1" applyFont="1" applyBorder="1" applyAlignment="1">
      <alignment horizontal="center"/>
    </xf>
    <xf numFmtId="0" fontId="9" fillId="0" borderId="0" xfId="248" applyFont="1" applyFill="1" applyAlignment="1">
      <alignment horizontal="center" vertical="center"/>
    </xf>
    <xf numFmtId="191" fontId="9" fillId="0" borderId="0" xfId="248" applyNumberFormat="1" applyFont="1" applyFill="1" applyAlignment="1">
      <alignment horizontal="center" vertical="center"/>
    </xf>
    <xf numFmtId="191" fontId="9" fillId="13" borderId="2" xfId="248" applyNumberFormat="1" applyFont="1" applyFill="1" applyBorder="1" applyAlignment="1">
      <alignment horizontal="center" vertical="center"/>
    </xf>
    <xf numFmtId="49" fontId="1" fillId="14" borderId="0" xfId="248" applyNumberFormat="1" applyFont="1" applyFill="1" applyBorder="1" applyAlignment="1">
      <alignment horizontal="center" vertical="center"/>
    </xf>
    <xf numFmtId="49" fontId="9" fillId="14" borderId="12" xfId="248" applyNumberFormat="1" applyFont="1" applyFill="1" applyBorder="1" applyAlignment="1">
      <alignment horizontal="center" vertical="center"/>
    </xf>
    <xf numFmtId="49" fontId="9" fillId="14" borderId="13" xfId="248" applyNumberFormat="1" applyFont="1" applyFill="1" applyBorder="1" applyAlignment="1">
      <alignment horizontal="center" vertical="center"/>
    </xf>
    <xf numFmtId="49" fontId="9" fillId="14" borderId="13" xfId="248" applyNumberFormat="1" applyFont="1" applyFill="1" applyBorder="1" applyAlignment="1">
      <alignment horizontal="left" vertical="center"/>
    </xf>
    <xf numFmtId="49" fontId="9" fillId="14" borderId="14" xfId="248" applyNumberFormat="1" applyFont="1" applyFill="1" applyBorder="1" applyAlignment="1">
      <alignment horizontal="left" vertical="center"/>
    </xf>
    <xf numFmtId="49" fontId="9" fillId="14" borderId="15" xfId="248" applyNumberFormat="1" applyFont="1" applyFill="1" applyBorder="1" applyAlignment="1">
      <alignment horizontal="center" vertical="center"/>
    </xf>
    <xf numFmtId="49" fontId="9" fillId="14" borderId="2" xfId="248" applyNumberFormat="1" applyFont="1" applyFill="1" applyBorder="1" applyAlignment="1">
      <alignment horizontal="center" vertical="center"/>
    </xf>
    <xf numFmtId="49" fontId="9" fillId="14" borderId="2" xfId="248" applyNumberFormat="1" applyFont="1" applyFill="1" applyBorder="1" applyAlignment="1">
      <alignment horizontal="left" vertical="center"/>
    </xf>
    <xf numFmtId="0" fontId="9" fillId="14" borderId="2" xfId="248" applyFont="1" applyFill="1" applyBorder="1" applyAlignment="1">
      <alignment horizontal="center" vertical="center"/>
    </xf>
    <xf numFmtId="0" fontId="9" fillId="14" borderId="16" xfId="248" applyFont="1" applyFill="1" applyBorder="1" applyAlignment="1">
      <alignment horizontal="center" vertical="center"/>
    </xf>
    <xf numFmtId="49" fontId="9" fillId="14" borderId="28" xfId="248" applyNumberFormat="1" applyFont="1" applyFill="1" applyBorder="1" applyAlignment="1">
      <alignment horizontal="left" vertical="center" wrapText="1"/>
    </xf>
    <xf numFmtId="49" fontId="9" fillId="14" borderId="29" xfId="248" applyNumberFormat="1" applyFont="1" applyFill="1" applyBorder="1" applyAlignment="1">
      <alignment horizontal="left" vertical="center" wrapText="1"/>
    </xf>
    <xf numFmtId="0" fontId="9" fillId="14" borderId="29" xfId="0" applyFont="1" applyFill="1" applyBorder="1" applyAlignment="1">
      <alignment horizontal="left" vertical="center"/>
    </xf>
    <xf numFmtId="0" fontId="9" fillId="14" borderId="30" xfId="0" applyFont="1" applyFill="1" applyBorder="1" applyAlignment="1">
      <alignment horizontal="left" vertical="center"/>
    </xf>
    <xf numFmtId="191" fontId="9" fillId="14" borderId="2" xfId="248" applyNumberFormat="1" applyFont="1" applyFill="1" applyBorder="1" applyAlignment="1">
      <alignment horizontal="center" vertical="center"/>
    </xf>
    <xf numFmtId="0" fontId="9" fillId="14" borderId="2" xfId="248" applyFont="1" applyFill="1" applyBorder="1" applyAlignment="1">
      <alignment horizontal="left" vertical="center"/>
    </xf>
    <xf numFmtId="191" fontId="9" fillId="14" borderId="16" xfId="248" applyNumberFormat="1" applyFont="1" applyFill="1" applyBorder="1" applyAlignment="1">
      <alignment horizontal="center" vertical="center"/>
    </xf>
    <xf numFmtId="193" fontId="9" fillId="14" borderId="2" xfId="248" applyNumberFormat="1" applyFont="1" applyFill="1" applyBorder="1" applyAlignment="1">
      <alignment horizontal="center" vertical="center"/>
    </xf>
    <xf numFmtId="0" fontId="9" fillId="14" borderId="17" xfId="248" applyFont="1" applyFill="1" applyBorder="1" applyAlignment="1">
      <alignment horizontal="left" vertical="center"/>
    </xf>
    <xf numFmtId="0" fontId="9" fillId="14" borderId="18" xfId="248" applyFont="1" applyFill="1" applyBorder="1" applyAlignment="1">
      <alignment horizontal="left" vertical="center"/>
    </xf>
    <xf numFmtId="194" fontId="9" fillId="14" borderId="2" xfId="248" applyNumberFormat="1" applyFont="1" applyFill="1" applyBorder="1" applyAlignment="1">
      <alignment horizontal="center" vertical="center"/>
    </xf>
    <xf numFmtId="0" fontId="9" fillId="14" borderId="2" xfId="248" applyFont="1" applyFill="1" applyBorder="1" applyAlignment="1">
      <alignment vertical="center"/>
    </xf>
    <xf numFmtId="191" fontId="9" fillId="14" borderId="2" xfId="3" applyNumberFormat="1" applyFont="1" applyFill="1" applyBorder="1" applyAlignment="1">
      <alignment horizontal="center" vertical="center"/>
    </xf>
    <xf numFmtId="195" fontId="9" fillId="14" borderId="2" xfId="248" applyNumberFormat="1" applyFont="1" applyFill="1" applyBorder="1" applyAlignment="1">
      <alignment horizontal="center" vertical="center"/>
    </xf>
    <xf numFmtId="9" fontId="9" fillId="14" borderId="2" xfId="248" applyNumberFormat="1" applyFont="1" applyFill="1" applyBorder="1" applyAlignment="1">
      <alignment horizontal="center" vertical="center"/>
    </xf>
    <xf numFmtId="10" fontId="9" fillId="14" borderId="2" xfId="248" applyNumberFormat="1" applyFont="1" applyFill="1" applyBorder="1" applyAlignment="1">
      <alignment horizontal="center" vertical="center"/>
    </xf>
    <xf numFmtId="0" fontId="9" fillId="14" borderId="19" xfId="248" applyFont="1" applyFill="1" applyBorder="1" applyAlignment="1">
      <alignment horizontal="center" vertical="center"/>
    </xf>
    <xf numFmtId="0" fontId="9" fillId="14" borderId="20" xfId="248" applyFont="1" applyFill="1" applyBorder="1" applyAlignment="1">
      <alignment horizontal="center" vertical="center"/>
    </xf>
    <xf numFmtId="191" fontId="9" fillId="14" borderId="20" xfId="248" applyNumberFormat="1" applyFont="1" applyFill="1" applyBorder="1" applyAlignment="1">
      <alignment horizontal="center" vertical="center"/>
    </xf>
    <xf numFmtId="191" fontId="9" fillId="14" borderId="21" xfId="248" applyNumberFormat="1" applyFont="1" applyFill="1" applyBorder="1" applyAlignment="1">
      <alignment horizontal="center" vertical="center"/>
    </xf>
    <xf numFmtId="191" fontId="9" fillId="9" borderId="2" xfId="248" applyNumberFormat="1" applyFont="1" applyFill="1" applyBorder="1" applyAlignment="1">
      <alignment horizontal="center" vertical="center"/>
    </xf>
    <xf numFmtId="49" fontId="9" fillId="10" borderId="32" xfId="248" applyNumberFormat="1" applyFont="1" applyFill="1" applyBorder="1" applyAlignment="1">
      <alignment horizontal="center" vertical="center"/>
    </xf>
    <xf numFmtId="49" fontId="9" fillId="10" borderId="33" xfId="248" applyNumberFormat="1" applyFont="1" applyFill="1" applyBorder="1" applyAlignment="1">
      <alignment horizontal="center" vertical="center"/>
    </xf>
    <xf numFmtId="49" fontId="9" fillId="10" borderId="25" xfId="248" applyNumberFormat="1" applyFont="1" applyFill="1" applyBorder="1" applyAlignment="1">
      <alignment horizontal="left" vertical="center"/>
    </xf>
    <xf numFmtId="49" fontId="9" fillId="10" borderId="26" xfId="248" applyNumberFormat="1" applyFont="1" applyFill="1" applyBorder="1" applyAlignment="1">
      <alignment horizontal="left" vertical="center"/>
    </xf>
    <xf numFmtId="49" fontId="9" fillId="10" borderId="27" xfId="248" applyNumberFormat="1" applyFont="1" applyFill="1" applyBorder="1" applyAlignment="1">
      <alignment horizontal="left" vertical="center"/>
    </xf>
    <xf numFmtId="49" fontId="9" fillId="10" borderId="28" xfId="248" applyNumberFormat="1" applyFont="1" applyFill="1" applyBorder="1" applyAlignment="1">
      <alignment horizontal="center" vertical="center"/>
    </xf>
    <xf numFmtId="49" fontId="9" fillId="10" borderId="18" xfId="248" applyNumberFormat="1" applyFont="1" applyFill="1" applyBorder="1" applyAlignment="1">
      <alignment horizontal="center" vertical="center"/>
    </xf>
    <xf numFmtId="49" fontId="9" fillId="10" borderId="17" xfId="248" applyNumberFormat="1" applyFont="1" applyFill="1" applyBorder="1" applyAlignment="1">
      <alignment horizontal="left" vertical="center"/>
    </xf>
    <xf numFmtId="49" fontId="9" fillId="10" borderId="29" xfId="248" applyNumberFormat="1" applyFont="1" applyFill="1" applyBorder="1" applyAlignment="1">
      <alignment horizontal="left" vertical="center"/>
    </xf>
    <xf numFmtId="49" fontId="9" fillId="10" borderId="18" xfId="248" applyNumberFormat="1" applyFont="1" applyFill="1" applyBorder="1" applyAlignment="1">
      <alignment horizontal="left" vertical="center"/>
    </xf>
    <xf numFmtId="49" fontId="9" fillId="10" borderId="30" xfId="248" applyNumberFormat="1" applyFont="1" applyFill="1" applyBorder="1" applyAlignment="1">
      <alignment horizontal="left" vertical="center" wrapText="1"/>
    </xf>
    <xf numFmtId="0" fontId="9" fillId="10" borderId="17" xfId="248" applyFont="1" applyFill="1" applyBorder="1" applyAlignment="1">
      <alignment horizontal="center" vertical="center"/>
    </xf>
    <xf numFmtId="0" fontId="9" fillId="10" borderId="18" xfId="248" applyFont="1" applyFill="1" applyBorder="1" applyAlignment="1">
      <alignment horizontal="center" vertical="center"/>
    </xf>
    <xf numFmtId="10" fontId="9" fillId="10" borderId="2" xfId="248" applyNumberFormat="1" applyFont="1" applyFill="1" applyBorder="1" applyAlignment="1">
      <alignment horizontal="center" vertical="center"/>
    </xf>
    <xf numFmtId="196" fontId="9" fillId="10" borderId="2" xfId="248" applyNumberFormat="1" applyFont="1" applyFill="1" applyBorder="1" applyAlignment="1">
      <alignment horizontal="center" vertical="center"/>
    </xf>
    <xf numFmtId="0" fontId="9" fillId="10" borderId="34" xfId="248" applyFont="1" applyFill="1" applyBorder="1" applyAlignment="1">
      <alignment horizontal="center" vertical="center"/>
    </xf>
    <xf numFmtId="0" fontId="9" fillId="10" borderId="35" xfId="248" applyFont="1" applyFill="1" applyBorder="1" applyAlignment="1">
      <alignment horizontal="center" vertical="center"/>
    </xf>
    <xf numFmtId="49" fontId="15" fillId="8" borderId="31" xfId="248" applyNumberFormat="1" applyFont="1" applyFill="1" applyBorder="1" applyAlignment="1">
      <alignment horizontal="center" vertical="center"/>
    </xf>
    <xf numFmtId="49" fontId="9" fillId="8" borderId="32" xfId="248" applyNumberFormat="1" applyFont="1" applyFill="1" applyBorder="1" applyAlignment="1">
      <alignment horizontal="center" vertical="center"/>
    </xf>
    <xf numFmtId="49" fontId="9" fillId="8" borderId="33" xfId="248" applyNumberFormat="1" applyFont="1" applyFill="1" applyBorder="1" applyAlignment="1">
      <alignment horizontal="center" vertical="center"/>
    </xf>
    <xf numFmtId="49" fontId="9" fillId="8" borderId="28" xfId="248" applyNumberFormat="1" applyFont="1" applyFill="1" applyBorder="1" applyAlignment="1">
      <alignment horizontal="center" vertical="center"/>
    </xf>
    <xf numFmtId="49" fontId="9" fillId="8" borderId="18" xfId="248" applyNumberFormat="1" applyFont="1" applyFill="1" applyBorder="1" applyAlignment="1">
      <alignment horizontal="center" vertical="center"/>
    </xf>
    <xf numFmtId="49" fontId="9" fillId="8" borderId="17" xfId="248" applyNumberFormat="1" applyFont="1" applyFill="1" applyBorder="1" applyAlignment="1">
      <alignment horizontal="left" vertical="center"/>
    </xf>
    <xf numFmtId="49" fontId="9" fillId="8" borderId="29" xfId="248" applyNumberFormat="1" applyFont="1" applyFill="1" applyBorder="1" applyAlignment="1">
      <alignment horizontal="left" vertical="center"/>
    </xf>
    <xf numFmtId="49" fontId="9" fillId="8" borderId="18" xfId="248" applyNumberFormat="1" applyFont="1" applyFill="1" applyBorder="1" applyAlignment="1">
      <alignment horizontal="left" vertical="center"/>
    </xf>
    <xf numFmtId="49" fontId="9" fillId="8" borderId="28" xfId="248" applyNumberFormat="1" applyFont="1" applyFill="1" applyBorder="1" applyAlignment="1">
      <alignment horizontal="left" vertical="center"/>
    </xf>
    <xf numFmtId="49" fontId="9" fillId="8" borderId="30" xfId="248" applyNumberFormat="1" applyFont="1" applyFill="1" applyBorder="1" applyAlignment="1">
      <alignment horizontal="left" vertical="center"/>
    </xf>
    <xf numFmtId="49" fontId="9" fillId="8" borderId="30" xfId="248" applyNumberFormat="1" applyFont="1" applyFill="1" applyBorder="1" applyAlignment="1">
      <alignment horizontal="left" vertical="center" wrapText="1"/>
    </xf>
    <xf numFmtId="0" fontId="9" fillId="8" borderId="17" xfId="248" applyFont="1" applyFill="1" applyBorder="1" applyAlignment="1">
      <alignment vertical="center"/>
    </xf>
    <xf numFmtId="0" fontId="9" fillId="8" borderId="18" xfId="248" applyFont="1" applyFill="1" applyBorder="1" applyAlignment="1">
      <alignment vertical="center"/>
    </xf>
    <xf numFmtId="0" fontId="9" fillId="8" borderId="0" xfId="248" applyFont="1" applyFill="1" applyBorder="1" applyAlignment="1">
      <alignment horizontal="center" vertical="center"/>
    </xf>
    <xf numFmtId="191" fontId="9" fillId="8" borderId="0" xfId="248" applyNumberFormat="1" applyFont="1" applyFill="1" applyBorder="1" applyAlignment="1">
      <alignment horizontal="center" vertical="center"/>
    </xf>
    <xf numFmtId="0" fontId="9" fillId="8" borderId="17" xfId="248" applyFont="1" applyFill="1" applyBorder="1" applyAlignment="1">
      <alignment horizontal="left" vertical="center" wrapText="1"/>
    </xf>
    <xf numFmtId="0" fontId="9" fillId="8" borderId="18" xfId="248" applyFont="1" applyFill="1" applyBorder="1" applyAlignment="1">
      <alignment horizontal="left" vertical="center" wrapText="1"/>
    </xf>
    <xf numFmtId="197" fontId="9" fillId="0" borderId="15" xfId="141" applyNumberFormat="1" applyFont="1" applyFill="1" applyBorder="1" applyAlignment="1">
      <alignment horizontal="center" vertical="center"/>
    </xf>
    <xf numFmtId="192" fontId="9" fillId="0" borderId="2" xfId="141" applyNumberFormat="1" applyFont="1" applyFill="1" applyBorder="1" applyAlignment="1">
      <alignment horizontal="left" vertical="center"/>
    </xf>
    <xf numFmtId="192" fontId="9" fillId="0" borderId="2" xfId="141" applyNumberFormat="1" applyFont="1" applyFill="1" applyBorder="1" applyAlignment="1">
      <alignment horizontal="center" vertical="center"/>
    </xf>
    <xf numFmtId="0" fontId="16" fillId="8" borderId="2" xfId="248" applyFont="1" applyFill="1" applyBorder="1" applyAlignment="1">
      <alignment horizontal="left" vertical="center"/>
    </xf>
    <xf numFmtId="0" fontId="17" fillId="8" borderId="17" xfId="248" applyFont="1" applyFill="1" applyBorder="1" applyAlignment="1">
      <alignment horizontal="left" vertical="center"/>
    </xf>
    <xf numFmtId="0" fontId="17" fillId="8" borderId="18" xfId="248" applyFont="1" applyFill="1" applyBorder="1" applyAlignment="1">
      <alignment horizontal="left" vertical="center"/>
    </xf>
    <xf numFmtId="49" fontId="18" fillId="0" borderId="0" xfId="248" applyNumberFormat="1" applyFont="1" applyBorder="1" applyAlignment="1">
      <alignment horizontal="center" vertical="center"/>
    </xf>
    <xf numFmtId="49" fontId="9" fillId="0" borderId="12" xfId="248" applyNumberFormat="1" applyFont="1" applyBorder="1" applyAlignment="1">
      <alignment horizontal="center" vertical="center"/>
    </xf>
    <xf numFmtId="49" fontId="9" fillId="0" borderId="13" xfId="248" applyNumberFormat="1" applyFont="1" applyBorder="1" applyAlignment="1">
      <alignment horizontal="center" vertical="center"/>
    </xf>
    <xf numFmtId="49" fontId="9" fillId="0" borderId="25" xfId="248" applyNumberFormat="1" applyFont="1" applyBorder="1" applyAlignment="1">
      <alignment horizontal="left" vertical="center"/>
    </xf>
    <xf numFmtId="49" fontId="9" fillId="0" borderId="26" xfId="248" applyNumberFormat="1" applyFont="1" applyBorder="1" applyAlignment="1">
      <alignment horizontal="left" vertical="center"/>
    </xf>
    <xf numFmtId="49" fontId="9" fillId="0" borderId="27" xfId="248" applyNumberFormat="1" applyFont="1" applyBorder="1" applyAlignment="1">
      <alignment horizontal="left" vertical="center"/>
    </xf>
    <xf numFmtId="49" fontId="9" fillId="0" borderId="15" xfId="248" applyNumberFormat="1" applyFont="1" applyBorder="1" applyAlignment="1">
      <alignment horizontal="center" vertical="center"/>
    </xf>
    <xf numFmtId="49" fontId="9" fillId="0" borderId="2" xfId="248" applyNumberFormat="1" applyFont="1" applyBorder="1" applyAlignment="1">
      <alignment horizontal="center" vertical="center"/>
    </xf>
    <xf numFmtId="49" fontId="9" fillId="0" borderId="2" xfId="248" applyNumberFormat="1" applyFont="1" applyBorder="1" applyAlignment="1">
      <alignment horizontal="left" vertical="center"/>
    </xf>
    <xf numFmtId="0" fontId="9" fillId="0" borderId="2" xfId="248" applyFont="1" applyBorder="1" applyAlignment="1">
      <alignment horizontal="center" vertical="center"/>
    </xf>
    <xf numFmtId="0" fontId="9" fillId="0" borderId="16" xfId="248" applyFont="1" applyBorder="1" applyAlignment="1">
      <alignment horizontal="center" vertical="center"/>
    </xf>
    <xf numFmtId="49" fontId="9" fillId="0" borderId="28" xfId="248" applyNumberFormat="1" applyFont="1" applyBorder="1" applyAlignment="1">
      <alignment horizontal="left" vertical="center"/>
    </xf>
    <xf numFmtId="49" fontId="9" fillId="0" borderId="29" xfId="248" applyNumberFormat="1" applyFont="1" applyBorder="1" applyAlignment="1">
      <alignment horizontal="left" vertical="center"/>
    </xf>
    <xf numFmtId="49" fontId="9" fillId="0" borderId="30" xfId="248" applyNumberFormat="1" applyFont="1" applyBorder="1" applyAlignment="1">
      <alignment horizontal="left" vertical="center"/>
    </xf>
    <xf numFmtId="49" fontId="9" fillId="0" borderId="15" xfId="248" applyNumberFormat="1" applyFont="1" applyBorder="1" applyAlignment="1">
      <alignment horizontal="left" vertical="top" wrapText="1"/>
    </xf>
    <xf numFmtId="49" fontId="9" fillId="0" borderId="2" xfId="248" applyNumberFormat="1" applyFont="1" applyBorder="1" applyAlignment="1">
      <alignment horizontal="left" vertical="top" wrapText="1"/>
    </xf>
    <xf numFmtId="0" fontId="9" fillId="0" borderId="2" xfId="0" applyFont="1" applyBorder="1" applyAlignment="1">
      <alignment horizontal="left"/>
    </xf>
    <xf numFmtId="0" fontId="9" fillId="0" borderId="16" xfId="0" applyFont="1" applyBorder="1" applyAlignment="1">
      <alignment horizontal="left"/>
    </xf>
    <xf numFmtId="191" fontId="9" fillId="0" borderId="2" xfId="248" applyNumberFormat="1" applyFont="1" applyBorder="1" applyAlignment="1">
      <alignment horizontal="center" vertical="center"/>
    </xf>
    <xf numFmtId="0" fontId="9" fillId="0" borderId="17" xfId="248" applyFont="1" applyBorder="1" applyAlignment="1">
      <alignment horizontal="left" vertical="center"/>
    </xf>
    <xf numFmtId="0" fontId="9" fillId="0" borderId="18" xfId="248" applyFont="1" applyBorder="1" applyAlignment="1">
      <alignment horizontal="left" vertical="center"/>
    </xf>
    <xf numFmtId="191" fontId="9" fillId="0" borderId="16" xfId="248" applyNumberFormat="1" applyFont="1" applyBorder="1" applyAlignment="1">
      <alignment horizontal="center" vertical="center"/>
    </xf>
    <xf numFmtId="193" fontId="9" fillId="0" borderId="2" xfId="248" applyNumberFormat="1" applyFont="1" applyBorder="1" applyAlignment="1">
      <alignment horizontal="center" vertical="center"/>
    </xf>
    <xf numFmtId="194" fontId="9" fillId="0" borderId="2" xfId="248" applyNumberFormat="1" applyFont="1" applyBorder="1" applyAlignment="1">
      <alignment horizontal="center" vertical="center"/>
    </xf>
    <xf numFmtId="191" fontId="9" fillId="0" borderId="2" xfId="3" applyNumberFormat="1" applyFont="1" applyBorder="1" applyAlignment="1">
      <alignment horizontal="center" vertical="center"/>
    </xf>
    <xf numFmtId="195" fontId="9" fillId="6" borderId="2" xfId="248" applyNumberFormat="1" applyFont="1" applyFill="1" applyBorder="1" applyAlignment="1">
      <alignment horizontal="center" vertical="center"/>
    </xf>
    <xf numFmtId="9" fontId="9" fillId="6" borderId="2" xfId="248" applyNumberFormat="1" applyFont="1" applyFill="1" applyBorder="1" applyAlignment="1">
      <alignment horizontal="center" vertical="center"/>
    </xf>
    <xf numFmtId="0" fontId="9" fillId="0" borderId="19" xfId="248" applyFont="1" applyBorder="1" applyAlignment="1">
      <alignment horizontal="center" vertical="center"/>
    </xf>
    <xf numFmtId="0" fontId="9" fillId="0" borderId="34" xfId="248" applyFont="1" applyBorder="1" applyAlignment="1">
      <alignment horizontal="center" vertical="center"/>
    </xf>
    <xf numFmtId="0" fontId="9" fillId="0" borderId="35" xfId="248" applyFont="1" applyBorder="1" applyAlignment="1">
      <alignment horizontal="center" vertical="center"/>
    </xf>
    <xf numFmtId="0" fontId="9" fillId="0" borderId="20" xfId="248" applyFont="1" applyBorder="1" applyAlignment="1">
      <alignment horizontal="center" vertical="center"/>
    </xf>
    <xf numFmtId="191" fontId="9" fillId="0" borderId="20" xfId="248" applyNumberFormat="1" applyFont="1" applyBorder="1" applyAlignment="1">
      <alignment horizontal="center" vertical="center"/>
    </xf>
    <xf numFmtId="191" fontId="9" fillId="0" borderId="21" xfId="248" applyNumberFormat="1" applyFont="1" applyBorder="1" applyAlignment="1">
      <alignment horizontal="center" vertical="center"/>
    </xf>
    <xf numFmtId="0" fontId="9" fillId="0" borderId="0" xfId="248" applyFont="1" applyBorder="1">
      <alignment vertical="center"/>
    </xf>
    <xf numFmtId="0" fontId="0" fillId="0" borderId="0" xfId="248" applyFont="1" applyBorder="1" applyAlignment="1">
      <alignment horizontal="center" vertical="center"/>
    </xf>
    <xf numFmtId="49" fontId="9" fillId="0" borderId="13" xfId="248" applyNumberFormat="1" applyFont="1" applyBorder="1" applyAlignment="1">
      <alignment horizontal="left" vertical="center"/>
    </xf>
    <xf numFmtId="49" fontId="9" fillId="0" borderId="14" xfId="248" applyNumberFormat="1" applyFont="1" applyBorder="1" applyAlignment="1">
      <alignment horizontal="left" vertical="center"/>
    </xf>
    <xf numFmtId="49" fontId="9" fillId="0" borderId="15" xfId="248" applyNumberFormat="1" applyFont="1" applyBorder="1" applyAlignment="1">
      <alignment horizontal="left" vertical="center"/>
    </xf>
    <xf numFmtId="49" fontId="9" fillId="0" borderId="16" xfId="248" applyNumberFormat="1" applyFont="1" applyBorder="1" applyAlignment="1">
      <alignment horizontal="left" vertical="center"/>
    </xf>
    <xf numFmtId="0" fontId="9" fillId="0" borderId="2" xfId="248" applyFont="1" applyBorder="1" applyAlignment="1">
      <alignment horizontal="left" vertical="center"/>
    </xf>
    <xf numFmtId="0" fontId="9" fillId="0" borderId="2" xfId="248" applyFont="1" applyBorder="1" applyAlignment="1">
      <alignment vertical="center"/>
    </xf>
    <xf numFmtId="10" fontId="9" fillId="0" borderId="2" xfId="248" applyNumberFormat="1" applyFont="1" applyBorder="1" applyAlignment="1">
      <alignment horizontal="center" vertical="center"/>
    </xf>
    <xf numFmtId="9" fontId="9" fillId="0" borderId="2" xfId="248" applyNumberFormat="1" applyFont="1" applyBorder="1" applyAlignment="1">
      <alignment horizontal="center" vertical="center"/>
    </xf>
    <xf numFmtId="9" fontId="9" fillId="15" borderId="2" xfId="248" applyNumberFormat="1" applyFont="1" applyFill="1" applyBorder="1" applyAlignment="1">
      <alignment horizontal="center" vertical="center"/>
    </xf>
    <xf numFmtId="49" fontId="19" fillId="0" borderId="0" xfId="248" applyNumberFormat="1" applyFont="1" applyBorder="1" applyAlignment="1">
      <alignment horizontal="center" vertical="center"/>
    </xf>
    <xf numFmtId="49" fontId="19" fillId="0" borderId="0" xfId="248" applyNumberFormat="1" applyFont="1" applyFill="1" applyBorder="1" applyAlignment="1">
      <alignment horizontal="center" vertical="center"/>
    </xf>
    <xf numFmtId="49" fontId="20" fillId="0" borderId="0" xfId="248" applyNumberFormat="1" applyFont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191" fontId="14" fillId="0" borderId="0" xfId="0" applyNumberFormat="1" applyFont="1" applyAlignment="1">
      <alignment horizontal="center"/>
    </xf>
    <xf numFmtId="198" fontId="9" fillId="0" borderId="2" xfId="248" applyNumberFormat="1" applyFont="1" applyBorder="1" applyAlignment="1">
      <alignment horizontal="center" vertical="center"/>
    </xf>
    <xf numFmtId="198" fontId="9" fillId="6" borderId="2" xfId="248" applyNumberFormat="1" applyFont="1" applyFill="1" applyBorder="1" applyAlignment="1">
      <alignment horizontal="center" vertical="center"/>
    </xf>
    <xf numFmtId="49" fontId="22" fillId="0" borderId="12" xfId="253" applyNumberFormat="1" applyFont="1" applyBorder="1" applyAlignment="1">
      <alignment horizontal="center" vertical="center"/>
    </xf>
    <xf numFmtId="49" fontId="22" fillId="0" borderId="13" xfId="253" applyNumberFormat="1" applyFont="1" applyBorder="1" applyAlignment="1">
      <alignment horizontal="center" vertical="center"/>
    </xf>
    <xf numFmtId="49" fontId="22" fillId="0" borderId="25" xfId="253" applyNumberFormat="1" applyFont="1" applyBorder="1" applyAlignment="1">
      <alignment horizontal="left" vertical="center"/>
    </xf>
    <xf numFmtId="49" fontId="22" fillId="0" borderId="26" xfId="253" applyNumberFormat="1" applyFont="1" applyBorder="1" applyAlignment="1">
      <alignment horizontal="left" vertical="center"/>
    </xf>
    <xf numFmtId="49" fontId="22" fillId="0" borderId="27" xfId="253" applyNumberFormat="1" applyFont="1" applyBorder="1" applyAlignment="1">
      <alignment horizontal="left" vertical="center"/>
    </xf>
    <xf numFmtId="49" fontId="22" fillId="0" borderId="15" xfId="253" applyNumberFormat="1" applyFont="1" applyBorder="1" applyAlignment="1">
      <alignment horizontal="center" vertical="center"/>
    </xf>
    <xf numFmtId="49" fontId="22" fillId="0" borderId="2" xfId="253" applyNumberFormat="1" applyFont="1" applyBorder="1" applyAlignment="1">
      <alignment horizontal="center" vertical="center"/>
    </xf>
    <xf numFmtId="49" fontId="22" fillId="0" borderId="2" xfId="253" applyNumberFormat="1" applyFont="1" applyBorder="1" applyAlignment="1">
      <alignment horizontal="left" vertical="center"/>
    </xf>
    <xf numFmtId="0" fontId="9" fillId="0" borderId="2" xfId="253" applyFont="1" applyBorder="1" applyAlignment="1">
      <alignment horizontal="center" vertical="center"/>
    </xf>
    <xf numFmtId="0" fontId="22" fillId="0" borderId="16" xfId="253" applyFont="1" applyBorder="1" applyAlignment="1">
      <alignment horizontal="center" vertical="center"/>
    </xf>
    <xf numFmtId="49" fontId="22" fillId="0" borderId="28" xfId="253" applyNumberFormat="1" applyFont="1" applyBorder="1" applyAlignment="1">
      <alignment horizontal="left" vertical="center"/>
    </xf>
    <xf numFmtId="49" fontId="22" fillId="0" borderId="29" xfId="253" applyNumberFormat="1" applyFont="1" applyBorder="1" applyAlignment="1">
      <alignment horizontal="left" vertical="center"/>
    </xf>
    <xf numFmtId="49" fontId="22" fillId="0" borderId="30" xfId="253" applyNumberFormat="1" applyFont="1" applyBorder="1" applyAlignment="1">
      <alignment horizontal="left" vertical="center"/>
    </xf>
    <xf numFmtId="49" fontId="9" fillId="0" borderId="15" xfId="253" applyNumberFormat="1" applyFont="1" applyBorder="1" applyAlignment="1">
      <alignment horizontal="left" vertical="top" wrapText="1"/>
    </xf>
    <xf numFmtId="49" fontId="9" fillId="0" borderId="2" xfId="253" applyNumberFormat="1" applyFont="1" applyBorder="1" applyAlignment="1">
      <alignment horizontal="left" vertical="top" wrapText="1"/>
    </xf>
    <xf numFmtId="0" fontId="9" fillId="0" borderId="2" xfId="244" applyFont="1" applyBorder="1" applyAlignment="1">
      <alignment horizontal="left"/>
    </xf>
    <xf numFmtId="0" fontId="9" fillId="0" borderId="16" xfId="244" applyFont="1" applyBorder="1" applyAlignment="1">
      <alignment horizontal="left"/>
    </xf>
    <xf numFmtId="0" fontId="9" fillId="0" borderId="17" xfId="253" applyFont="1" applyBorder="1" applyAlignment="1">
      <alignment horizontal="left" vertical="center"/>
    </xf>
    <xf numFmtId="0" fontId="9" fillId="0" borderId="18" xfId="253" applyFont="1" applyBorder="1" applyAlignment="1">
      <alignment horizontal="left" vertical="center"/>
    </xf>
    <xf numFmtId="191" fontId="9" fillId="0" borderId="2" xfId="253" applyNumberFormat="1" applyFont="1" applyBorder="1" applyAlignment="1">
      <alignment horizontal="center" vertical="center"/>
    </xf>
    <xf numFmtId="191" fontId="23" fillId="0" borderId="2" xfId="248" applyNumberFormat="1" applyFont="1" applyFill="1" applyBorder="1" applyAlignment="1">
      <alignment horizontal="center" vertical="center"/>
    </xf>
    <xf numFmtId="0" fontId="24" fillId="0" borderId="0" xfId="0" applyFont="1" applyAlignment="1">
      <alignment wrapText="1"/>
    </xf>
    <xf numFmtId="49" fontId="22" fillId="0" borderId="12" xfId="248" applyNumberFormat="1" applyFont="1" applyBorder="1" applyAlignment="1">
      <alignment horizontal="center" vertical="center"/>
    </xf>
    <xf numFmtId="49" fontId="22" fillId="0" borderId="13" xfId="248" applyNumberFormat="1" applyFont="1" applyBorder="1" applyAlignment="1">
      <alignment horizontal="center" vertical="center"/>
    </xf>
    <xf numFmtId="49" fontId="22" fillId="0" borderId="25" xfId="248" applyNumberFormat="1" applyFont="1" applyBorder="1" applyAlignment="1">
      <alignment horizontal="left" vertical="center"/>
    </xf>
    <xf numFmtId="49" fontId="22" fillId="0" borderId="26" xfId="248" applyNumberFormat="1" applyFont="1" applyBorder="1" applyAlignment="1">
      <alignment horizontal="left" vertical="center"/>
    </xf>
    <xf numFmtId="49" fontId="22" fillId="0" borderId="27" xfId="248" applyNumberFormat="1" applyFont="1" applyBorder="1" applyAlignment="1">
      <alignment horizontal="left" vertical="center"/>
    </xf>
    <xf numFmtId="49" fontId="22" fillId="0" borderId="15" xfId="248" applyNumberFormat="1" applyFont="1" applyBorder="1" applyAlignment="1">
      <alignment horizontal="center" vertical="center"/>
    </xf>
    <xf numFmtId="49" fontId="22" fillId="0" borderId="2" xfId="248" applyNumberFormat="1" applyFont="1" applyBorder="1" applyAlignment="1">
      <alignment horizontal="center" vertical="center"/>
    </xf>
    <xf numFmtId="49" fontId="22" fillId="0" borderId="2" xfId="248" applyNumberFormat="1" applyFont="1" applyBorder="1" applyAlignment="1">
      <alignment horizontal="left" vertical="center"/>
    </xf>
    <xf numFmtId="0" fontId="22" fillId="0" borderId="2" xfId="248" applyFont="1" applyBorder="1" applyAlignment="1">
      <alignment horizontal="center" vertical="center"/>
    </xf>
    <xf numFmtId="0" fontId="22" fillId="0" borderId="16" xfId="248" applyFont="1" applyBorder="1" applyAlignment="1">
      <alignment horizontal="center" vertical="center"/>
    </xf>
    <xf numFmtId="49" fontId="22" fillId="0" borderId="28" xfId="248" applyNumberFormat="1" applyFont="1" applyBorder="1" applyAlignment="1">
      <alignment horizontal="left" vertical="center"/>
    </xf>
    <xf numFmtId="49" fontId="22" fillId="0" borderId="29" xfId="248" applyNumberFormat="1" applyFont="1" applyBorder="1" applyAlignment="1">
      <alignment horizontal="left" vertical="center"/>
    </xf>
    <xf numFmtId="49" fontId="22" fillId="0" borderId="30" xfId="248" applyNumberFormat="1" applyFont="1" applyBorder="1" applyAlignment="1">
      <alignment horizontal="left" vertical="center"/>
    </xf>
    <xf numFmtId="49" fontId="15" fillId="0" borderId="0" xfId="248" applyNumberFormat="1" applyFont="1" applyBorder="1" applyAlignment="1">
      <alignment horizontal="center" vertical="center"/>
    </xf>
    <xf numFmtId="49" fontId="19" fillId="0" borderId="31" xfId="248" applyNumberFormat="1" applyFont="1" applyBorder="1" applyAlignment="1">
      <alignment horizontal="center" vertical="center"/>
    </xf>
    <xf numFmtId="49" fontId="9" fillId="0" borderId="32" xfId="248" applyNumberFormat="1" applyFont="1" applyBorder="1" applyAlignment="1">
      <alignment horizontal="center" vertical="center"/>
    </xf>
    <xf numFmtId="49" fontId="9" fillId="0" borderId="33" xfId="248" applyNumberFormat="1" applyFont="1" applyBorder="1" applyAlignment="1">
      <alignment horizontal="center" vertical="center"/>
    </xf>
    <xf numFmtId="49" fontId="9" fillId="0" borderId="28" xfId="248" applyNumberFormat="1" applyFont="1" applyBorder="1" applyAlignment="1">
      <alignment horizontal="center" vertical="center"/>
    </xf>
    <xf numFmtId="49" fontId="9" fillId="0" borderId="18" xfId="248" applyNumberFormat="1" applyFont="1" applyBorder="1" applyAlignment="1">
      <alignment horizontal="center" vertical="center"/>
    </xf>
    <xf numFmtId="49" fontId="9" fillId="0" borderId="17" xfId="248" applyNumberFormat="1" applyFont="1" applyBorder="1" applyAlignment="1">
      <alignment horizontal="left" vertical="center"/>
    </xf>
    <xf numFmtId="49" fontId="9" fillId="0" borderId="18" xfId="248" applyNumberFormat="1" applyFont="1" applyBorder="1" applyAlignment="1">
      <alignment horizontal="left" vertical="center"/>
    </xf>
    <xf numFmtId="49" fontId="15" fillId="0" borderId="0" xfId="250" applyNumberFormat="1" applyFont="1" applyBorder="1" applyAlignment="1">
      <alignment horizontal="center" vertical="center"/>
    </xf>
    <xf numFmtId="49" fontId="9" fillId="0" borderId="12" xfId="250" applyNumberFormat="1" applyFont="1" applyBorder="1" applyAlignment="1">
      <alignment horizontal="center" vertical="center"/>
    </xf>
    <xf numFmtId="49" fontId="9" fillId="0" borderId="13" xfId="250" applyNumberFormat="1" applyFont="1" applyBorder="1" applyAlignment="1">
      <alignment horizontal="center" vertical="center"/>
    </xf>
    <xf numFmtId="49" fontId="9" fillId="0" borderId="25" xfId="250" applyNumberFormat="1" applyFont="1" applyBorder="1" applyAlignment="1">
      <alignment horizontal="left" vertical="center"/>
    </xf>
    <xf numFmtId="49" fontId="9" fillId="0" borderId="26" xfId="250" applyNumberFormat="1" applyFont="1" applyBorder="1" applyAlignment="1">
      <alignment horizontal="left" vertical="center"/>
    </xf>
    <xf numFmtId="49" fontId="9" fillId="0" borderId="27" xfId="250" applyNumberFormat="1" applyFont="1" applyBorder="1" applyAlignment="1">
      <alignment horizontal="left" vertical="center"/>
    </xf>
    <xf numFmtId="49" fontId="9" fillId="0" borderId="15" xfId="250" applyNumberFormat="1" applyFont="1" applyBorder="1" applyAlignment="1">
      <alignment horizontal="center" vertical="center"/>
    </xf>
    <xf numFmtId="49" fontId="9" fillId="0" borderId="2" xfId="250" applyNumberFormat="1" applyFont="1" applyBorder="1" applyAlignment="1">
      <alignment horizontal="center" vertical="center"/>
    </xf>
    <xf numFmtId="49" fontId="9" fillId="0" borderId="2" xfId="250" applyNumberFormat="1" applyFont="1" applyBorder="1" applyAlignment="1">
      <alignment horizontal="left" vertical="center"/>
    </xf>
    <xf numFmtId="0" fontId="9" fillId="0" borderId="2" xfId="250" applyFont="1" applyBorder="1" applyAlignment="1">
      <alignment horizontal="center" vertical="center"/>
    </xf>
    <xf numFmtId="0" fontId="9" fillId="0" borderId="16" xfId="250" applyFont="1" applyBorder="1" applyAlignment="1">
      <alignment horizontal="center" vertical="center"/>
    </xf>
    <xf numFmtId="49" fontId="9" fillId="0" borderId="28" xfId="250" applyNumberFormat="1" applyFont="1" applyBorder="1" applyAlignment="1">
      <alignment horizontal="left" vertical="center"/>
    </xf>
    <xf numFmtId="49" fontId="9" fillId="0" borderId="29" xfId="250" applyNumberFormat="1" applyFont="1" applyBorder="1" applyAlignment="1">
      <alignment horizontal="left" vertical="center"/>
    </xf>
    <xf numFmtId="49" fontId="9" fillId="0" borderId="30" xfId="250" applyNumberFormat="1" applyFont="1" applyBorder="1" applyAlignment="1">
      <alignment horizontal="left" vertical="center"/>
    </xf>
    <xf numFmtId="49" fontId="9" fillId="0" borderId="15" xfId="250" applyNumberFormat="1" applyFont="1" applyBorder="1" applyAlignment="1">
      <alignment horizontal="left" vertical="top" wrapText="1"/>
    </xf>
    <xf numFmtId="49" fontId="9" fillId="0" borderId="2" xfId="250" applyNumberFormat="1" applyFont="1" applyBorder="1" applyAlignment="1">
      <alignment horizontal="left" vertical="top" wrapText="1"/>
    </xf>
    <xf numFmtId="0" fontId="9" fillId="0" borderId="17" xfId="250" applyFont="1" applyBorder="1" applyAlignment="1">
      <alignment horizontal="left" vertical="center"/>
    </xf>
    <xf numFmtId="0" fontId="9" fillId="0" borderId="18" xfId="250" applyFont="1" applyBorder="1" applyAlignment="1">
      <alignment horizontal="left" vertical="center"/>
    </xf>
    <xf numFmtId="49" fontId="9" fillId="0" borderId="28" xfId="252" applyNumberFormat="1" applyFont="1" applyBorder="1" applyAlignment="1">
      <alignment horizontal="left" vertical="center"/>
    </xf>
    <xf numFmtId="49" fontId="9" fillId="0" borderId="29" xfId="252" applyNumberFormat="1" applyFont="1" applyBorder="1" applyAlignment="1">
      <alignment horizontal="left" vertical="center"/>
    </xf>
    <xf numFmtId="49" fontId="9" fillId="0" borderId="30" xfId="252" applyNumberFormat="1" applyFont="1" applyBorder="1" applyAlignment="1">
      <alignment horizontal="left" vertical="center"/>
    </xf>
    <xf numFmtId="191" fontId="9" fillId="0" borderId="2" xfId="252" applyNumberFormat="1" applyFont="1" applyBorder="1" applyAlignment="1">
      <alignment horizontal="center" vertical="center"/>
    </xf>
    <xf numFmtId="0" fontId="9" fillId="0" borderId="17" xfId="252" applyFont="1" applyBorder="1" applyAlignment="1">
      <alignment horizontal="left" vertical="center" shrinkToFit="1"/>
    </xf>
    <xf numFmtId="0" fontId="9" fillId="0" borderId="18" xfId="252" applyFont="1" applyBorder="1" applyAlignment="1">
      <alignment horizontal="left" vertical="center" shrinkToFit="1"/>
    </xf>
    <xf numFmtId="0" fontId="9" fillId="0" borderId="2" xfId="252" applyFont="1" applyBorder="1" applyAlignment="1">
      <alignment horizontal="center" vertical="center"/>
    </xf>
    <xf numFmtId="191" fontId="9" fillId="0" borderId="16" xfId="252" applyNumberFormat="1" applyFont="1" applyBorder="1" applyAlignment="1">
      <alignment horizontal="center" vertical="center"/>
    </xf>
    <xf numFmtId="0" fontId="9" fillId="0" borderId="17" xfId="252" applyFont="1" applyBorder="1" applyAlignment="1">
      <alignment horizontal="left" vertical="center"/>
    </xf>
    <xf numFmtId="0" fontId="9" fillId="0" borderId="18" xfId="252" applyFont="1" applyBorder="1" applyAlignment="1">
      <alignment horizontal="left" vertical="center"/>
    </xf>
    <xf numFmtId="49" fontId="25" fillId="0" borderId="0" xfId="248" applyNumberFormat="1" applyFont="1" applyBorder="1" applyAlignment="1">
      <alignment horizontal="center" vertical="center"/>
    </xf>
    <xf numFmtId="191" fontId="9" fillId="0" borderId="17" xfId="248" applyNumberFormat="1" applyFont="1" applyBorder="1" applyAlignment="1">
      <alignment horizontal="center" vertical="center"/>
    </xf>
    <xf numFmtId="49" fontId="15" fillId="0" borderId="31" xfId="248" applyNumberFormat="1" applyFont="1" applyBorder="1" applyAlignment="1">
      <alignment horizontal="center" vertical="center"/>
    </xf>
    <xf numFmtId="49" fontId="9" fillId="0" borderId="28" xfId="248" applyNumberFormat="1" applyFont="1" applyBorder="1" applyAlignment="1">
      <alignment horizontal="left" vertical="top" wrapText="1"/>
    </xf>
    <xf numFmtId="49" fontId="9" fillId="0" borderId="29" xfId="248" applyNumberFormat="1" applyFont="1" applyBorder="1" applyAlignment="1">
      <alignment horizontal="left" vertical="top" wrapText="1"/>
    </xf>
    <xf numFmtId="49" fontId="9" fillId="0" borderId="30" xfId="248" applyNumberFormat="1" applyFont="1" applyBorder="1" applyAlignment="1">
      <alignment horizontal="left" vertical="top" wrapText="1"/>
    </xf>
    <xf numFmtId="0" fontId="9" fillId="0" borderId="17" xfId="248" applyFont="1" applyBorder="1" applyAlignment="1">
      <alignment horizontal="center" vertical="center"/>
    </xf>
    <xf numFmtId="0" fontId="9" fillId="0" borderId="18" xfId="248" applyFont="1" applyBorder="1" applyAlignment="1">
      <alignment horizontal="center" vertical="center"/>
    </xf>
    <xf numFmtId="198" fontId="9" fillId="0" borderId="2" xfId="248" applyNumberFormat="1" applyFont="1" applyFill="1" applyBorder="1" applyAlignment="1">
      <alignment horizontal="center" vertical="center"/>
    </xf>
    <xf numFmtId="0" fontId="9" fillId="0" borderId="2" xfId="250" applyFont="1" applyFill="1" applyBorder="1" applyAlignment="1">
      <alignment horizontal="center" vertical="center"/>
    </xf>
    <xf numFmtId="49" fontId="1" fillId="0" borderId="0" xfId="248" applyNumberFormat="1" applyFont="1" applyBorder="1" applyAlignment="1">
      <alignment horizontal="center" vertical="center"/>
    </xf>
    <xf numFmtId="49" fontId="9" fillId="0" borderId="15" xfId="248" applyNumberFormat="1" applyFont="1" applyFill="1" applyBorder="1" applyAlignment="1">
      <alignment horizontal="left" vertical="top" wrapText="1"/>
    </xf>
    <xf numFmtId="49" fontId="9" fillId="0" borderId="2" xfId="248" applyNumberFormat="1" applyFont="1" applyFill="1" applyBorder="1" applyAlignment="1">
      <alignment horizontal="left" vertical="top" wrapText="1"/>
    </xf>
    <xf numFmtId="0" fontId="9" fillId="0" borderId="2" xfId="0" applyFont="1" applyFill="1" applyBorder="1" applyAlignment="1">
      <alignment horizontal="left"/>
    </xf>
    <xf numFmtId="0" fontId="9" fillId="0" borderId="16" xfId="0" applyFont="1" applyFill="1" applyBorder="1" applyAlignment="1">
      <alignment horizontal="left"/>
    </xf>
    <xf numFmtId="49" fontId="9" fillId="0" borderId="28" xfId="60" applyNumberFormat="1" applyFont="1" applyFill="1" applyBorder="1" applyAlignment="1">
      <alignment horizontal="left" vertical="center"/>
    </xf>
    <xf numFmtId="49" fontId="9" fillId="0" borderId="29" xfId="60" applyNumberFormat="1" applyFont="1" applyFill="1" applyBorder="1" applyAlignment="1">
      <alignment horizontal="left" vertical="center"/>
    </xf>
    <xf numFmtId="49" fontId="9" fillId="0" borderId="30" xfId="60" applyNumberFormat="1" applyFont="1" applyFill="1" applyBorder="1" applyAlignment="1">
      <alignment horizontal="left" vertical="center"/>
    </xf>
    <xf numFmtId="49" fontId="9" fillId="0" borderId="28" xfId="60" applyNumberFormat="1" applyFont="1" applyFill="1" applyBorder="1" applyAlignment="1">
      <alignment horizontal="left" vertical="center" wrapText="1"/>
    </xf>
    <xf numFmtId="49" fontId="9" fillId="0" borderId="29" xfId="60" applyNumberFormat="1" applyFont="1" applyFill="1" applyBorder="1" applyAlignment="1">
      <alignment horizontal="left" vertical="center" wrapText="1"/>
    </xf>
    <xf numFmtId="49" fontId="9" fillId="0" borderId="30" xfId="60" applyNumberFormat="1" applyFont="1" applyFill="1" applyBorder="1" applyAlignment="1">
      <alignment horizontal="left" vertical="center" wrapText="1"/>
    </xf>
    <xf numFmtId="0" fontId="9" fillId="0" borderId="2" xfId="60" applyFont="1" applyFill="1" applyBorder="1" applyAlignment="1">
      <alignment horizontal="left" vertical="center"/>
    </xf>
    <xf numFmtId="0" fontId="9" fillId="0" borderId="2" xfId="60" applyFont="1" applyFill="1" applyBorder="1" applyAlignment="1">
      <alignment horizontal="center" vertical="center"/>
    </xf>
    <xf numFmtId="191" fontId="9" fillId="0" borderId="2" xfId="60" applyNumberFormat="1" applyFont="1" applyFill="1" applyBorder="1" applyAlignment="1">
      <alignment horizontal="center" vertical="center"/>
    </xf>
    <xf numFmtId="194" fontId="9" fillId="0" borderId="2" xfId="60" applyNumberFormat="1" applyFont="1" applyFill="1" applyBorder="1" applyAlignment="1">
      <alignment horizontal="center" vertical="center"/>
    </xf>
    <xf numFmtId="193" fontId="9" fillId="0" borderId="2" xfId="60" applyNumberFormat="1" applyFont="1" applyFill="1" applyBorder="1" applyAlignment="1">
      <alignment horizontal="center" vertical="center"/>
    </xf>
    <xf numFmtId="49" fontId="9" fillId="0" borderId="32" xfId="60" applyNumberFormat="1" applyFont="1" applyFill="1" applyBorder="1" applyAlignment="1">
      <alignment horizontal="center" vertical="center"/>
    </xf>
    <xf numFmtId="49" fontId="9" fillId="0" borderId="33" xfId="60" applyNumberFormat="1" applyFont="1" applyFill="1" applyBorder="1" applyAlignment="1">
      <alignment horizontal="center" vertical="center"/>
    </xf>
    <xf numFmtId="49" fontId="9" fillId="0" borderId="13" xfId="60" applyNumberFormat="1" applyFont="1" applyFill="1" applyBorder="1" applyAlignment="1">
      <alignment horizontal="center" vertical="center"/>
    </xf>
    <xf numFmtId="49" fontId="9" fillId="0" borderId="13" xfId="60" applyNumberFormat="1" applyFont="1" applyFill="1" applyBorder="1" applyAlignment="1">
      <alignment horizontal="left" vertical="center"/>
    </xf>
    <xf numFmtId="49" fontId="9" fillId="0" borderId="14" xfId="60" applyNumberFormat="1" applyFont="1" applyFill="1" applyBorder="1" applyAlignment="1">
      <alignment horizontal="left" vertical="center"/>
    </xf>
    <xf numFmtId="49" fontId="9" fillId="0" borderId="28" xfId="60" applyNumberFormat="1" applyFont="1" applyFill="1" applyBorder="1" applyAlignment="1">
      <alignment horizontal="center" vertical="center"/>
    </xf>
    <xf numFmtId="49" fontId="9" fillId="0" borderId="18" xfId="60" applyNumberFormat="1" applyFont="1" applyFill="1" applyBorder="1" applyAlignment="1">
      <alignment horizontal="center" vertical="center"/>
    </xf>
    <xf numFmtId="49" fontId="9" fillId="0" borderId="17" xfId="60" applyNumberFormat="1" applyFont="1" applyFill="1" applyBorder="1" applyAlignment="1">
      <alignment horizontal="left" vertical="center"/>
    </xf>
    <xf numFmtId="49" fontId="9" fillId="0" borderId="18" xfId="60" applyNumberFormat="1" applyFont="1" applyFill="1" applyBorder="1" applyAlignment="1">
      <alignment horizontal="left" vertical="center"/>
    </xf>
    <xf numFmtId="0" fontId="9" fillId="0" borderId="16" xfId="60" applyFont="1" applyFill="1" applyBorder="1" applyAlignment="1">
      <alignment horizontal="center" vertical="center"/>
    </xf>
    <xf numFmtId="0" fontId="26" fillId="0" borderId="2" xfId="248" applyFont="1" applyBorder="1" applyAlignment="1">
      <alignment horizontal="left" vertical="center"/>
    </xf>
    <xf numFmtId="0" fontId="26" fillId="0" borderId="2" xfId="248" applyFont="1" applyBorder="1" applyAlignment="1">
      <alignment horizontal="center" vertical="center"/>
    </xf>
    <xf numFmtId="0" fontId="27" fillId="0" borderId="2" xfId="0" applyFont="1" applyBorder="1" applyAlignment="1">
      <alignment horizontal="center"/>
    </xf>
    <xf numFmtId="191" fontId="26" fillId="0" borderId="2" xfId="248" applyNumberFormat="1" applyFont="1" applyFill="1" applyBorder="1" applyAlignment="1">
      <alignment horizontal="center" vertical="center"/>
    </xf>
    <xf numFmtId="191" fontId="26" fillId="0" borderId="16" xfId="248" applyNumberFormat="1" applyFont="1" applyBorder="1" applyAlignment="1">
      <alignment horizontal="center" vertical="center"/>
    </xf>
    <xf numFmtId="49" fontId="15" fillId="13" borderId="31" xfId="248" applyNumberFormat="1" applyFont="1" applyFill="1" applyBorder="1" applyAlignment="1">
      <alignment horizontal="center" vertical="center"/>
    </xf>
    <xf numFmtId="0" fontId="14" fillId="0" borderId="17" xfId="0" applyFont="1" applyBorder="1" applyAlignment="1">
      <alignment horizontal="left"/>
    </xf>
    <xf numFmtId="0" fontId="14" fillId="0" borderId="29" xfId="0" applyFont="1" applyBorder="1" applyAlignment="1">
      <alignment horizontal="left"/>
    </xf>
    <xf numFmtId="196" fontId="9" fillId="0" borderId="2" xfId="248" applyNumberFormat="1" applyFont="1" applyBorder="1" applyAlignment="1">
      <alignment horizontal="center" vertical="center"/>
    </xf>
    <xf numFmtId="0" fontId="22" fillId="0" borderId="2" xfId="248" applyFont="1" applyBorder="1" applyAlignment="1">
      <alignment horizontal="left" vertical="center"/>
    </xf>
    <xf numFmtId="0" fontId="28" fillId="0" borderId="2" xfId="0" applyFont="1" applyBorder="1" applyAlignment="1">
      <alignment horizontal="center"/>
    </xf>
    <xf numFmtId="191" fontId="22" fillId="0" borderId="2" xfId="248" applyNumberFormat="1" applyFont="1" applyFill="1" applyBorder="1" applyAlignment="1">
      <alignment horizontal="center" vertical="center"/>
    </xf>
    <xf numFmtId="0" fontId="29" fillId="3" borderId="0" xfId="0" applyFont="1" applyFill="1" applyAlignment="1">
      <alignment horizontal="center"/>
    </xf>
    <xf numFmtId="49" fontId="9" fillId="4" borderId="25" xfId="248" applyNumberFormat="1" applyFont="1" applyFill="1" applyBorder="1" applyAlignment="1">
      <alignment horizontal="left" vertical="center"/>
    </xf>
    <xf numFmtId="49" fontId="9" fillId="4" borderId="26" xfId="248" applyNumberFormat="1" applyFont="1" applyFill="1" applyBorder="1" applyAlignment="1">
      <alignment horizontal="left" vertical="center"/>
    </xf>
    <xf numFmtId="49" fontId="9" fillId="4" borderId="27" xfId="248" applyNumberFormat="1" applyFont="1" applyFill="1" applyBorder="1" applyAlignment="1">
      <alignment horizontal="left" vertical="center"/>
    </xf>
    <xf numFmtId="0" fontId="28" fillId="0" borderId="0" xfId="0" applyFont="1" applyAlignment="1">
      <alignment horizontal="center"/>
    </xf>
    <xf numFmtId="0" fontId="28" fillId="0" borderId="0" xfId="0" applyFont="1"/>
    <xf numFmtId="49" fontId="19" fillId="15" borderId="0" xfId="248" applyNumberFormat="1" applyFont="1" applyFill="1" applyBorder="1" applyAlignment="1">
      <alignment horizontal="center" vertical="center"/>
    </xf>
    <xf numFmtId="0" fontId="9" fillId="0" borderId="16" xfId="248" applyFont="1" applyBorder="1" applyAlignment="1">
      <alignment vertical="center"/>
    </xf>
    <xf numFmtId="49" fontId="9" fillId="0" borderId="19" xfId="248" applyNumberFormat="1" applyFont="1" applyBorder="1" applyAlignment="1">
      <alignment horizontal="center" vertical="center"/>
    </xf>
    <xf numFmtId="0" fontId="9" fillId="0" borderId="20" xfId="248" applyFont="1" applyBorder="1" applyAlignment="1">
      <alignment horizontal="left" vertical="center"/>
    </xf>
    <xf numFmtId="0" fontId="28" fillId="0" borderId="0" xfId="0" applyFont="1" applyBorder="1" applyAlignment="1">
      <alignment horizontal="center"/>
    </xf>
    <xf numFmtId="191" fontId="28" fillId="0" borderId="0" xfId="0" applyNumberFormat="1" applyFont="1" applyBorder="1" applyAlignment="1">
      <alignment horizontal="center"/>
    </xf>
    <xf numFmtId="191" fontId="28" fillId="0" borderId="0" xfId="0" applyNumberFormat="1" applyFont="1" applyAlignment="1">
      <alignment horizontal="center"/>
    </xf>
    <xf numFmtId="0" fontId="28" fillId="0" borderId="15" xfId="0" applyFont="1" applyBorder="1" applyAlignment="1">
      <alignment horizontal="center"/>
    </xf>
    <xf numFmtId="0" fontId="14" fillId="0" borderId="2" xfId="0" applyFont="1" applyBorder="1"/>
    <xf numFmtId="0" fontId="14" fillId="0" borderId="2" xfId="0" applyFont="1" applyBorder="1" applyAlignment="1">
      <alignment horizontal="center"/>
    </xf>
    <xf numFmtId="0" fontId="28" fillId="0" borderId="19" xfId="0" applyFont="1" applyBorder="1" applyAlignment="1">
      <alignment horizontal="center"/>
    </xf>
    <xf numFmtId="0" fontId="28" fillId="0" borderId="20" xfId="0" applyFont="1" applyBorder="1" applyAlignment="1">
      <alignment horizontal="center"/>
    </xf>
    <xf numFmtId="0" fontId="14" fillId="0" borderId="20" xfId="0" applyFont="1" applyBorder="1" applyAlignment="1">
      <alignment horizontal="center"/>
    </xf>
    <xf numFmtId="0" fontId="28" fillId="0" borderId="0" xfId="0" applyFont="1" applyFill="1" applyAlignment="1">
      <alignment horizontal="center"/>
    </xf>
    <xf numFmtId="0" fontId="30" fillId="4" borderId="0" xfId="248" applyFont="1" applyFill="1">
      <alignment vertical="center"/>
    </xf>
    <xf numFmtId="0" fontId="30" fillId="13" borderId="0" xfId="248" applyFont="1" applyFill="1">
      <alignment vertical="center"/>
    </xf>
    <xf numFmtId="0" fontId="30" fillId="0" borderId="0" xfId="248" applyFont="1">
      <alignment vertical="center"/>
    </xf>
    <xf numFmtId="0" fontId="30" fillId="0" borderId="0" xfId="248" applyFont="1" applyFill="1" applyAlignment="1">
      <alignment horizontal="center" vertical="center"/>
    </xf>
    <xf numFmtId="0" fontId="30" fillId="0" borderId="0" xfId="248" applyFont="1" applyFill="1">
      <alignment vertical="center"/>
    </xf>
    <xf numFmtId="191" fontId="30" fillId="0" borderId="0" xfId="248" applyNumberFormat="1" applyFont="1" applyFill="1">
      <alignment vertical="center"/>
    </xf>
    <xf numFmtId="0" fontId="31" fillId="0" borderId="31" xfId="248" applyFont="1" applyFill="1" applyBorder="1" applyAlignment="1">
      <alignment horizontal="left" vertical="center"/>
    </xf>
    <xf numFmtId="0" fontId="18" fillId="0" borderId="31" xfId="248" applyFont="1" applyFill="1" applyBorder="1" applyAlignment="1">
      <alignment horizontal="left" vertical="center"/>
    </xf>
    <xf numFmtId="0" fontId="32" fillId="0" borderId="0" xfId="248" applyFont="1" applyAlignment="1">
      <alignment horizontal="center" vertical="center"/>
    </xf>
    <xf numFmtId="0" fontId="33" fillId="0" borderId="0" xfId="248" applyFont="1" applyBorder="1" applyAlignment="1">
      <alignment horizontal="center" vertical="center"/>
    </xf>
    <xf numFmtId="0" fontId="34" fillId="0" borderId="32" xfId="248" applyFont="1" applyBorder="1" applyAlignment="1">
      <alignment horizontal="center" vertical="center" wrapText="1"/>
    </xf>
    <xf numFmtId="0" fontId="9" fillId="0" borderId="12" xfId="248" applyFont="1" applyFill="1" applyBorder="1" applyAlignment="1">
      <alignment horizontal="center" vertical="center"/>
    </xf>
    <xf numFmtId="0" fontId="9" fillId="0" borderId="13" xfId="248" applyFont="1" applyFill="1" applyBorder="1" applyAlignment="1">
      <alignment horizontal="center" vertical="center" wrapText="1"/>
    </xf>
    <xf numFmtId="0" fontId="9" fillId="0" borderId="13" xfId="248" applyFont="1" applyFill="1" applyBorder="1" applyAlignment="1">
      <alignment horizontal="center" vertical="center"/>
    </xf>
    <xf numFmtId="191" fontId="9" fillId="0" borderId="13" xfId="248" applyNumberFormat="1" applyFont="1" applyFill="1" applyBorder="1" applyAlignment="1">
      <alignment horizontal="center" vertical="center" wrapText="1"/>
    </xf>
    <xf numFmtId="191" fontId="9" fillId="0" borderId="13" xfId="248" applyNumberFormat="1" applyFont="1" applyFill="1" applyBorder="1" applyAlignment="1">
      <alignment horizontal="center" vertical="center"/>
    </xf>
    <xf numFmtId="191" fontId="9" fillId="0" borderId="14" xfId="248" applyNumberFormat="1" applyFont="1" applyFill="1" applyBorder="1" applyAlignment="1">
      <alignment horizontal="center" vertical="center"/>
    </xf>
    <xf numFmtId="0" fontId="30" fillId="0" borderId="0" xfId="248" applyFont="1" applyAlignment="1">
      <alignment horizontal="center" vertical="center"/>
    </xf>
    <xf numFmtId="0" fontId="35" fillId="0" borderId="31" xfId="248" applyFont="1" applyBorder="1" applyAlignment="1">
      <alignment horizontal="center" vertical="center"/>
    </xf>
    <xf numFmtId="0" fontId="30" fillId="0" borderId="0" xfId="248" applyFont="1" applyBorder="1" applyAlignment="1">
      <alignment vertical="center"/>
    </xf>
    <xf numFmtId="0" fontId="30" fillId="0" borderId="28" xfId="248" applyFont="1" applyBorder="1" applyAlignment="1">
      <alignment horizontal="center" vertical="center" wrapText="1"/>
    </xf>
    <xf numFmtId="0" fontId="9" fillId="0" borderId="15" xfId="248" applyFont="1" applyFill="1" applyBorder="1" applyAlignment="1">
      <alignment horizontal="center" vertical="center"/>
    </xf>
    <xf numFmtId="0" fontId="9" fillId="0" borderId="2" xfId="248" applyFont="1" applyFill="1" applyBorder="1" applyAlignment="1">
      <alignment horizontal="center" vertical="center" wrapText="1"/>
    </xf>
    <xf numFmtId="191" fontId="9" fillId="0" borderId="2" xfId="248" applyNumberFormat="1" applyFont="1" applyFill="1" applyBorder="1" applyAlignment="1">
      <alignment horizontal="center" vertical="center" wrapText="1"/>
    </xf>
    <xf numFmtId="191" fontId="9" fillId="0" borderId="2" xfId="248" applyNumberFormat="1" applyFont="1" applyFill="1" applyBorder="1">
      <alignment vertical="center"/>
    </xf>
    <xf numFmtId="191" fontId="9" fillId="0" borderId="2" xfId="248" applyNumberFormat="1" applyFont="1" applyFill="1" applyBorder="1" applyAlignment="1">
      <alignment vertical="center" wrapText="1"/>
    </xf>
    <xf numFmtId="191" fontId="9" fillId="0" borderId="16" xfId="248" applyNumberFormat="1" applyFont="1" applyFill="1" applyBorder="1" applyAlignment="1">
      <alignment vertical="center" wrapText="1"/>
    </xf>
    <xf numFmtId="199" fontId="34" fillId="0" borderId="0" xfId="248" applyNumberFormat="1" applyFont="1" applyBorder="1" applyAlignment="1">
      <alignment horizontal="center" vertical="center"/>
    </xf>
    <xf numFmtId="199" fontId="34" fillId="0" borderId="12" xfId="248" applyNumberFormat="1" applyFont="1" applyBorder="1" applyAlignment="1">
      <alignment horizontal="center" vertical="center"/>
    </xf>
    <xf numFmtId="199" fontId="34" fillId="0" borderId="13" xfId="248" applyNumberFormat="1" applyFont="1" applyBorder="1" applyAlignment="1">
      <alignment horizontal="center" vertical="center"/>
    </xf>
    <xf numFmtId="199" fontId="34" fillId="0" borderId="14" xfId="248" applyNumberFormat="1" applyFont="1" applyBorder="1" applyAlignment="1">
      <alignment horizontal="center" vertical="center"/>
    </xf>
    <xf numFmtId="0" fontId="9" fillId="0" borderId="2" xfId="248" applyFont="1" applyFill="1" applyBorder="1">
      <alignment vertical="center"/>
    </xf>
    <xf numFmtId="191" fontId="9" fillId="13" borderId="2" xfId="248" applyNumberFormat="1" applyFont="1" applyFill="1" applyBorder="1">
      <alignment vertical="center"/>
    </xf>
    <xf numFmtId="191" fontId="9" fillId="0" borderId="16" xfId="248" applyNumberFormat="1" applyFont="1" applyFill="1" applyBorder="1">
      <alignment vertical="center"/>
    </xf>
    <xf numFmtId="0" fontId="30" fillId="6" borderId="0" xfId="248" applyFont="1" applyFill="1" applyAlignment="1">
      <alignment horizontal="center" vertical="center"/>
    </xf>
    <xf numFmtId="0" fontId="30" fillId="0" borderId="19" xfId="248" applyFont="1" applyFill="1" applyBorder="1" applyAlignment="1">
      <alignment horizontal="center" vertical="center"/>
    </xf>
    <xf numFmtId="191" fontId="30" fillId="0" borderId="20" xfId="248" applyNumberFormat="1" applyFont="1" applyFill="1" applyBorder="1" applyAlignment="1">
      <alignment horizontal="center" vertical="center"/>
    </xf>
    <xf numFmtId="0" fontId="30" fillId="0" borderId="20" xfId="248" applyFont="1" applyFill="1" applyBorder="1" applyAlignment="1">
      <alignment horizontal="center" vertical="center"/>
    </xf>
    <xf numFmtId="0" fontId="30" fillId="0" borderId="21" xfId="248" applyFont="1" applyFill="1" applyBorder="1" applyAlignment="1">
      <alignment horizontal="center" vertical="center"/>
    </xf>
    <xf numFmtId="0" fontId="30" fillId="15" borderId="0" xfId="248" applyFont="1" applyFill="1" applyAlignment="1">
      <alignment horizontal="center" vertical="center"/>
    </xf>
    <xf numFmtId="0" fontId="30" fillId="0" borderId="28" xfId="248" applyFont="1" applyBorder="1">
      <alignment vertical="center"/>
    </xf>
    <xf numFmtId="0" fontId="30" fillId="15" borderId="28" xfId="248" applyFont="1" applyFill="1" applyBorder="1">
      <alignment vertical="center"/>
    </xf>
    <xf numFmtId="0" fontId="30" fillId="0" borderId="0" xfId="248" applyFont="1" applyBorder="1">
      <alignment vertical="center"/>
    </xf>
    <xf numFmtId="0" fontId="30" fillId="3" borderId="0" xfId="248" applyFont="1" applyFill="1" applyAlignment="1">
      <alignment horizontal="center" vertical="center"/>
    </xf>
    <xf numFmtId="0" fontId="30" fillId="4" borderId="28" xfId="248" applyFont="1" applyFill="1" applyBorder="1">
      <alignment vertical="center"/>
    </xf>
    <xf numFmtId="0" fontId="30" fillId="4" borderId="0" xfId="248" applyFont="1" applyFill="1" applyAlignment="1">
      <alignment horizontal="center" vertical="center"/>
    </xf>
    <xf numFmtId="0" fontId="30" fillId="13" borderId="28" xfId="248" applyFont="1" applyFill="1" applyBorder="1">
      <alignment vertical="center"/>
    </xf>
    <xf numFmtId="0" fontId="30" fillId="13" borderId="0" xfId="248" applyFont="1" applyFill="1" applyAlignment="1">
      <alignment horizontal="center" vertical="center"/>
    </xf>
    <xf numFmtId="0" fontId="9" fillId="0" borderId="2" xfId="248" applyFont="1" applyFill="1" applyBorder="1" applyAlignment="1">
      <alignment vertical="center" shrinkToFit="1"/>
    </xf>
    <xf numFmtId="0" fontId="11" fillId="0" borderId="2" xfId="248" applyFont="1" applyFill="1" applyBorder="1" applyAlignment="1">
      <alignment horizontal="center" vertical="center"/>
    </xf>
    <xf numFmtId="0" fontId="30" fillId="0" borderId="36" xfId="248" applyFont="1" applyBorder="1">
      <alignment vertical="center"/>
    </xf>
    <xf numFmtId="0" fontId="11" fillId="0" borderId="20" xfId="248" applyFont="1" applyFill="1" applyBorder="1" applyAlignment="1">
      <alignment horizontal="center" vertical="center"/>
    </xf>
    <xf numFmtId="0" fontId="9" fillId="0" borderId="20" xfId="248" applyFont="1" applyFill="1" applyBorder="1">
      <alignment vertical="center"/>
    </xf>
    <xf numFmtId="191" fontId="9" fillId="0" borderId="20" xfId="248" applyNumberFormat="1" applyFont="1" applyFill="1" applyBorder="1">
      <alignment vertical="center"/>
    </xf>
    <xf numFmtId="191" fontId="11" fillId="0" borderId="20" xfId="248" applyNumberFormat="1" applyFont="1" applyFill="1" applyBorder="1">
      <alignment vertical="center"/>
    </xf>
    <xf numFmtId="191" fontId="11" fillId="0" borderId="21" xfId="248" applyNumberFormat="1" applyFont="1" applyFill="1" applyBorder="1">
      <alignment vertical="center"/>
    </xf>
    <xf numFmtId="0" fontId="9" fillId="0" borderId="11" xfId="248" applyFont="1" applyFill="1" applyBorder="1" applyAlignment="1">
      <alignment vertical="center"/>
    </xf>
    <xf numFmtId="191" fontId="9" fillId="0" borderId="2" xfId="248" applyNumberFormat="1" applyFont="1" applyFill="1" applyBorder="1" applyAlignment="1">
      <alignment vertical="center"/>
    </xf>
    <xf numFmtId="191" fontId="9" fillId="0" borderId="11" xfId="248" applyNumberFormat="1" applyFont="1" applyFill="1" applyBorder="1" applyAlignment="1">
      <alignment vertical="center"/>
    </xf>
    <xf numFmtId="191" fontId="9" fillId="0" borderId="16" xfId="248" applyNumberFormat="1" applyFont="1" applyFill="1" applyBorder="1" applyAlignment="1">
      <alignment vertical="center"/>
    </xf>
    <xf numFmtId="0" fontId="30" fillId="0" borderId="37" xfId="248" applyFont="1" applyFill="1" applyBorder="1" applyAlignment="1">
      <alignment horizontal="center" vertical="center"/>
    </xf>
    <xf numFmtId="0" fontId="30" fillId="0" borderId="38" xfId="248" applyFont="1" applyFill="1" applyBorder="1" applyAlignment="1">
      <alignment horizontal="center" vertical="center"/>
    </xf>
    <xf numFmtId="0" fontId="0" fillId="0" borderId="0" xfId="258"/>
    <xf numFmtId="0" fontId="36" fillId="0" borderId="0" xfId="248" applyFont="1" applyAlignment="1">
      <alignment horizontal="center" vertical="center"/>
    </xf>
    <xf numFmtId="0" fontId="37" fillId="0" borderId="0" xfId="248" applyFont="1" applyAlignment="1">
      <alignment horizontal="center" vertical="center"/>
    </xf>
    <xf numFmtId="0" fontId="9" fillId="0" borderId="12" xfId="248" applyFont="1" applyBorder="1" applyAlignment="1">
      <alignment horizontal="center" vertical="center"/>
    </xf>
    <xf numFmtId="0" fontId="9" fillId="0" borderId="13" xfId="248" applyFont="1" applyBorder="1" applyAlignment="1">
      <alignment horizontal="center" vertical="center"/>
    </xf>
    <xf numFmtId="0" fontId="9" fillId="0" borderId="14" xfId="248" applyFont="1" applyBorder="1" applyAlignment="1">
      <alignment horizontal="center" vertical="center"/>
    </xf>
    <xf numFmtId="0" fontId="9" fillId="0" borderId="15" xfId="248" applyFont="1" applyBorder="1" applyAlignment="1">
      <alignment horizontal="center" vertical="center"/>
    </xf>
    <xf numFmtId="195" fontId="9" fillId="0" borderId="2" xfId="3" applyNumberFormat="1" applyFont="1" applyBorder="1" applyAlignment="1">
      <alignment horizontal="center" vertical="center"/>
    </xf>
    <xf numFmtId="195" fontId="9" fillId="0" borderId="16" xfId="3" applyNumberFormat="1" applyFont="1" applyBorder="1" applyAlignment="1">
      <alignment horizontal="center" vertical="center"/>
    </xf>
    <xf numFmtId="195" fontId="9" fillId="0" borderId="2" xfId="3" applyNumberFormat="1" applyFont="1" applyFill="1" applyBorder="1" applyAlignment="1">
      <alignment horizontal="center" vertical="center"/>
    </xf>
    <xf numFmtId="195" fontId="9" fillId="0" borderId="16" xfId="3" applyNumberFormat="1" applyFont="1" applyFill="1" applyBorder="1" applyAlignment="1">
      <alignment horizontal="center" vertical="center"/>
    </xf>
    <xf numFmtId="195" fontId="9" fillId="0" borderId="20" xfId="3" applyNumberFormat="1" applyFont="1" applyFill="1" applyBorder="1" applyAlignment="1">
      <alignment horizontal="center" vertical="center"/>
    </xf>
    <xf numFmtId="195" fontId="9" fillId="0" borderId="21" xfId="3" applyNumberFormat="1" applyFont="1" applyFill="1" applyBorder="1" applyAlignment="1">
      <alignment horizontal="center" vertical="center"/>
    </xf>
    <xf numFmtId="0" fontId="9" fillId="0" borderId="39" xfId="248" applyFont="1" applyBorder="1" applyAlignment="1">
      <alignment horizontal="left" vertical="center"/>
    </xf>
    <xf numFmtId="0" fontId="36" fillId="0" borderId="31" xfId="251" applyFont="1" applyBorder="1" applyAlignment="1">
      <alignment horizontal="center" vertical="center"/>
    </xf>
    <xf numFmtId="0" fontId="37" fillId="0" borderId="31" xfId="251" applyFont="1" applyBorder="1" applyAlignment="1">
      <alignment horizontal="center" vertical="center"/>
    </xf>
    <xf numFmtId="0" fontId="9" fillId="0" borderId="12" xfId="251" applyFont="1" applyBorder="1" applyAlignment="1">
      <alignment horizontal="center" vertical="center"/>
    </xf>
    <xf numFmtId="0" fontId="9" fillId="0" borderId="13" xfId="251" applyFont="1" applyBorder="1" applyAlignment="1">
      <alignment horizontal="center" vertical="center"/>
    </xf>
    <xf numFmtId="0" fontId="9" fillId="0" borderId="14" xfId="251" applyFont="1" applyBorder="1" applyAlignment="1">
      <alignment horizontal="center" vertical="center"/>
    </xf>
    <xf numFmtId="0" fontId="9" fillId="0" borderId="15" xfId="251" applyFont="1" applyBorder="1" applyAlignment="1">
      <alignment horizontal="center" vertical="center"/>
    </xf>
    <xf numFmtId="0" fontId="9" fillId="0" borderId="2" xfId="251" applyFont="1" applyBorder="1" applyAlignment="1">
      <alignment horizontal="center" vertical="center"/>
    </xf>
    <xf numFmtId="0" fontId="9" fillId="0" borderId="16" xfId="251" applyFont="1" applyBorder="1" applyAlignment="1">
      <alignment horizontal="center" vertical="center"/>
    </xf>
    <xf numFmtId="9" fontId="9" fillId="0" borderId="2" xfId="3" applyNumberFormat="1" applyFont="1" applyFill="1" applyBorder="1" applyAlignment="1">
      <alignment horizontal="center" vertical="center"/>
    </xf>
    <xf numFmtId="9" fontId="9" fillId="0" borderId="16" xfId="3" applyNumberFormat="1" applyFont="1" applyFill="1" applyBorder="1" applyAlignment="1">
      <alignment horizontal="center" vertical="center"/>
    </xf>
    <xf numFmtId="9" fontId="9" fillId="0" borderId="2" xfId="3" applyNumberFormat="1" applyFont="1" applyBorder="1" applyAlignment="1">
      <alignment horizontal="center" vertical="center"/>
    </xf>
    <xf numFmtId="9" fontId="9" fillId="0" borderId="16" xfId="3" applyNumberFormat="1" applyFont="1" applyBorder="1" applyAlignment="1">
      <alignment horizontal="center" vertical="center"/>
    </xf>
    <xf numFmtId="9" fontId="9" fillId="0" borderId="20" xfId="3" applyNumberFormat="1" applyFont="1" applyFill="1" applyBorder="1" applyAlignment="1">
      <alignment horizontal="center" vertical="center"/>
    </xf>
    <xf numFmtId="9" fontId="9" fillId="0" borderId="21" xfId="3" applyNumberFormat="1" applyFont="1" applyFill="1" applyBorder="1" applyAlignment="1">
      <alignment horizontal="center" vertical="center"/>
    </xf>
    <xf numFmtId="0" fontId="9" fillId="0" borderId="0" xfId="248" applyFont="1" applyBorder="1" applyAlignment="1">
      <alignment horizontal="left" vertical="center"/>
    </xf>
    <xf numFmtId="0" fontId="1" fillId="0" borderId="31" xfId="258" applyFont="1" applyBorder="1" applyAlignment="1">
      <alignment horizontal="center" vertical="center"/>
    </xf>
    <xf numFmtId="0" fontId="37" fillId="0" borderId="0" xfId="258" applyFont="1" applyBorder="1" applyAlignment="1">
      <alignment horizontal="center" vertical="center"/>
    </xf>
    <xf numFmtId="0" fontId="15" fillId="0" borderId="0" xfId="258" applyFont="1" applyBorder="1" applyAlignment="1">
      <alignment horizontal="center"/>
    </xf>
    <xf numFmtId="0" fontId="9" fillId="0" borderId="12" xfId="258" applyFont="1" applyBorder="1" applyAlignment="1">
      <alignment horizontal="center" vertical="center"/>
    </xf>
    <xf numFmtId="0" fontId="9" fillId="0" borderId="13" xfId="258" applyFont="1" applyBorder="1" applyAlignment="1">
      <alignment horizontal="center" vertical="center" wrapText="1"/>
    </xf>
    <xf numFmtId="0" fontId="9" fillId="0" borderId="13" xfId="258" applyFont="1" applyBorder="1" applyAlignment="1">
      <alignment horizontal="center" vertical="center"/>
    </xf>
    <xf numFmtId="0" fontId="9" fillId="0" borderId="14" xfId="258" applyFont="1" applyBorder="1" applyAlignment="1">
      <alignment horizontal="center" vertical="center" wrapText="1"/>
    </xf>
    <xf numFmtId="0" fontId="9" fillId="0" borderId="0" xfId="258" applyFont="1" applyBorder="1" applyAlignment="1">
      <alignment horizontal="center" wrapText="1"/>
    </xf>
    <xf numFmtId="0" fontId="0" fillId="0" borderId="12" xfId="258" applyFont="1" applyBorder="1" applyAlignment="1">
      <alignment horizontal="center"/>
    </xf>
    <xf numFmtId="0" fontId="0" fillId="0" borderId="13" xfId="258" applyFont="1" applyBorder="1" applyAlignment="1">
      <alignment horizontal="center"/>
    </xf>
    <xf numFmtId="0" fontId="0" fillId="0" borderId="14" xfId="258" applyFont="1" applyBorder="1" applyAlignment="1">
      <alignment horizontal="center"/>
    </xf>
    <xf numFmtId="0" fontId="9" fillId="0" borderId="15" xfId="258" applyFont="1" applyBorder="1" applyAlignment="1">
      <alignment horizontal="center" vertical="center"/>
    </xf>
    <xf numFmtId="0" fontId="9" fillId="0" borderId="2" xfId="258" applyFont="1" applyBorder="1" applyAlignment="1">
      <alignment horizontal="center" vertical="center" wrapText="1"/>
    </xf>
    <xf numFmtId="0" fontId="9" fillId="0" borderId="2" xfId="258" applyFont="1" applyBorder="1" applyAlignment="1">
      <alignment horizontal="center" vertical="center"/>
    </xf>
    <xf numFmtId="0" fontId="9" fillId="0" borderId="16" xfId="258" applyFont="1" applyBorder="1" applyAlignment="1">
      <alignment horizontal="center" vertical="center" wrapText="1"/>
    </xf>
    <xf numFmtId="0" fontId="9" fillId="0" borderId="15" xfId="258" applyFont="1" applyBorder="1" applyAlignment="1">
      <alignment horizontal="center" wrapText="1"/>
    </xf>
    <xf numFmtId="0" fontId="9" fillId="0" borderId="2" xfId="258" applyFont="1" applyBorder="1" applyAlignment="1">
      <alignment horizontal="center" wrapText="1"/>
    </xf>
    <xf numFmtId="0" fontId="9" fillId="0" borderId="16" xfId="258" applyFont="1" applyBorder="1" applyAlignment="1">
      <alignment horizontal="center" wrapText="1"/>
    </xf>
    <xf numFmtId="0" fontId="9" fillId="0" borderId="15" xfId="258" applyFont="1" applyFill="1" applyBorder="1" applyAlignment="1">
      <alignment horizontal="center"/>
    </xf>
    <xf numFmtId="0" fontId="9" fillId="0" borderId="2" xfId="258" applyFont="1" applyFill="1" applyBorder="1" applyAlignment="1">
      <alignment horizontal="center"/>
    </xf>
    <xf numFmtId="0" fontId="9" fillId="0" borderId="2" xfId="258" applyFont="1" applyFill="1" applyBorder="1" applyAlignment="1">
      <alignment horizontal="center" vertical="center"/>
    </xf>
    <xf numFmtId="196" fontId="9" fillId="0" borderId="2" xfId="258" applyNumberFormat="1" applyFont="1" applyFill="1" applyBorder="1" applyAlignment="1">
      <alignment horizontal="center" vertical="center"/>
    </xf>
    <xf numFmtId="198" fontId="9" fillId="0" borderId="2" xfId="258" applyNumberFormat="1" applyFont="1" applyFill="1" applyBorder="1" applyAlignment="1">
      <alignment horizontal="center" vertical="center"/>
    </xf>
    <xf numFmtId="191" fontId="9" fillId="0" borderId="2" xfId="258" applyNumberFormat="1" applyFont="1" applyBorder="1" applyAlignment="1">
      <alignment horizontal="center" vertical="center"/>
    </xf>
    <xf numFmtId="191" fontId="9" fillId="0" borderId="16" xfId="258" applyNumberFormat="1" applyFont="1" applyBorder="1" applyAlignment="1">
      <alignment horizontal="center" vertical="center"/>
    </xf>
    <xf numFmtId="191" fontId="9" fillId="0" borderId="0" xfId="258" applyNumberFormat="1" applyFont="1" applyBorder="1" applyAlignment="1">
      <alignment horizontal="center"/>
    </xf>
    <xf numFmtId="200" fontId="10" fillId="0" borderId="15" xfId="258" applyNumberFormat="1" applyFont="1" applyBorder="1" applyAlignment="1">
      <alignment horizontal="center"/>
    </xf>
    <xf numFmtId="200" fontId="10" fillId="0" borderId="2" xfId="258" applyNumberFormat="1" applyFont="1" applyBorder="1" applyAlignment="1">
      <alignment horizontal="center"/>
    </xf>
    <xf numFmtId="198" fontId="10" fillId="0" borderId="2" xfId="258" applyNumberFormat="1" applyFont="1" applyBorder="1" applyAlignment="1"/>
    <xf numFmtId="198" fontId="10" fillId="13" borderId="2" xfId="258" applyNumberFormat="1" applyFont="1" applyFill="1" applyBorder="1" applyAlignment="1">
      <alignment horizontal="center"/>
    </xf>
    <xf numFmtId="198" fontId="10" fillId="0" borderId="2" xfId="258" applyNumberFormat="1" applyFont="1" applyBorder="1" applyAlignment="1">
      <alignment horizontal="center"/>
    </xf>
    <xf numFmtId="198" fontId="10" fillId="0" borderId="16" xfId="258" applyNumberFormat="1" applyFont="1" applyBorder="1" applyAlignment="1">
      <alignment horizontal="center"/>
    </xf>
    <xf numFmtId="0" fontId="9" fillId="0" borderId="15" xfId="258" applyFont="1" applyBorder="1" applyAlignment="1"/>
    <xf numFmtId="0" fontId="9" fillId="0" borderId="2" xfId="258" applyFont="1" applyBorder="1" applyAlignment="1"/>
    <xf numFmtId="0" fontId="9" fillId="0" borderId="16" xfId="258" applyFont="1" applyBorder="1" applyAlignment="1"/>
    <xf numFmtId="191" fontId="9" fillId="0" borderId="2" xfId="258" applyNumberFormat="1" applyFont="1" applyFill="1" applyBorder="1" applyAlignment="1">
      <alignment horizontal="center" vertical="center"/>
    </xf>
    <xf numFmtId="191" fontId="9" fillId="0" borderId="16" xfId="258" applyNumberFormat="1" applyFont="1" applyFill="1" applyBorder="1" applyAlignment="1">
      <alignment horizontal="center" vertical="center"/>
    </xf>
    <xf numFmtId="191" fontId="10" fillId="0" borderId="15" xfId="258" applyNumberFormat="1" applyFont="1" applyBorder="1" applyAlignment="1">
      <alignment horizontal="center"/>
    </xf>
    <xf numFmtId="191" fontId="10" fillId="0" borderId="2" xfId="258" applyNumberFormat="1" applyFont="1" applyBorder="1" applyAlignment="1">
      <alignment horizontal="center"/>
    </xf>
    <xf numFmtId="191" fontId="10" fillId="0" borderId="16" xfId="258" applyNumberFormat="1" applyFont="1" applyBorder="1" applyAlignment="1">
      <alignment horizontal="center"/>
    </xf>
    <xf numFmtId="191" fontId="10" fillId="0" borderId="19" xfId="258" applyNumberFormat="1" applyFont="1" applyBorder="1" applyAlignment="1">
      <alignment horizontal="center"/>
    </xf>
    <xf numFmtId="191" fontId="10" fillId="0" borderId="20" xfId="258" applyNumberFormat="1" applyFont="1" applyBorder="1" applyAlignment="1">
      <alignment horizontal="center"/>
    </xf>
    <xf numFmtId="191" fontId="10" fillId="0" borderId="21" xfId="258" applyNumberFormat="1" applyFont="1" applyBorder="1" applyAlignment="1">
      <alignment horizontal="center"/>
    </xf>
    <xf numFmtId="0" fontId="9" fillId="16" borderId="15" xfId="258" applyFont="1" applyFill="1" applyBorder="1" applyAlignment="1">
      <alignment horizontal="center"/>
    </xf>
    <xf numFmtId="0" fontId="9" fillId="16" borderId="2" xfId="258" applyFont="1" applyFill="1" applyBorder="1" applyAlignment="1">
      <alignment horizontal="center"/>
    </xf>
    <xf numFmtId="0" fontId="9" fillId="16" borderId="2" xfId="258" applyFont="1" applyFill="1" applyBorder="1" applyAlignment="1">
      <alignment horizontal="center" vertical="center"/>
    </xf>
    <xf numFmtId="198" fontId="9" fillId="16" borderId="2" xfId="258" applyNumberFormat="1" applyFont="1" applyFill="1" applyBorder="1" applyAlignment="1">
      <alignment horizontal="center" vertical="center"/>
    </xf>
    <xf numFmtId="191" fontId="9" fillId="16" borderId="2" xfId="258" applyNumberFormat="1" applyFont="1" applyFill="1" applyBorder="1" applyAlignment="1">
      <alignment horizontal="center" vertical="center"/>
    </xf>
    <xf numFmtId="191" fontId="9" fillId="16" borderId="16" xfId="258" applyNumberFormat="1" applyFont="1" applyFill="1" applyBorder="1" applyAlignment="1">
      <alignment horizontal="center" vertical="center"/>
    </xf>
    <xf numFmtId="0" fontId="9" fillId="0" borderId="32" xfId="258" applyFont="1" applyBorder="1" applyAlignment="1">
      <alignment horizontal="center"/>
    </xf>
    <xf numFmtId="0" fontId="9" fillId="0" borderId="26" xfId="258" applyFont="1" applyBorder="1" applyAlignment="1">
      <alignment horizontal="center"/>
    </xf>
    <xf numFmtId="0" fontId="9" fillId="0" borderId="27" xfId="258" applyFont="1" applyBorder="1" applyAlignment="1">
      <alignment horizontal="center"/>
    </xf>
    <xf numFmtId="0" fontId="9" fillId="0" borderId="28" xfId="258" applyFont="1" applyBorder="1" applyAlignment="1">
      <alignment horizontal="center" vertical="center"/>
    </xf>
    <xf numFmtId="0" fontId="9" fillId="0" borderId="29" xfId="258" applyFont="1" applyBorder="1" applyAlignment="1">
      <alignment horizontal="center" vertical="center"/>
    </xf>
    <xf numFmtId="0" fontId="9" fillId="0" borderId="18" xfId="258" applyFont="1" applyBorder="1" applyAlignment="1">
      <alignment horizontal="center" vertical="center"/>
    </xf>
    <xf numFmtId="0" fontId="9" fillId="0" borderId="16" xfId="258" applyFont="1" applyBorder="1" applyAlignment="1">
      <alignment horizontal="center" vertical="center"/>
    </xf>
    <xf numFmtId="0" fontId="9" fillId="0" borderId="36" xfId="258" applyFont="1" applyBorder="1" applyAlignment="1">
      <alignment horizontal="center" vertical="center"/>
    </xf>
    <xf numFmtId="0" fontId="9" fillId="0" borderId="40" xfId="258" applyFont="1" applyBorder="1" applyAlignment="1">
      <alignment horizontal="center" vertical="center"/>
    </xf>
    <xf numFmtId="0" fontId="9" fillId="0" borderId="35" xfId="258" applyFont="1" applyBorder="1" applyAlignment="1">
      <alignment horizontal="center" vertical="center"/>
    </xf>
    <xf numFmtId="191" fontId="9" fillId="0" borderId="20" xfId="258" applyNumberFormat="1" applyFont="1" applyBorder="1" applyAlignment="1">
      <alignment horizontal="center" vertical="center"/>
    </xf>
    <xf numFmtId="191" fontId="9" fillId="0" borderId="21" xfId="258" applyNumberFormat="1" applyFont="1" applyBorder="1" applyAlignment="1">
      <alignment horizontal="center" vertical="center"/>
    </xf>
    <xf numFmtId="0" fontId="9" fillId="0" borderId="15" xfId="258" applyFont="1" applyBorder="1" applyAlignment="1">
      <alignment horizontal="center"/>
    </xf>
    <xf numFmtId="0" fontId="9" fillId="0" borderId="2" xfId="258" applyFont="1" applyBorder="1" applyAlignment="1">
      <alignment horizontal="center"/>
    </xf>
    <xf numFmtId="0" fontId="0" fillId="0" borderId="0" xfId="258" applyFont="1" applyBorder="1" applyAlignment="1">
      <alignment horizontal="center" vertical="center"/>
    </xf>
    <xf numFmtId="191" fontId="0" fillId="0" borderId="0" xfId="258" applyNumberFormat="1" applyFont="1" applyBorder="1" applyAlignment="1">
      <alignment horizontal="center" vertical="center"/>
    </xf>
    <xf numFmtId="0" fontId="9" fillId="0" borderId="19" xfId="258" applyFont="1" applyBorder="1" applyAlignment="1">
      <alignment horizontal="center"/>
    </xf>
    <xf numFmtId="0" fontId="9" fillId="0" borderId="20" xfId="258" applyFont="1" applyBorder="1" applyAlignment="1">
      <alignment horizontal="center"/>
    </xf>
    <xf numFmtId="0" fontId="9" fillId="0" borderId="20" xfId="258" applyFont="1" applyBorder="1" applyAlignment="1">
      <alignment horizontal="center" vertical="center"/>
    </xf>
    <xf numFmtId="191" fontId="0" fillId="0" borderId="0" xfId="258" applyNumberFormat="1"/>
    <xf numFmtId="0" fontId="0" fillId="0" borderId="0" xfId="247"/>
    <xf numFmtId="192" fontId="0" fillId="0" borderId="0" xfId="247" applyNumberFormat="1" applyAlignment="1">
      <alignment horizontal="center"/>
    </xf>
    <xf numFmtId="191" fontId="38" fillId="0" borderId="31" xfId="247" applyNumberFormat="1" applyFont="1" applyBorder="1" applyAlignment="1">
      <alignment horizontal="left" vertical="center"/>
    </xf>
    <xf numFmtId="191" fontId="15" fillId="0" borderId="31" xfId="247" applyNumberFormat="1" applyFont="1" applyBorder="1" applyAlignment="1">
      <alignment horizontal="left" vertical="center"/>
    </xf>
    <xf numFmtId="191" fontId="15" fillId="0" borderId="31" xfId="247" applyNumberFormat="1" applyFont="1" applyBorder="1" applyAlignment="1">
      <alignment horizontal="center" vertical="center"/>
    </xf>
    <xf numFmtId="191" fontId="38" fillId="0" borderId="0" xfId="247" applyNumberFormat="1" applyFont="1" applyBorder="1" applyAlignment="1">
      <alignment vertical="center"/>
    </xf>
    <xf numFmtId="191" fontId="39" fillId="0" borderId="31" xfId="247" applyNumberFormat="1" applyFont="1" applyBorder="1" applyAlignment="1">
      <alignment horizontal="left"/>
    </xf>
    <xf numFmtId="191" fontId="15" fillId="0" borderId="31" xfId="247" applyNumberFormat="1" applyFont="1" applyBorder="1" applyAlignment="1">
      <alignment horizontal="left"/>
    </xf>
    <xf numFmtId="191" fontId="22" fillId="0" borderId="12" xfId="247" applyNumberFormat="1" applyFont="1" applyBorder="1" applyAlignment="1">
      <alignment horizontal="center" vertical="center"/>
    </xf>
    <xf numFmtId="191" fontId="22" fillId="0" borderId="13" xfId="247" applyNumberFormat="1" applyFont="1" applyBorder="1" applyAlignment="1">
      <alignment horizontal="center" vertical="center"/>
    </xf>
    <xf numFmtId="191" fontId="22" fillId="0" borderId="41" xfId="247" applyNumberFormat="1" applyFont="1" applyBorder="1" applyAlignment="1">
      <alignment horizontal="center" vertical="center" wrapText="1"/>
    </xf>
    <xf numFmtId="191" fontId="22" fillId="0" borderId="14" xfId="247" applyNumberFormat="1" applyFont="1" applyBorder="1" applyAlignment="1">
      <alignment horizontal="center" vertical="center"/>
    </xf>
    <xf numFmtId="191" fontId="22" fillId="0" borderId="13" xfId="247" applyNumberFormat="1" applyFont="1" applyBorder="1" applyAlignment="1">
      <alignment horizontal="center" vertical="center" wrapText="1"/>
    </xf>
    <xf numFmtId="191" fontId="22" fillId="0" borderId="13" xfId="247" applyNumberFormat="1" applyFont="1" applyFill="1" applyBorder="1" applyAlignment="1">
      <alignment horizontal="center" vertical="center" wrapText="1"/>
    </xf>
    <xf numFmtId="191" fontId="22" fillId="0" borderId="14" xfId="247" applyNumberFormat="1" applyFont="1" applyBorder="1" applyAlignment="1">
      <alignment horizontal="center" vertical="center" wrapText="1"/>
    </xf>
    <xf numFmtId="191" fontId="22" fillId="0" borderId="0" xfId="247" applyNumberFormat="1" applyFont="1" applyBorder="1" applyAlignment="1">
      <alignment horizontal="left" vertical="center"/>
    </xf>
    <xf numFmtId="0" fontId="9" fillId="0" borderId="22" xfId="247" applyFont="1" applyFill="1" applyBorder="1" applyAlignment="1">
      <alignment horizontal="center" vertical="center" wrapText="1"/>
    </xf>
    <xf numFmtId="0" fontId="9" fillId="0" borderId="42" xfId="247" applyFont="1" applyFill="1" applyBorder="1" applyAlignment="1">
      <alignment horizontal="center" vertical="center" wrapText="1"/>
    </xf>
    <xf numFmtId="192" fontId="9" fillId="0" borderId="43" xfId="247" applyNumberFormat="1" applyFont="1" applyFill="1" applyBorder="1" applyAlignment="1">
      <alignment horizontal="center" vertical="center" wrapText="1"/>
    </xf>
    <xf numFmtId="191" fontId="22" fillId="0" borderId="15" xfId="247" applyNumberFormat="1" applyFont="1" applyBorder="1" applyAlignment="1">
      <alignment horizontal="center" vertical="center"/>
    </xf>
    <xf numFmtId="191" fontId="22" fillId="0" borderId="2" xfId="247" applyNumberFormat="1" applyFont="1" applyBorder="1" applyAlignment="1">
      <alignment horizontal="center" vertical="center"/>
    </xf>
    <xf numFmtId="191" fontId="22" fillId="0" borderId="44" xfId="247" applyNumberFormat="1" applyFont="1" applyBorder="1" applyAlignment="1">
      <alignment horizontal="center" vertical="center" wrapText="1"/>
    </xf>
    <xf numFmtId="191" fontId="22" fillId="0" borderId="2" xfId="247" applyNumberFormat="1" applyFont="1" applyBorder="1" applyAlignment="1">
      <alignment horizontal="center" vertical="center" wrapText="1"/>
    </xf>
    <xf numFmtId="191" fontId="22" fillId="0" borderId="16" xfId="247" applyNumberFormat="1" applyFont="1" applyBorder="1" applyAlignment="1">
      <alignment horizontal="center" vertical="center" wrapText="1"/>
    </xf>
    <xf numFmtId="191" fontId="22" fillId="0" borderId="2" xfId="247" applyNumberFormat="1" applyFont="1" applyFill="1" applyBorder="1" applyAlignment="1">
      <alignment horizontal="center" vertical="center" wrapText="1"/>
    </xf>
    <xf numFmtId="0" fontId="9" fillId="0" borderId="15" xfId="247" applyFont="1" applyFill="1" applyBorder="1" applyAlignment="1">
      <alignment horizontal="center" vertical="center" wrapText="1"/>
    </xf>
    <xf numFmtId="0" fontId="9" fillId="0" borderId="2" xfId="247" applyFont="1" applyFill="1" applyBorder="1" applyAlignment="1">
      <alignment horizontal="center" vertical="center" wrapText="1"/>
    </xf>
    <xf numFmtId="192" fontId="9" fillId="0" borderId="16" xfId="247" applyNumberFormat="1" applyFont="1" applyFill="1" applyBorder="1" applyAlignment="1">
      <alignment horizontal="center" vertical="center" wrapText="1"/>
    </xf>
    <xf numFmtId="191" fontId="22" fillId="0" borderId="42" xfId="247" applyNumberFormat="1" applyFont="1" applyBorder="1" applyAlignment="1">
      <alignment horizontal="center" vertical="center" wrapText="1"/>
    </xf>
    <xf numFmtId="194" fontId="22" fillId="0" borderId="15" xfId="247" applyNumberFormat="1" applyFont="1" applyBorder="1" applyAlignment="1">
      <alignment horizontal="center" vertical="center"/>
    </xf>
    <xf numFmtId="0" fontId="22" fillId="0" borderId="2" xfId="247" applyFont="1" applyBorder="1" applyAlignment="1">
      <alignment horizontal="center" vertical="center"/>
    </xf>
    <xf numFmtId="0" fontId="40" fillId="0" borderId="2" xfId="247" applyFont="1" applyBorder="1" applyAlignment="1">
      <alignment horizontal="center" vertical="center"/>
    </xf>
    <xf numFmtId="191" fontId="22" fillId="0" borderId="2" xfId="247" applyNumberFormat="1" applyFont="1" applyFill="1" applyBorder="1" applyAlignment="1">
      <alignment horizontal="center" vertical="center"/>
    </xf>
    <xf numFmtId="194" fontId="22" fillId="7" borderId="2" xfId="247" applyNumberFormat="1" applyFont="1" applyFill="1" applyBorder="1" applyAlignment="1">
      <alignment horizontal="center" vertical="center"/>
    </xf>
    <xf numFmtId="191" fontId="9" fillId="0" borderId="16" xfId="247" applyNumberFormat="1" applyFont="1" applyBorder="1" applyAlignment="1">
      <alignment horizontal="center" vertical="center"/>
    </xf>
    <xf numFmtId="0" fontId="9" fillId="0" borderId="2" xfId="247" applyFont="1" applyFill="1" applyBorder="1" applyAlignment="1">
      <alignment horizontal="center" vertical="center"/>
    </xf>
    <xf numFmtId="0" fontId="11" fillId="0" borderId="2" xfId="247" applyFont="1" applyFill="1" applyBorder="1" applyAlignment="1">
      <alignment horizontal="center" vertical="center"/>
    </xf>
    <xf numFmtId="191" fontId="9" fillId="0" borderId="2" xfId="247" applyNumberFormat="1" applyFont="1" applyFill="1" applyBorder="1" applyAlignment="1">
      <alignment horizontal="center" vertical="center"/>
    </xf>
    <xf numFmtId="194" fontId="9" fillId="0" borderId="2" xfId="247" applyNumberFormat="1" applyFont="1" applyFill="1" applyBorder="1" applyAlignment="1">
      <alignment horizontal="center" vertical="center"/>
    </xf>
    <xf numFmtId="192" fontId="9" fillId="0" borderId="16" xfId="247" applyNumberFormat="1" applyFont="1" applyFill="1" applyBorder="1" applyAlignment="1">
      <alignment horizontal="center" vertical="center"/>
    </xf>
    <xf numFmtId="191" fontId="0" fillId="0" borderId="0" xfId="247" applyNumberFormat="1"/>
    <xf numFmtId="191" fontId="10" fillId="0" borderId="2" xfId="247" applyNumberFormat="1" applyFont="1" applyBorder="1" applyAlignment="1">
      <alignment horizontal="center" vertical="center"/>
    </xf>
    <xf numFmtId="194" fontId="22" fillId="0" borderId="2" xfId="247" applyNumberFormat="1" applyFont="1" applyFill="1" applyBorder="1" applyAlignment="1">
      <alignment horizontal="center" vertical="center"/>
    </xf>
    <xf numFmtId="191" fontId="10" fillId="0" borderId="16" xfId="247" applyNumberFormat="1" applyFont="1" applyBorder="1" applyAlignment="1">
      <alignment horizontal="center" vertical="center"/>
    </xf>
    <xf numFmtId="0" fontId="9" fillId="0" borderId="2" xfId="120" applyFont="1" applyFill="1" applyBorder="1" applyAlignment="1">
      <alignment horizontal="center" vertical="center"/>
    </xf>
    <xf numFmtId="0" fontId="22" fillId="0" borderId="2" xfId="247" applyFont="1" applyFill="1" applyBorder="1" applyAlignment="1">
      <alignment horizontal="center" vertical="center"/>
    </xf>
    <xf numFmtId="0" fontId="40" fillId="0" borderId="2" xfId="247" applyFont="1" applyFill="1" applyBorder="1" applyAlignment="1">
      <alignment horizontal="center" vertical="center"/>
    </xf>
    <xf numFmtId="191" fontId="22" fillId="4" borderId="2" xfId="247" applyNumberFormat="1" applyFont="1" applyFill="1" applyBorder="1" applyAlignment="1">
      <alignment horizontal="center" vertical="center"/>
    </xf>
    <xf numFmtId="196" fontId="22" fillId="0" borderId="2" xfId="247" applyNumberFormat="1" applyFont="1" applyFill="1" applyBorder="1" applyAlignment="1">
      <alignment horizontal="center" vertical="center"/>
    </xf>
    <xf numFmtId="0" fontId="9" fillId="0" borderId="45" xfId="0" applyNumberFormat="1" applyFont="1" applyFill="1" applyBorder="1" applyAlignment="1" applyProtection="1">
      <alignment horizontal="center" vertical="center"/>
    </xf>
    <xf numFmtId="191" fontId="41" fillId="0" borderId="2" xfId="247" applyNumberFormat="1" applyFont="1" applyFill="1" applyBorder="1" applyAlignment="1">
      <alignment horizontal="center" vertical="center"/>
    </xf>
    <xf numFmtId="191" fontId="10" fillId="0" borderId="2" xfId="247" applyNumberFormat="1" applyFont="1" applyFill="1" applyBorder="1" applyAlignment="1">
      <alignment horizontal="center" vertical="center"/>
    </xf>
    <xf numFmtId="191" fontId="22" fillId="0" borderId="16" xfId="247" applyNumberFormat="1" applyFont="1" applyFill="1" applyBorder="1" applyAlignment="1">
      <alignment horizontal="center" vertical="center" wrapText="1"/>
    </xf>
    <xf numFmtId="0" fontId="9" fillId="0" borderId="46" xfId="0" applyNumberFormat="1" applyFont="1" applyFill="1" applyBorder="1" applyAlignment="1" applyProtection="1">
      <alignment horizontal="center" vertical="center" wrapText="1"/>
    </xf>
    <xf numFmtId="0" fontId="9" fillId="13" borderId="45" xfId="0" applyNumberFormat="1" applyFont="1" applyFill="1" applyBorder="1" applyAlignment="1" applyProtection="1">
      <alignment horizontal="center" vertical="center"/>
    </xf>
    <xf numFmtId="0" fontId="11" fillId="13" borderId="45" xfId="0" applyNumberFormat="1" applyFont="1" applyFill="1" applyBorder="1" applyAlignment="1" applyProtection="1">
      <alignment horizontal="center" vertical="center"/>
    </xf>
    <xf numFmtId="191" fontId="9" fillId="13" borderId="45" xfId="0" applyNumberFormat="1" applyFont="1" applyFill="1" applyBorder="1" applyAlignment="1" applyProtection="1">
      <alignment horizontal="center" vertical="center"/>
    </xf>
    <xf numFmtId="0" fontId="9" fillId="13" borderId="2" xfId="247" applyFont="1" applyFill="1" applyBorder="1" applyAlignment="1">
      <alignment horizontal="center" vertical="center"/>
    </xf>
    <xf numFmtId="191" fontId="9" fillId="13" borderId="2" xfId="247" applyNumberFormat="1" applyFont="1" applyFill="1" applyBorder="1" applyAlignment="1">
      <alignment horizontal="center" vertical="center"/>
    </xf>
    <xf numFmtId="191" fontId="9" fillId="13" borderId="47" xfId="0" applyNumberFormat="1" applyFont="1" applyFill="1" applyBorder="1" applyAlignment="1" applyProtection="1">
      <alignment horizontal="center" vertical="center"/>
    </xf>
    <xf numFmtId="194" fontId="22" fillId="0" borderId="15" xfId="247" applyNumberFormat="1" applyFont="1" applyFill="1" applyBorder="1" applyAlignment="1">
      <alignment horizontal="center" vertical="center"/>
    </xf>
    <xf numFmtId="0" fontId="22" fillId="0" borderId="2" xfId="247" applyFont="1" applyFill="1" applyBorder="1" applyAlignment="1">
      <alignment horizontal="center"/>
    </xf>
    <xf numFmtId="196" fontId="9" fillId="13" borderId="2" xfId="247" applyNumberFormat="1" applyFont="1" applyFill="1" applyBorder="1" applyAlignment="1">
      <alignment horizontal="center" vertical="center"/>
    </xf>
    <xf numFmtId="0" fontId="41" fillId="0" borderId="2" xfId="247" applyFont="1" applyFill="1" applyBorder="1" applyAlignment="1">
      <alignment horizontal="center" vertical="center"/>
    </xf>
    <xf numFmtId="0" fontId="9" fillId="0" borderId="2" xfId="76" applyFont="1" applyFill="1" applyBorder="1" applyAlignment="1">
      <alignment horizontal="left" vertical="center" wrapText="1"/>
    </xf>
    <xf numFmtId="0" fontId="9" fillId="0" borderId="2" xfId="76" applyFont="1" applyFill="1" applyBorder="1" applyAlignment="1">
      <alignment horizontal="center" vertical="center"/>
    </xf>
    <xf numFmtId="0" fontId="11" fillId="0" borderId="2" xfId="76" applyFont="1" applyFill="1" applyBorder="1" applyAlignment="1">
      <alignment horizontal="center" vertical="center"/>
    </xf>
    <xf numFmtId="1" fontId="9" fillId="0" borderId="2" xfId="76" applyNumberFormat="1" applyFont="1" applyFill="1" applyBorder="1" applyAlignment="1">
      <alignment horizontal="center" vertical="center"/>
    </xf>
    <xf numFmtId="2" fontId="9" fillId="0" borderId="2" xfId="76" applyNumberFormat="1" applyFont="1" applyFill="1" applyBorder="1" applyAlignment="1">
      <alignment horizontal="center" vertical="center"/>
    </xf>
    <xf numFmtId="0" fontId="0" fillId="0" borderId="2" xfId="247" applyFont="1" applyFill="1" applyBorder="1"/>
    <xf numFmtId="191" fontId="9" fillId="0" borderId="2" xfId="76" applyNumberFormat="1" applyFont="1" applyFill="1" applyBorder="1" applyAlignment="1">
      <alignment horizontal="center" vertical="center"/>
    </xf>
    <xf numFmtId="0" fontId="22" fillId="0" borderId="2" xfId="247" applyFont="1" applyFill="1" applyBorder="1" applyAlignment="1">
      <alignment horizontal="center" wrapText="1"/>
    </xf>
    <xf numFmtId="192" fontId="0" fillId="0" borderId="16" xfId="247" applyNumberFormat="1" applyFont="1" applyFill="1" applyBorder="1" applyAlignment="1">
      <alignment horizontal="center"/>
    </xf>
    <xf numFmtId="0" fontId="9" fillId="0" borderId="2" xfId="247" applyFont="1" applyFill="1" applyBorder="1" applyAlignment="1">
      <alignment horizontal="center"/>
    </xf>
    <xf numFmtId="0" fontId="9" fillId="0" borderId="15" xfId="247" applyFont="1" applyBorder="1"/>
    <xf numFmtId="191" fontId="22" fillId="0" borderId="2" xfId="247" applyNumberFormat="1" applyFont="1" applyBorder="1" applyAlignment="1">
      <alignment horizontal="left" vertical="center"/>
    </xf>
    <xf numFmtId="191" fontId="22" fillId="0" borderId="16" xfId="247" applyNumberFormat="1" applyFont="1" applyBorder="1" applyAlignment="1">
      <alignment horizontal="left" vertical="center"/>
    </xf>
    <xf numFmtId="0" fontId="9" fillId="0" borderId="15" xfId="247" applyFont="1" applyBorder="1" applyAlignment="1"/>
    <xf numFmtId="0" fontId="9" fillId="0" borderId="2" xfId="247" applyFont="1" applyBorder="1" applyAlignment="1"/>
    <xf numFmtId="0" fontId="9" fillId="0" borderId="16" xfId="247" applyFont="1" applyBorder="1" applyAlignment="1"/>
    <xf numFmtId="191" fontId="42" fillId="0" borderId="28" xfId="247" applyNumberFormat="1" applyFont="1" applyBorder="1" applyAlignment="1">
      <alignment horizontal="center" vertical="center"/>
    </xf>
    <xf numFmtId="191" fontId="42" fillId="0" borderId="29" xfId="247" applyNumberFormat="1" applyFont="1" applyBorder="1" applyAlignment="1">
      <alignment horizontal="center" vertical="center"/>
    </xf>
    <xf numFmtId="191" fontId="42" fillId="0" borderId="30" xfId="247" applyNumberFormat="1" applyFont="1" applyBorder="1" applyAlignment="1">
      <alignment horizontal="center" vertical="center"/>
    </xf>
    <xf numFmtId="0" fontId="9" fillId="0" borderId="19" xfId="247" applyFont="1" applyBorder="1" applyAlignment="1"/>
    <xf numFmtId="0" fontId="9" fillId="0" borderId="20" xfId="247" applyFont="1" applyBorder="1" applyAlignment="1"/>
    <xf numFmtId="0" fontId="9" fillId="0" borderId="21" xfId="247" applyFont="1" applyBorder="1" applyAlignment="1"/>
    <xf numFmtId="0" fontId="9" fillId="0" borderId="19" xfId="247" applyFont="1" applyBorder="1"/>
    <xf numFmtId="191" fontId="22" fillId="0" borderId="34" xfId="247" applyNumberFormat="1" applyFont="1" applyBorder="1" applyAlignment="1">
      <alignment horizontal="center" vertical="center"/>
    </xf>
    <xf numFmtId="191" fontId="22" fillId="0" borderId="40" xfId="247" applyNumberFormat="1" applyFont="1" applyBorder="1" applyAlignment="1">
      <alignment horizontal="center" vertical="center"/>
    </xf>
    <xf numFmtId="191" fontId="22" fillId="0" borderId="48" xfId="247" applyNumberFormat="1" applyFont="1" applyBorder="1" applyAlignment="1">
      <alignment horizontal="center" vertical="center"/>
    </xf>
    <xf numFmtId="191" fontId="22" fillId="0" borderId="0" xfId="247" applyNumberFormat="1" applyFont="1" applyBorder="1" applyAlignment="1">
      <alignment horizontal="center" vertical="center"/>
    </xf>
    <xf numFmtId="0" fontId="9" fillId="0" borderId="36" xfId="247" applyFont="1" applyFill="1" applyBorder="1" applyAlignment="1">
      <alignment horizontal="center" vertical="center"/>
    </xf>
    <xf numFmtId="0" fontId="9" fillId="0" borderId="40" xfId="247" applyFont="1" applyFill="1" applyBorder="1" applyAlignment="1">
      <alignment horizontal="center" vertical="center"/>
    </xf>
    <xf numFmtId="0" fontId="9" fillId="0" borderId="48" xfId="247" applyFont="1" applyFill="1" applyBorder="1" applyAlignment="1">
      <alignment horizontal="center" vertical="center"/>
    </xf>
    <xf numFmtId="0" fontId="9" fillId="0" borderId="0" xfId="247" applyFont="1"/>
    <xf numFmtId="0" fontId="12" fillId="0" borderId="0" xfId="0" applyFont="1" applyAlignment="1">
      <alignment vertical="center"/>
    </xf>
    <xf numFmtId="0" fontId="43" fillId="0" borderId="0" xfId="0" applyFont="1" applyAlignment="1"/>
    <xf numFmtId="0" fontId="9" fillId="0" borderId="31" xfId="0" applyFont="1" applyBorder="1" applyAlignment="1">
      <alignment horizontal="center"/>
    </xf>
    <xf numFmtId="0" fontId="9" fillId="0" borderId="31" xfId="0" applyFont="1" applyBorder="1" applyAlignment="1">
      <alignment horizontal="right"/>
    </xf>
    <xf numFmtId="0" fontId="30" fillId="0" borderId="0" xfId="0" applyFont="1" applyAlignment="1">
      <alignment horizontal="right"/>
    </xf>
    <xf numFmtId="0" fontId="9" fillId="0" borderId="49" xfId="0" applyFont="1" applyBorder="1" applyAlignment="1">
      <alignment horizontal="center" wrapText="1"/>
    </xf>
    <xf numFmtId="0" fontId="11" fillId="0" borderId="13" xfId="0" applyFont="1" applyBorder="1" applyAlignment="1">
      <alignment horizontal="center"/>
    </xf>
    <xf numFmtId="0" fontId="9" fillId="0" borderId="50" xfId="0" applyFont="1" applyBorder="1" applyAlignment="1">
      <alignment horizontal="center" wrapText="1"/>
    </xf>
    <xf numFmtId="0" fontId="11" fillId="0" borderId="14" xfId="0" applyFont="1" applyBorder="1" applyAlignment="1">
      <alignment horizontal="center"/>
    </xf>
    <xf numFmtId="0" fontId="11" fillId="0" borderId="32" xfId="0" applyFont="1" applyBorder="1" applyAlignment="1">
      <alignment horizontal="center"/>
    </xf>
    <xf numFmtId="0" fontId="11" fillId="0" borderId="33" xfId="0" applyFont="1" applyBorder="1" applyAlignment="1">
      <alignment horizontal="center"/>
    </xf>
    <xf numFmtId="0" fontId="11" fillId="0" borderId="25" xfId="0" applyFont="1" applyBorder="1" applyAlignment="1">
      <alignment horizontal="center"/>
    </xf>
    <xf numFmtId="0" fontId="11" fillId="0" borderId="27" xfId="0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16" xfId="0" applyFont="1" applyBorder="1" applyAlignment="1">
      <alignment horizontal="center"/>
    </xf>
    <xf numFmtId="0" fontId="11" fillId="0" borderId="19" xfId="0" applyFont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11" fillId="0" borderId="21" xfId="0" applyFont="1" applyBorder="1" applyAlignment="1">
      <alignment horizontal="center"/>
    </xf>
    <xf numFmtId="0" fontId="11" fillId="0" borderId="0" xfId="0" applyFont="1"/>
    <xf numFmtId="191" fontId="38" fillId="0" borderId="0" xfId="247" applyNumberFormat="1" applyFont="1" applyBorder="1" applyAlignment="1">
      <alignment horizontal="left" vertical="center"/>
    </xf>
    <xf numFmtId="191" fontId="15" fillId="0" borderId="0" xfId="247" applyNumberFormat="1" applyFont="1" applyBorder="1" applyAlignment="1">
      <alignment horizontal="left" vertical="center"/>
    </xf>
    <xf numFmtId="191" fontId="22" fillId="0" borderId="51" xfId="247" applyNumberFormat="1" applyFont="1" applyBorder="1" applyAlignment="1">
      <alignment horizontal="center" vertical="center" wrapText="1"/>
    </xf>
    <xf numFmtId="191" fontId="22" fillId="0" borderId="0" xfId="247" applyNumberFormat="1" applyFont="1" applyBorder="1" applyAlignment="1">
      <alignment horizontal="center" vertical="center" wrapText="1"/>
    </xf>
    <xf numFmtId="191" fontId="22" fillId="0" borderId="51" xfId="247" applyNumberFormat="1" applyFont="1" applyBorder="1" applyAlignment="1">
      <alignment horizontal="center" vertical="center"/>
    </xf>
    <xf numFmtId="191" fontId="22" fillId="0" borderId="51" xfId="247" applyNumberFormat="1" applyFont="1" applyFill="1" applyBorder="1" applyAlignment="1">
      <alignment horizontal="center" vertical="center" wrapText="1"/>
    </xf>
    <xf numFmtId="191" fontId="22" fillId="0" borderId="0" xfId="247" applyNumberFormat="1" applyFont="1" applyFill="1" applyBorder="1" applyAlignment="1">
      <alignment horizontal="center" vertical="center" wrapText="1"/>
    </xf>
    <xf numFmtId="191" fontId="22" fillId="0" borderId="51" xfId="247" applyNumberFormat="1" applyFont="1" applyBorder="1" applyAlignment="1">
      <alignment horizontal="left" vertical="center"/>
    </xf>
    <xf numFmtId="0" fontId="9" fillId="0" borderId="51" xfId="247" applyFont="1" applyBorder="1" applyAlignment="1"/>
    <xf numFmtId="0" fontId="9" fillId="0" borderId="0" xfId="247" applyFont="1" applyBorder="1" applyAlignment="1"/>
    <xf numFmtId="194" fontId="34" fillId="0" borderId="0" xfId="258" applyNumberFormat="1" applyFont="1" applyFill="1"/>
    <xf numFmtId="194" fontId="34" fillId="0" borderId="0" xfId="258" applyNumberFormat="1" applyFont="1" applyFill="1" applyAlignment="1">
      <alignment horizontal="center"/>
    </xf>
    <xf numFmtId="194" fontId="34" fillId="13" borderId="0" xfId="258" applyNumberFormat="1" applyFont="1" applyFill="1" applyAlignment="1">
      <alignment horizontal="center"/>
    </xf>
    <xf numFmtId="194" fontId="44" fillId="13" borderId="0" xfId="258" applyNumberFormat="1" applyFont="1" applyFill="1"/>
    <xf numFmtId="194" fontId="0" fillId="0" borderId="0" xfId="258" applyNumberFormat="1" applyFill="1"/>
    <xf numFmtId="194" fontId="44" fillId="0" borderId="0" xfId="258" applyNumberFormat="1" applyFont="1" applyFill="1"/>
    <xf numFmtId="194" fontId="44" fillId="11" borderId="0" xfId="258" applyNumberFormat="1" applyFont="1" applyFill="1"/>
    <xf numFmtId="194" fontId="0" fillId="11" borderId="0" xfId="258" applyNumberFormat="1" applyFill="1"/>
    <xf numFmtId="194" fontId="0" fillId="0" borderId="0" xfId="258" applyNumberFormat="1" applyAlignment="1">
      <alignment horizontal="center"/>
    </xf>
    <xf numFmtId="194" fontId="0" fillId="0" borderId="0" xfId="258" applyNumberFormat="1" applyAlignment="1">
      <alignment horizontal="left" wrapText="1"/>
    </xf>
    <xf numFmtId="191" fontId="0" fillId="0" borderId="0" xfId="258" applyNumberFormat="1" applyAlignment="1">
      <alignment horizontal="center"/>
    </xf>
    <xf numFmtId="194" fontId="0" fillId="0" borderId="0" xfId="258" applyNumberFormat="1" applyAlignment="1"/>
    <xf numFmtId="194" fontId="0" fillId="0" borderId="0" xfId="258" applyNumberFormat="1"/>
    <xf numFmtId="191" fontId="9" fillId="0" borderId="0" xfId="258" applyNumberFormat="1" applyFont="1"/>
    <xf numFmtId="194" fontId="9" fillId="0" borderId="0" xfId="258" applyNumberFormat="1" applyFont="1"/>
    <xf numFmtId="0" fontId="45" fillId="17" borderId="0" xfId="258" applyFont="1" applyFill="1" applyBorder="1" applyAlignment="1">
      <alignment horizontal="center" vertical="center"/>
    </xf>
    <xf numFmtId="0" fontId="15" fillId="17" borderId="0" xfId="258" applyFont="1" applyFill="1" applyBorder="1" applyAlignment="1">
      <alignment horizontal="center" vertical="center" wrapText="1"/>
    </xf>
    <xf numFmtId="0" fontId="15" fillId="17" borderId="0" xfId="258" applyFont="1" applyFill="1" applyBorder="1" applyAlignment="1">
      <alignment horizontal="center" vertical="center"/>
    </xf>
    <xf numFmtId="191" fontId="15" fillId="17" borderId="0" xfId="258" applyNumberFormat="1" applyFont="1" applyFill="1" applyBorder="1" applyAlignment="1">
      <alignment horizontal="center" vertical="center"/>
    </xf>
    <xf numFmtId="191" fontId="46" fillId="0" borderId="0" xfId="258" applyNumberFormat="1" applyFont="1" applyFill="1"/>
    <xf numFmtId="194" fontId="46" fillId="0" borderId="0" xfId="258" applyNumberFormat="1" applyFont="1" applyFill="1"/>
    <xf numFmtId="191" fontId="34" fillId="0" borderId="0" xfId="258" applyNumberFormat="1" applyFont="1" applyFill="1"/>
    <xf numFmtId="194" fontId="47" fillId="17" borderId="12" xfId="258" applyNumberFormat="1" applyFont="1" applyFill="1" applyBorder="1" applyAlignment="1">
      <alignment horizontal="center" vertical="center" wrapText="1" shrinkToFit="1"/>
    </xf>
    <xf numFmtId="194" fontId="47" fillId="17" borderId="13" xfId="258" applyNumberFormat="1" applyFont="1" applyFill="1" applyBorder="1" applyAlignment="1">
      <alignment horizontal="center" vertical="center" wrapText="1" shrinkToFit="1"/>
    </xf>
    <xf numFmtId="191" fontId="47" fillId="17" borderId="13" xfId="258" applyNumberFormat="1" applyFont="1" applyFill="1" applyBorder="1" applyAlignment="1">
      <alignment horizontal="center" vertical="center" wrapText="1" shrinkToFit="1"/>
    </xf>
    <xf numFmtId="194" fontId="47" fillId="17" borderId="14" xfId="258" applyNumberFormat="1" applyFont="1" applyFill="1" applyBorder="1" applyAlignment="1">
      <alignment horizontal="center" vertical="center" wrapText="1" shrinkToFit="1"/>
    </xf>
    <xf numFmtId="194" fontId="47" fillId="17" borderId="15" xfId="258" applyNumberFormat="1" applyFont="1" applyFill="1" applyBorder="1" applyAlignment="1">
      <alignment horizontal="center" vertical="center" wrapText="1" shrinkToFit="1"/>
    </xf>
    <xf numFmtId="194" fontId="47" fillId="17" borderId="2" xfId="258" applyNumberFormat="1" applyFont="1" applyFill="1" applyBorder="1" applyAlignment="1">
      <alignment horizontal="center" vertical="center" wrapText="1" shrinkToFit="1"/>
    </xf>
    <xf numFmtId="191" fontId="47" fillId="17" borderId="2" xfId="258" applyNumberFormat="1" applyFont="1" applyFill="1" applyBorder="1" applyAlignment="1">
      <alignment horizontal="center" vertical="center" wrapText="1" shrinkToFit="1"/>
    </xf>
    <xf numFmtId="194" fontId="47" fillId="17" borderId="16" xfId="258" applyNumberFormat="1" applyFont="1" applyFill="1" applyBorder="1" applyAlignment="1">
      <alignment horizontal="center" vertical="center" wrapText="1" shrinkToFit="1"/>
    </xf>
    <xf numFmtId="201" fontId="47" fillId="17" borderId="15" xfId="258" applyNumberFormat="1" applyFont="1" applyFill="1" applyBorder="1" applyAlignment="1">
      <alignment horizontal="center" vertical="center"/>
    </xf>
    <xf numFmtId="201" fontId="47" fillId="17" borderId="2" xfId="258" applyNumberFormat="1" applyFont="1" applyFill="1" applyBorder="1" applyAlignment="1">
      <alignment horizontal="center" vertical="center" wrapText="1"/>
    </xf>
    <xf numFmtId="201" fontId="47" fillId="17" borderId="2" xfId="258" applyNumberFormat="1" applyFont="1" applyFill="1" applyBorder="1" applyAlignment="1">
      <alignment horizontal="center" vertical="center"/>
    </xf>
    <xf numFmtId="201" fontId="47" fillId="17" borderId="16" xfId="258" applyNumberFormat="1" applyFont="1" applyFill="1" applyBorder="1" applyAlignment="1">
      <alignment horizontal="center" vertical="center"/>
    </xf>
    <xf numFmtId="194" fontId="46" fillId="0" borderId="0" xfId="258" applyNumberFormat="1" applyFont="1" applyFill="1" applyAlignment="1">
      <alignment horizontal="center"/>
    </xf>
    <xf numFmtId="191" fontId="34" fillId="0" borderId="0" xfId="258" applyNumberFormat="1" applyFont="1" applyFill="1" applyAlignment="1">
      <alignment horizontal="center"/>
    </xf>
    <xf numFmtId="201" fontId="47" fillId="17" borderId="2" xfId="258" applyNumberFormat="1" applyFont="1" applyFill="1" applyBorder="1" applyAlignment="1">
      <alignment horizontal="left" vertical="center" wrapText="1"/>
    </xf>
    <xf numFmtId="194" fontId="47" fillId="17" borderId="2" xfId="258" applyNumberFormat="1" applyFont="1" applyFill="1" applyBorder="1" applyAlignment="1">
      <alignment horizontal="center" vertical="center"/>
    </xf>
    <xf numFmtId="192" fontId="47" fillId="17" borderId="2" xfId="258" applyNumberFormat="1" applyFont="1" applyFill="1" applyBorder="1" applyAlignment="1">
      <alignment horizontal="center" vertical="center"/>
    </xf>
    <xf numFmtId="191" fontId="47" fillId="17" borderId="2" xfId="258" applyNumberFormat="1" applyFont="1" applyFill="1" applyBorder="1" applyAlignment="1">
      <alignment horizontal="center" vertical="center"/>
    </xf>
    <xf numFmtId="192" fontId="47" fillId="17" borderId="16" xfId="258" applyNumberFormat="1" applyFont="1" applyFill="1" applyBorder="1" applyAlignment="1">
      <alignment horizontal="center" vertical="center"/>
    </xf>
    <xf numFmtId="191" fontId="46" fillId="13" borderId="0" xfId="258" applyNumberFormat="1" applyFont="1" applyFill="1"/>
    <xf numFmtId="194" fontId="46" fillId="13" borderId="0" xfId="258" applyNumberFormat="1" applyFont="1" applyFill="1" applyAlignment="1">
      <alignment horizontal="center"/>
    </xf>
    <xf numFmtId="191" fontId="34" fillId="13" borderId="0" xfId="258" applyNumberFormat="1" applyFont="1" applyFill="1" applyAlignment="1">
      <alignment horizontal="center"/>
    </xf>
    <xf numFmtId="191" fontId="48" fillId="17" borderId="2" xfId="258" applyNumberFormat="1" applyFont="1" applyFill="1" applyBorder="1" applyAlignment="1">
      <alignment horizontal="center"/>
    </xf>
    <xf numFmtId="201" fontId="49" fillId="17" borderId="2" xfId="258" applyNumberFormat="1" applyFont="1" applyFill="1" applyBorder="1" applyAlignment="1">
      <alignment horizontal="left" vertical="center" wrapText="1"/>
    </xf>
    <xf numFmtId="201" fontId="47" fillId="0" borderId="15" xfId="258" applyNumberFormat="1" applyFont="1" applyFill="1" applyBorder="1" applyAlignment="1">
      <alignment horizontal="center" vertical="center"/>
    </xf>
    <xf numFmtId="201" fontId="47" fillId="0" borderId="2" xfId="258" applyNumberFormat="1" applyFont="1" applyFill="1" applyBorder="1" applyAlignment="1">
      <alignment horizontal="left" vertical="center" wrapText="1"/>
    </xf>
    <xf numFmtId="194" fontId="47" fillId="0" borderId="2" xfId="258" applyNumberFormat="1" applyFont="1" applyFill="1" applyBorder="1" applyAlignment="1">
      <alignment horizontal="center" vertical="center"/>
    </xf>
    <xf numFmtId="192" fontId="47" fillId="0" borderId="2" xfId="258" applyNumberFormat="1" applyFont="1" applyFill="1" applyBorder="1" applyAlignment="1">
      <alignment horizontal="center" vertical="center"/>
    </xf>
    <xf numFmtId="191" fontId="48" fillId="0" borderId="2" xfId="258" applyNumberFormat="1" applyFont="1" applyFill="1" applyBorder="1" applyAlignment="1">
      <alignment horizontal="center"/>
    </xf>
    <xf numFmtId="191" fontId="47" fillId="0" borderId="2" xfId="258" applyNumberFormat="1" applyFont="1" applyFill="1" applyBorder="1" applyAlignment="1">
      <alignment horizontal="center" vertical="center"/>
    </xf>
    <xf numFmtId="201" fontId="47" fillId="13" borderId="15" xfId="258" applyNumberFormat="1" applyFont="1" applyFill="1" applyBorder="1" applyAlignment="1">
      <alignment horizontal="center" vertical="center"/>
    </xf>
    <xf numFmtId="201" fontId="47" fillId="13" borderId="2" xfId="258" applyNumberFormat="1" applyFont="1" applyFill="1" applyBorder="1" applyAlignment="1">
      <alignment horizontal="left" vertical="center" wrapText="1"/>
    </xf>
    <xf numFmtId="194" fontId="47" fillId="13" borderId="2" xfId="258" applyNumberFormat="1" applyFont="1" applyFill="1" applyBorder="1" applyAlignment="1">
      <alignment horizontal="center" vertical="center"/>
    </xf>
    <xf numFmtId="192" fontId="47" fillId="13" borderId="2" xfId="258" applyNumberFormat="1" applyFont="1" applyFill="1" applyBorder="1" applyAlignment="1">
      <alignment horizontal="center" vertical="center"/>
    </xf>
    <xf numFmtId="191" fontId="47" fillId="13" borderId="2" xfId="258" applyNumberFormat="1" applyFont="1" applyFill="1" applyBorder="1" applyAlignment="1">
      <alignment horizontal="center" vertical="center"/>
    </xf>
    <xf numFmtId="194" fontId="47" fillId="17" borderId="2" xfId="258" applyNumberFormat="1" applyFont="1" applyFill="1" applyBorder="1" applyAlignment="1">
      <alignment horizontal="left" vertical="center" wrapText="1"/>
    </xf>
    <xf numFmtId="191" fontId="26" fillId="13" borderId="0" xfId="258" applyNumberFormat="1" applyFont="1" applyFill="1"/>
    <xf numFmtId="194" fontId="44" fillId="13" borderId="0" xfId="258" applyNumberFormat="1" applyFont="1" applyFill="1" applyAlignment="1">
      <alignment horizontal="center"/>
    </xf>
    <xf numFmtId="191" fontId="44" fillId="13" borderId="0" xfId="258" applyNumberFormat="1" applyFont="1" applyFill="1"/>
    <xf numFmtId="194" fontId="50" fillId="13" borderId="0" xfId="258" applyNumberFormat="1" applyFont="1" applyFill="1" applyAlignment="1">
      <alignment horizontal="center"/>
    </xf>
    <xf numFmtId="194" fontId="34" fillId="13" borderId="0" xfId="258" applyNumberFormat="1" applyFont="1" applyFill="1" applyAlignment="1">
      <alignment horizontal="left"/>
    </xf>
    <xf numFmtId="0" fontId="16" fillId="17" borderId="2" xfId="248" applyFont="1" applyFill="1" applyBorder="1" applyAlignment="1">
      <alignment horizontal="center" vertical="center"/>
    </xf>
    <xf numFmtId="194" fontId="47" fillId="17" borderId="2" xfId="258" applyNumberFormat="1" applyFont="1" applyFill="1" applyBorder="1" applyAlignment="1">
      <alignment horizontal="left" vertical="center" wrapText="1" shrinkToFit="1"/>
    </xf>
    <xf numFmtId="194" fontId="0" fillId="0" borderId="0" xfId="258" applyNumberFormat="1" applyFill="1" applyAlignment="1">
      <alignment horizontal="center"/>
    </xf>
    <xf numFmtId="191" fontId="0" fillId="0" borderId="0" xfId="258" applyNumberFormat="1" applyFill="1"/>
    <xf numFmtId="194" fontId="50" fillId="0" borderId="0" xfId="258" applyNumberFormat="1" applyFont="1" applyFill="1" applyAlignment="1">
      <alignment horizontal="center"/>
    </xf>
    <xf numFmtId="191" fontId="9" fillId="0" borderId="0" xfId="258" applyNumberFormat="1" applyFont="1" applyFill="1"/>
    <xf numFmtId="194" fontId="44" fillId="0" borderId="0" xfId="258" applyNumberFormat="1" applyFont="1" applyFill="1" applyAlignment="1">
      <alignment horizontal="center"/>
    </xf>
    <xf numFmtId="191" fontId="44" fillId="0" borderId="0" xfId="258" applyNumberFormat="1" applyFont="1" applyFill="1"/>
    <xf numFmtId="201" fontId="47" fillId="11" borderId="15" xfId="258" applyNumberFormat="1" applyFont="1" applyFill="1" applyBorder="1" applyAlignment="1">
      <alignment horizontal="center" vertical="center"/>
    </xf>
    <xf numFmtId="194" fontId="47" fillId="11" borderId="2" xfId="258" applyNumberFormat="1" applyFont="1" applyFill="1" applyBorder="1" applyAlignment="1">
      <alignment horizontal="left" vertical="center" wrapText="1"/>
    </xf>
    <xf numFmtId="194" fontId="47" fillId="11" borderId="2" xfId="258" applyNumberFormat="1" applyFont="1" applyFill="1" applyBorder="1" applyAlignment="1">
      <alignment horizontal="center" vertical="center"/>
    </xf>
    <xf numFmtId="191" fontId="47" fillId="11" borderId="2" xfId="258" applyNumberFormat="1" applyFont="1" applyFill="1" applyBorder="1" applyAlignment="1">
      <alignment horizontal="center" vertical="center"/>
    </xf>
    <xf numFmtId="191" fontId="26" fillId="11" borderId="0" xfId="258" applyNumberFormat="1" applyFont="1" applyFill="1"/>
    <xf numFmtId="194" fontId="46" fillId="11" borderId="0" xfId="258" applyNumberFormat="1" applyFont="1" applyFill="1" applyAlignment="1">
      <alignment horizontal="center"/>
    </xf>
    <xf numFmtId="194" fontId="44" fillId="11" borderId="0" xfId="258" applyNumberFormat="1" applyFont="1" applyFill="1" applyAlignment="1">
      <alignment horizontal="center"/>
    </xf>
    <xf numFmtId="191" fontId="44" fillId="11" borderId="0" xfId="258" applyNumberFormat="1" applyFont="1" applyFill="1"/>
    <xf numFmtId="194" fontId="50" fillId="11" borderId="0" xfId="258" applyNumberFormat="1" applyFont="1" applyFill="1" applyAlignment="1">
      <alignment horizontal="center"/>
    </xf>
    <xf numFmtId="191" fontId="9" fillId="11" borderId="0" xfId="258" applyNumberFormat="1" applyFont="1" applyFill="1"/>
    <xf numFmtId="194" fontId="0" fillId="11" borderId="0" xfId="258" applyNumberFormat="1" applyFill="1" applyAlignment="1">
      <alignment horizontal="center"/>
    </xf>
    <xf numFmtId="191" fontId="0" fillId="11" borderId="0" xfId="258" applyNumberFormat="1" applyFill="1"/>
    <xf numFmtId="194" fontId="34" fillId="11" borderId="0" xfId="258" applyNumberFormat="1" applyFont="1" applyFill="1" applyAlignment="1">
      <alignment horizontal="center"/>
    </xf>
    <xf numFmtId="198" fontId="47" fillId="17" borderId="2" xfId="258" applyNumberFormat="1" applyFont="1" applyFill="1" applyBorder="1" applyAlignment="1">
      <alignment horizontal="left" vertical="center" wrapText="1"/>
    </xf>
    <xf numFmtId="194" fontId="9" fillId="0" borderId="0" xfId="258" applyNumberFormat="1" applyFont="1" applyFill="1"/>
    <xf numFmtId="192" fontId="47" fillId="13" borderId="30" xfId="258" applyNumberFormat="1" applyFont="1" applyFill="1" applyBorder="1" applyAlignment="1">
      <alignment horizontal="center" vertical="center"/>
    </xf>
    <xf numFmtId="194" fontId="16" fillId="17" borderId="2" xfId="258" applyNumberFormat="1" applyFont="1" applyFill="1" applyBorder="1" applyAlignment="1">
      <alignment horizontal="center"/>
    </xf>
    <xf numFmtId="191" fontId="26" fillId="0" borderId="0" xfId="258" applyNumberFormat="1" applyFont="1" applyFill="1"/>
    <xf numFmtId="201" fontId="47" fillId="0" borderId="15" xfId="258" applyNumberFormat="1" applyFont="1" applyFill="1" applyBorder="1" applyAlignment="1">
      <alignment horizontal="center" vertical="center" wrapText="1"/>
    </xf>
    <xf numFmtId="198" fontId="47" fillId="0" borderId="2" xfId="258" applyNumberFormat="1" applyFont="1" applyFill="1" applyBorder="1" applyAlignment="1">
      <alignment horizontal="left" vertical="center" wrapText="1"/>
    </xf>
    <xf numFmtId="201" fontId="51" fillId="0" borderId="15" xfId="258" applyNumberFormat="1" applyFont="1" applyFill="1" applyBorder="1" applyAlignment="1">
      <alignment horizontal="center" vertical="center" wrapText="1"/>
    </xf>
    <xf numFmtId="194" fontId="0" fillId="0" borderId="52" xfId="258" applyNumberFormat="1" applyBorder="1" applyAlignment="1">
      <alignment horizontal="center"/>
    </xf>
    <xf numFmtId="198" fontId="47" fillId="4" borderId="11" xfId="258" applyNumberFormat="1" applyFont="1" applyFill="1" applyBorder="1" applyAlignment="1">
      <alignment horizontal="left" vertical="center" wrapText="1"/>
    </xf>
    <xf numFmtId="194" fontId="47" fillId="0" borderId="11" xfId="258" applyNumberFormat="1" applyFont="1" applyFill="1" applyBorder="1" applyAlignment="1">
      <alignment horizontal="center" vertical="center"/>
    </xf>
    <xf numFmtId="194" fontId="17" fillId="0" borderId="2" xfId="258" applyNumberFormat="1" applyFont="1" applyBorder="1" applyAlignment="1">
      <alignment horizontal="center" wrapText="1"/>
    </xf>
    <xf numFmtId="194" fontId="17" fillId="0" borderId="2" xfId="258" applyNumberFormat="1" applyFont="1" applyBorder="1" applyAlignment="1">
      <alignment horizontal="left" wrapText="1"/>
    </xf>
    <xf numFmtId="194" fontId="17" fillId="0" borderId="2" xfId="258" applyNumberFormat="1" applyFont="1" applyBorder="1" applyAlignment="1">
      <alignment horizontal="center"/>
    </xf>
    <xf numFmtId="194" fontId="16" fillId="0" borderId="2" xfId="258" applyNumberFormat="1" applyFont="1" applyBorder="1" applyAlignment="1">
      <alignment horizontal="center" wrapText="1"/>
    </xf>
    <xf numFmtId="194" fontId="16" fillId="0" borderId="2" xfId="258" applyNumberFormat="1" applyFont="1" applyBorder="1" applyAlignment="1">
      <alignment horizontal="left" wrapText="1"/>
    </xf>
    <xf numFmtId="194" fontId="16" fillId="0" borderId="2" xfId="258" applyNumberFormat="1" applyFont="1" applyBorder="1" applyAlignment="1">
      <alignment horizontal="center"/>
    </xf>
    <xf numFmtId="191" fontId="16" fillId="0" borderId="2" xfId="258" applyNumberFormat="1" applyFont="1" applyBorder="1" applyAlignment="1">
      <alignment horizontal="center" vertical="center"/>
    </xf>
    <xf numFmtId="194" fontId="16" fillId="0" borderId="2" xfId="258" applyNumberFormat="1" applyFont="1" applyBorder="1" applyAlignment="1">
      <alignment wrapText="1"/>
    </xf>
    <xf numFmtId="194" fontId="16" fillId="0" borderId="2" xfId="258" applyNumberFormat="1" applyFont="1" applyBorder="1"/>
    <xf numFmtId="191" fontId="16" fillId="0" borderId="2" xfId="258" applyNumberFormat="1" applyFont="1" applyBorder="1" applyAlignment="1">
      <alignment horizontal="center"/>
    </xf>
    <xf numFmtId="194" fontId="16" fillId="0" borderId="0" xfId="258" applyNumberFormat="1" applyFont="1"/>
    <xf numFmtId="194" fontId="16" fillId="0" borderId="0" xfId="258" applyNumberFormat="1" applyFont="1" applyAlignment="1">
      <alignment wrapText="1"/>
    </xf>
    <xf numFmtId="194" fontId="16" fillId="0" borderId="0" xfId="258" applyNumberFormat="1" applyFont="1" applyAlignment="1">
      <alignment horizontal="center"/>
    </xf>
    <xf numFmtId="191" fontId="16" fillId="0" borderId="0" xfId="258" applyNumberFormat="1" applyFont="1" applyAlignment="1">
      <alignment horizontal="center"/>
    </xf>
    <xf numFmtId="194" fontId="0" fillId="0" borderId="0" xfId="258" applyNumberFormat="1" applyAlignment="1">
      <alignment wrapText="1"/>
    </xf>
    <xf numFmtId="0" fontId="12" fillId="0" borderId="0" xfId="0" applyFont="1"/>
    <xf numFmtId="0" fontId="0" fillId="0" borderId="0" xfId="0" applyFont="1" applyFill="1"/>
    <xf numFmtId="0" fontId="0" fillId="0" borderId="0" xfId="0" applyFont="1" applyFill="1" applyAlignment="1">
      <alignment horizontal="center" vertical="center"/>
    </xf>
    <xf numFmtId="192" fontId="0" fillId="0" borderId="0" xfId="0" applyNumberFormat="1" applyFont="1" applyFill="1" applyAlignment="1">
      <alignment horizontal="left" vertical="center" wrapText="1"/>
    </xf>
    <xf numFmtId="0" fontId="9" fillId="0" borderId="0" xfId="0" applyFont="1" applyFill="1" applyAlignment="1">
      <alignment horizontal="center" vertical="center"/>
    </xf>
    <xf numFmtId="198" fontId="9" fillId="0" borderId="0" xfId="0" applyNumberFormat="1" applyFont="1" applyFill="1" applyAlignment="1">
      <alignment horizontal="center" vertical="center"/>
    </xf>
    <xf numFmtId="192" fontId="9" fillId="0" borderId="0" xfId="0" applyNumberFormat="1" applyFont="1" applyFill="1" applyAlignment="1">
      <alignment horizontal="center" vertical="center"/>
    </xf>
    <xf numFmtId="192" fontId="9" fillId="0" borderId="0" xfId="0" applyNumberFormat="1" applyFont="1" applyFill="1" applyAlignment="1">
      <alignment horizontal="left"/>
    </xf>
    <xf numFmtId="191" fontId="0" fillId="0" borderId="0" xfId="0" applyNumberFormat="1" applyFont="1" applyAlignment="1">
      <alignment horizontal="center" vertical="center"/>
    </xf>
    <xf numFmtId="191" fontId="0" fillId="0" borderId="0" xfId="0" applyNumberFormat="1" applyFont="1"/>
    <xf numFmtId="0" fontId="1" fillId="0" borderId="0" xfId="0" applyFont="1" applyFill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192" fontId="8" fillId="0" borderId="13" xfId="0" applyNumberFormat="1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/>
    </xf>
    <xf numFmtId="198" fontId="8" fillId="0" borderId="13" xfId="0" applyNumberFormat="1" applyFont="1" applyFill="1" applyBorder="1" applyAlignment="1">
      <alignment horizontal="center" vertical="center"/>
    </xf>
    <xf numFmtId="192" fontId="8" fillId="0" borderId="13" xfId="0" applyNumberFormat="1" applyFont="1" applyFill="1" applyBorder="1" applyAlignment="1">
      <alignment horizontal="center" vertical="center"/>
    </xf>
    <xf numFmtId="192" fontId="8" fillId="0" borderId="14" xfId="0" applyNumberFormat="1" applyFont="1" applyFill="1" applyBorder="1" applyAlignment="1">
      <alignment horizontal="center" vertical="center"/>
    </xf>
    <xf numFmtId="192" fontId="8" fillId="0" borderId="15" xfId="176" applyNumberFormat="1" applyFont="1" applyFill="1" applyBorder="1" applyAlignment="1">
      <alignment horizontal="center" vertical="center" wrapText="1"/>
    </xf>
    <xf numFmtId="192" fontId="8" fillId="0" borderId="2" xfId="176" applyNumberFormat="1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/>
    </xf>
    <xf numFmtId="198" fontId="9" fillId="0" borderId="2" xfId="0" applyNumberFormat="1" applyFont="1" applyFill="1" applyBorder="1" applyAlignment="1">
      <alignment horizontal="center" vertical="center"/>
    </xf>
    <xf numFmtId="192" fontId="8" fillId="0" borderId="2" xfId="0" applyNumberFormat="1" applyFont="1" applyFill="1" applyBorder="1" applyAlignment="1">
      <alignment horizontal="center" vertical="center"/>
    </xf>
    <xf numFmtId="192" fontId="8" fillId="0" borderId="16" xfId="0" applyNumberFormat="1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center" vertical="center"/>
    </xf>
    <xf numFmtId="198" fontId="8" fillId="0" borderId="2" xfId="0" applyNumberFormat="1" applyFont="1" applyFill="1" applyBorder="1" applyAlignment="1">
      <alignment horizontal="center" vertical="center"/>
    </xf>
    <xf numFmtId="191" fontId="12" fillId="0" borderId="0" xfId="0" applyNumberFormat="1" applyFont="1" applyAlignment="1">
      <alignment horizontal="center" vertical="center"/>
    </xf>
    <xf numFmtId="191" fontId="12" fillId="0" borderId="0" xfId="0" applyNumberFormat="1" applyFont="1"/>
    <xf numFmtId="197" fontId="8" fillId="0" borderId="15" xfId="176" applyNumberFormat="1" applyFont="1" applyFill="1" applyBorder="1" applyAlignment="1">
      <alignment horizontal="center" vertical="center" wrapText="1"/>
    </xf>
    <xf numFmtId="192" fontId="17" fillId="0" borderId="16" xfId="0" applyNumberFormat="1" applyFont="1" applyFill="1" applyBorder="1" applyAlignment="1">
      <alignment horizontal="left" vertical="center" wrapText="1"/>
    </xf>
    <xf numFmtId="197" fontId="9" fillId="0" borderId="15" xfId="176" applyNumberFormat="1" applyFont="1" applyFill="1" applyBorder="1" applyAlignment="1">
      <alignment horizontal="center" vertical="center" wrapText="1"/>
    </xf>
    <xf numFmtId="192" fontId="9" fillId="0" borderId="2" xfId="0" applyNumberFormat="1" applyFont="1" applyFill="1" applyBorder="1" applyAlignment="1">
      <alignment horizontal="left" vertical="center"/>
    </xf>
    <xf numFmtId="0" fontId="9" fillId="0" borderId="2" xfId="239" applyFont="1" applyFill="1" applyBorder="1" applyAlignment="1">
      <alignment horizontal="center" vertical="center"/>
    </xf>
    <xf numFmtId="192" fontId="9" fillId="0" borderId="2" xfId="0" applyNumberFormat="1" applyFont="1" applyFill="1" applyBorder="1" applyAlignment="1">
      <alignment horizontal="center" vertical="center"/>
    </xf>
    <xf numFmtId="192" fontId="9" fillId="0" borderId="16" xfId="0" applyNumberFormat="1" applyFont="1" applyFill="1" applyBorder="1" applyAlignment="1">
      <alignment horizontal="left" vertical="center"/>
    </xf>
    <xf numFmtId="191" fontId="0" fillId="0" borderId="0" xfId="0" applyNumberFormat="1" applyFont="1" applyFill="1" applyAlignment="1">
      <alignment horizontal="center" vertical="center"/>
    </xf>
    <xf numFmtId="191" fontId="0" fillId="0" borderId="0" xfId="0" applyNumberFormat="1" applyFont="1" applyFill="1"/>
    <xf numFmtId="192" fontId="9" fillId="0" borderId="2" xfId="256" applyNumberFormat="1" applyFont="1" applyFill="1" applyBorder="1" applyAlignment="1">
      <alignment horizontal="center" vertical="center"/>
    </xf>
    <xf numFmtId="198" fontId="41" fillId="0" borderId="2" xfId="0" applyNumberFormat="1" applyFont="1" applyFill="1" applyBorder="1" applyAlignment="1">
      <alignment horizontal="center" vertical="center"/>
    </xf>
    <xf numFmtId="198" fontId="41" fillId="17" borderId="2" xfId="0" applyNumberFormat="1" applyFont="1" applyFill="1" applyBorder="1" applyAlignment="1">
      <alignment horizontal="center" vertical="center"/>
    </xf>
    <xf numFmtId="197" fontId="8" fillId="0" borderId="52" xfId="176" applyNumberFormat="1" applyFont="1" applyFill="1" applyBorder="1" applyAlignment="1">
      <alignment horizontal="center" vertical="center" wrapText="1"/>
    </xf>
    <xf numFmtId="0" fontId="9" fillId="17" borderId="2" xfId="0" applyFont="1" applyFill="1" applyBorder="1" applyAlignment="1">
      <alignment horizontal="left" vertical="center"/>
    </xf>
    <xf numFmtId="0" fontId="9" fillId="17" borderId="2" xfId="0" applyFont="1" applyFill="1" applyBorder="1" applyAlignment="1">
      <alignment horizontal="center" vertical="center"/>
    </xf>
    <xf numFmtId="2" fontId="9" fillId="0" borderId="2" xfId="0" applyNumberFormat="1" applyFont="1" applyFill="1" applyBorder="1" applyAlignment="1">
      <alignment horizontal="center" vertical="center"/>
    </xf>
    <xf numFmtId="198" fontId="41" fillId="17" borderId="11" xfId="0" applyNumberFormat="1" applyFont="1" applyFill="1" applyBorder="1" applyAlignment="1">
      <alignment horizontal="center" vertical="center"/>
    </xf>
    <xf numFmtId="192" fontId="9" fillId="0" borderId="11" xfId="0" applyNumberFormat="1" applyFont="1" applyFill="1" applyBorder="1" applyAlignment="1">
      <alignment horizontal="center" vertical="center"/>
    </xf>
    <xf numFmtId="197" fontId="8" fillId="0" borderId="19" xfId="176" applyNumberFormat="1" applyFont="1" applyFill="1" applyBorder="1" applyAlignment="1">
      <alignment horizontal="center" vertical="center" wrapText="1"/>
    </xf>
    <xf numFmtId="192" fontId="9" fillId="0" borderId="20" xfId="202" applyNumberFormat="1" applyFont="1" applyFill="1" applyBorder="1" applyAlignment="1">
      <alignment horizontal="left" vertical="center" wrapText="1"/>
    </xf>
    <xf numFmtId="0" fontId="9" fillId="0" borderId="20" xfId="0" applyFont="1" applyFill="1" applyBorder="1" applyAlignment="1">
      <alignment horizontal="center" vertical="center"/>
    </xf>
    <xf numFmtId="198" fontId="9" fillId="0" borderId="20" xfId="0" applyNumberFormat="1" applyFont="1" applyFill="1" applyBorder="1" applyAlignment="1">
      <alignment horizontal="center" vertical="center"/>
    </xf>
    <xf numFmtId="192" fontId="9" fillId="0" borderId="20" xfId="0" applyNumberFormat="1" applyFont="1" applyFill="1" applyBorder="1" applyAlignment="1">
      <alignment horizontal="center" vertical="center"/>
    </xf>
    <xf numFmtId="0" fontId="0" fillId="17" borderId="21" xfId="0" applyFont="1" applyFill="1" applyBorder="1" applyAlignment="1">
      <alignment horizontal="left"/>
    </xf>
    <xf numFmtId="0" fontId="12" fillId="0" borderId="0" xfId="0" applyFont="1" applyFill="1"/>
    <xf numFmtId="0" fontId="0" fillId="0" borderId="0" xfId="0" applyFont="1" applyFill="1" applyAlignment="1">
      <alignment horizontal="center" vertical="center" wrapText="1"/>
    </xf>
    <xf numFmtId="0" fontId="52" fillId="18" borderId="0" xfId="0" applyFont="1" applyFill="1" applyBorder="1" applyAlignment="1">
      <alignment horizontal="center" vertical="center" wrapText="1"/>
    </xf>
    <xf numFmtId="0" fontId="53" fillId="18" borderId="0" xfId="0" applyFont="1" applyFill="1" applyBorder="1" applyAlignment="1">
      <alignment horizontal="left" vertical="top" wrapText="1"/>
    </xf>
    <xf numFmtId="0" fontId="53" fillId="18" borderId="0" xfId="0" applyFont="1" applyFill="1" applyBorder="1" applyAlignment="1">
      <alignment horizontal="right" vertical="top" wrapText="1"/>
    </xf>
    <xf numFmtId="0" fontId="54" fillId="18" borderId="53" xfId="0" applyFont="1" applyFill="1" applyBorder="1" applyAlignment="1">
      <alignment horizontal="center" vertical="center" wrapText="1"/>
    </xf>
    <xf numFmtId="0" fontId="54" fillId="0" borderId="53" xfId="0" applyFont="1" applyFill="1" applyBorder="1" applyAlignment="1">
      <alignment horizontal="center" vertical="center" wrapText="1"/>
    </xf>
    <xf numFmtId="0" fontId="49" fillId="19" borderId="53" xfId="0" applyFont="1" applyFill="1" applyBorder="1" applyAlignment="1">
      <alignment horizontal="left" vertical="center" wrapText="1"/>
    </xf>
    <xf numFmtId="0" fontId="49" fillId="19" borderId="53" xfId="0" applyFont="1" applyFill="1" applyBorder="1" applyAlignment="1">
      <alignment horizontal="center" vertical="center" wrapText="1"/>
    </xf>
    <xf numFmtId="0" fontId="49" fillId="19" borderId="53" xfId="0" applyFont="1" applyFill="1" applyBorder="1" applyAlignment="1">
      <alignment horizontal="right" vertical="center" wrapText="1"/>
    </xf>
    <xf numFmtId="0" fontId="49" fillId="0" borderId="53" xfId="0" applyFont="1" applyFill="1" applyBorder="1" applyAlignment="1">
      <alignment horizontal="right" vertical="center" wrapText="1"/>
    </xf>
    <xf numFmtId="0" fontId="49" fillId="18" borderId="53" xfId="0" applyFont="1" applyFill="1" applyBorder="1" applyAlignment="1">
      <alignment horizontal="left" vertical="center" wrapText="1"/>
    </xf>
    <xf numFmtId="0" fontId="49" fillId="18" borderId="53" xfId="0" applyFont="1" applyFill="1" applyBorder="1" applyAlignment="1">
      <alignment horizontal="center" vertical="center" wrapText="1"/>
    </xf>
    <xf numFmtId="0" fontId="49" fillId="18" borderId="53" xfId="0" applyFont="1" applyFill="1" applyBorder="1" applyAlignment="1">
      <alignment horizontal="right" vertical="center" wrapText="1"/>
    </xf>
    <xf numFmtId="191" fontId="9" fillId="0" borderId="2" xfId="0" applyNumberFormat="1" applyFont="1" applyFill="1" applyBorder="1" applyAlignment="1">
      <alignment horizontal="center" vertical="center"/>
    </xf>
    <xf numFmtId="194" fontId="9" fillId="0" borderId="2" xfId="0" applyNumberFormat="1" applyFont="1" applyFill="1" applyBorder="1" applyAlignment="1">
      <alignment horizontal="center" vertical="center"/>
    </xf>
    <xf numFmtId="191" fontId="9" fillId="0" borderId="20" xfId="0" applyNumberFormat="1" applyFont="1" applyFill="1" applyBorder="1" applyAlignment="1">
      <alignment horizontal="center" vertical="center"/>
    </xf>
    <xf numFmtId="0" fontId="55" fillId="18" borderId="53" xfId="0" applyFont="1" applyFill="1" applyBorder="1" applyAlignment="1">
      <alignment horizontal="left" vertical="top" wrapText="1"/>
    </xf>
    <xf numFmtId="0" fontId="55" fillId="0" borderId="53" xfId="0" applyFont="1" applyFill="1" applyBorder="1" applyAlignment="1">
      <alignment horizontal="left" vertical="top" wrapText="1"/>
    </xf>
    <xf numFmtId="0" fontId="39" fillId="18" borderId="53" xfId="0" applyFont="1" applyFill="1" applyBorder="1" applyAlignment="1">
      <alignment horizontal="center" vertical="center" wrapText="1"/>
    </xf>
    <xf numFmtId="0" fontId="39" fillId="19" borderId="53" xfId="0" applyFont="1" applyFill="1" applyBorder="1" applyAlignment="1">
      <alignment horizontal="center" vertical="center" wrapText="1"/>
    </xf>
    <xf numFmtId="0" fontId="56" fillId="0" borderId="0" xfId="255" applyFont="1" applyFill="1" applyBorder="1" applyAlignment="1">
      <alignment horizontal="center" vertical="center" wrapText="1"/>
    </xf>
    <xf numFmtId="0" fontId="0" fillId="0" borderId="0" xfId="254" applyFont="1" applyFill="1" applyAlignment="1">
      <alignment horizontal="left"/>
    </xf>
    <xf numFmtId="0" fontId="0" fillId="0" borderId="0" xfId="254" applyFont="1" applyFill="1" applyAlignment="1">
      <alignment vertical="center"/>
    </xf>
    <xf numFmtId="0" fontId="9" fillId="0" borderId="0" xfId="254" applyFont="1" applyFill="1" applyBorder="1" applyAlignment="1">
      <alignment horizontal="right"/>
    </xf>
    <xf numFmtId="0" fontId="8" fillId="0" borderId="12" xfId="254" applyFont="1" applyFill="1" applyBorder="1" applyAlignment="1">
      <alignment horizontal="center" vertical="center"/>
    </xf>
    <xf numFmtId="0" fontId="8" fillId="0" borderId="13" xfId="254" applyFont="1" applyFill="1" applyBorder="1" applyAlignment="1">
      <alignment horizontal="center" vertical="center"/>
    </xf>
    <xf numFmtId="0" fontId="8" fillId="0" borderId="14" xfId="254" applyFont="1" applyFill="1" applyBorder="1" applyAlignment="1">
      <alignment horizontal="center" vertical="center"/>
    </xf>
    <xf numFmtId="0" fontId="8" fillId="0" borderId="15" xfId="254" applyFont="1" applyFill="1" applyBorder="1" applyAlignment="1">
      <alignment horizontal="center" vertical="center"/>
    </xf>
    <xf numFmtId="0" fontId="8" fillId="0" borderId="2" xfId="254" applyFont="1" applyFill="1" applyBorder="1" applyAlignment="1">
      <alignment horizontal="center" vertical="center"/>
    </xf>
    <xf numFmtId="0" fontId="8" fillId="0" borderId="2" xfId="254" applyFont="1" applyFill="1" applyBorder="1" applyAlignment="1">
      <alignment horizontal="center" vertical="center" wrapText="1"/>
    </xf>
    <xf numFmtId="0" fontId="8" fillId="0" borderId="16" xfId="254" applyFont="1" applyFill="1" applyBorder="1" applyAlignment="1">
      <alignment horizontal="center" vertical="center"/>
    </xf>
    <xf numFmtId="0" fontId="0" fillId="0" borderId="15" xfId="0" applyFill="1" applyBorder="1" applyAlignment="1">
      <alignment vertical="center"/>
    </xf>
    <xf numFmtId="0" fontId="8" fillId="0" borderId="2" xfId="254" applyFont="1" applyFill="1" applyBorder="1" applyAlignment="1">
      <alignment vertical="center"/>
    </xf>
    <xf numFmtId="192" fontId="8" fillId="0" borderId="2" xfId="254" applyNumberFormat="1" applyFont="1" applyFill="1" applyBorder="1" applyAlignment="1">
      <alignment horizontal="center" vertical="center"/>
    </xf>
    <xf numFmtId="10" fontId="8" fillId="0" borderId="16" xfId="0" applyNumberFormat="1" applyFont="1" applyFill="1" applyBorder="1" applyAlignment="1">
      <alignment horizontal="center" vertical="center"/>
    </xf>
    <xf numFmtId="0" fontId="9" fillId="0" borderId="15" xfId="254" applyFont="1" applyFill="1" applyBorder="1" applyAlignment="1">
      <alignment horizontal="center" vertical="center"/>
    </xf>
    <xf numFmtId="0" fontId="9" fillId="0" borderId="2" xfId="254" applyFont="1" applyFill="1" applyBorder="1" applyAlignment="1">
      <alignment vertical="center"/>
    </xf>
    <xf numFmtId="192" fontId="9" fillId="0" borderId="2" xfId="254" applyNumberFormat="1" applyFont="1" applyFill="1" applyBorder="1" applyAlignment="1">
      <alignment horizontal="center" vertical="center"/>
    </xf>
    <xf numFmtId="10" fontId="9" fillId="0" borderId="16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vertical="center"/>
    </xf>
    <xf numFmtId="0" fontId="8" fillId="0" borderId="2" xfId="92" applyFont="1" applyFill="1" applyBorder="1" applyAlignment="1">
      <alignment vertical="center"/>
    </xf>
    <xf numFmtId="0" fontId="9" fillId="0" borderId="2" xfId="254" applyFont="1" applyFill="1" applyBorder="1" applyAlignment="1">
      <alignment horizontal="left" vertical="center"/>
    </xf>
    <xf numFmtId="192" fontId="8" fillId="0" borderId="2" xfId="92" applyNumberFormat="1" applyFont="1" applyFill="1" applyBorder="1" applyAlignment="1">
      <alignment horizontal="center" vertical="center"/>
    </xf>
    <xf numFmtId="192" fontId="9" fillId="0" borderId="2" xfId="92" applyNumberFormat="1" applyFont="1" applyFill="1" applyBorder="1" applyAlignment="1">
      <alignment horizontal="center" vertical="center"/>
    </xf>
    <xf numFmtId="0" fontId="22" fillId="0" borderId="15" xfId="59" applyFont="1" applyFill="1" applyBorder="1" applyAlignment="1">
      <alignment horizontal="center" vertical="center"/>
    </xf>
    <xf numFmtId="0" fontId="22" fillId="0" borderId="2" xfId="59" applyFont="1" applyFill="1" applyBorder="1" applyAlignment="1">
      <alignment horizontal="left" vertical="center"/>
    </xf>
    <xf numFmtId="49" fontId="22" fillId="0" borderId="15" xfId="59" applyNumberFormat="1" applyFont="1" applyFill="1" applyBorder="1" applyAlignment="1">
      <alignment horizontal="center" vertical="center"/>
    </xf>
    <xf numFmtId="0" fontId="8" fillId="0" borderId="15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vertical="center"/>
    </xf>
    <xf numFmtId="10" fontId="9" fillId="0" borderId="2" xfId="257" applyNumberFormat="1" applyFont="1" applyFill="1" applyBorder="1" applyAlignment="1">
      <alignment horizontal="center" vertical="center"/>
    </xf>
    <xf numFmtId="2" fontId="9" fillId="0" borderId="2" xfId="257" applyNumberFormat="1" applyFont="1" applyFill="1" applyBorder="1" applyAlignment="1">
      <alignment horizontal="center" vertical="center"/>
    </xf>
    <xf numFmtId="2" fontId="8" fillId="0" borderId="2" xfId="257" applyNumberFormat="1" applyFont="1" applyFill="1" applyBorder="1" applyAlignment="1">
      <alignment horizontal="center" vertical="center"/>
    </xf>
    <xf numFmtId="49" fontId="8" fillId="0" borderId="19" xfId="0" applyNumberFormat="1" applyFont="1" applyFill="1" applyBorder="1" applyAlignment="1">
      <alignment horizontal="center" vertical="center"/>
    </xf>
    <xf numFmtId="0" fontId="8" fillId="0" borderId="20" xfId="0" applyFont="1" applyFill="1" applyBorder="1" applyAlignment="1">
      <alignment horizontal="left" vertical="center"/>
    </xf>
    <xf numFmtId="0" fontId="57" fillId="0" borderId="20" xfId="0" applyFont="1" applyFill="1" applyBorder="1" applyAlignment="1">
      <alignment horizontal="center" vertical="center" wrapText="1"/>
    </xf>
    <xf numFmtId="192" fontId="8" fillId="0" borderId="20" xfId="0" applyNumberFormat="1" applyFont="1" applyFill="1" applyBorder="1" applyAlignment="1">
      <alignment vertical="center"/>
    </xf>
    <xf numFmtId="10" fontId="9" fillId="0" borderId="21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horizontal="center"/>
    </xf>
    <xf numFmtId="0" fontId="8" fillId="0" borderId="0" xfId="0" applyFont="1" applyFill="1" applyAlignment="1">
      <alignment horizontal="left" vertical="center"/>
    </xf>
    <xf numFmtId="0" fontId="9" fillId="0" borderId="12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191" fontId="9" fillId="0" borderId="13" xfId="0" applyNumberFormat="1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vertical="center"/>
    </xf>
    <xf numFmtId="191" fontId="38" fillId="0" borderId="2" xfId="0" applyNumberFormat="1" applyFont="1" applyFill="1" applyBorder="1" applyAlignment="1">
      <alignment horizontal="center" vertical="center"/>
    </xf>
    <xf numFmtId="191" fontId="22" fillId="0" borderId="2" xfId="0" applyNumberFormat="1" applyFont="1" applyFill="1" applyBorder="1" applyAlignment="1">
      <alignment horizontal="center" vertical="center"/>
    </xf>
    <xf numFmtId="191" fontId="9" fillId="0" borderId="16" xfId="0" applyNumberFormat="1" applyFont="1" applyFill="1" applyBorder="1"/>
    <xf numFmtId="0" fontId="9" fillId="0" borderId="16" xfId="0" applyFont="1" applyBorder="1"/>
    <xf numFmtId="0" fontId="9" fillId="0" borderId="2" xfId="0" applyFont="1" applyFill="1" applyBorder="1" applyAlignment="1">
      <alignment vertical="center" shrinkToFit="1"/>
    </xf>
    <xf numFmtId="191" fontId="8" fillId="0" borderId="2" xfId="0" applyNumberFormat="1" applyFont="1" applyFill="1" applyBorder="1" applyAlignment="1">
      <alignment horizontal="center" vertical="center"/>
    </xf>
    <xf numFmtId="2" fontId="9" fillId="0" borderId="16" xfId="0" applyNumberFormat="1" applyFont="1" applyBorder="1"/>
    <xf numFmtId="0" fontId="9" fillId="14" borderId="15" xfId="0" applyFont="1" applyFill="1" applyBorder="1" applyAlignment="1">
      <alignment horizontal="center" vertical="center"/>
    </xf>
    <xf numFmtId="0" fontId="9" fillId="14" borderId="2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191" fontId="9" fillId="0" borderId="16" xfId="0" applyNumberFormat="1" applyFont="1" applyBorder="1"/>
    <xf numFmtId="49" fontId="9" fillId="0" borderId="15" xfId="0" applyNumberFormat="1" applyFont="1" applyFill="1" applyBorder="1" applyAlignment="1">
      <alignment horizontal="center" vertical="center"/>
    </xf>
    <xf numFmtId="191" fontId="10" fillId="0" borderId="16" xfId="0" applyNumberFormat="1" applyFont="1" applyBorder="1"/>
    <xf numFmtId="202" fontId="0" fillId="0" borderId="0" xfId="0" applyNumberFormat="1" applyFont="1"/>
    <xf numFmtId="0" fontId="9" fillId="0" borderId="0" xfId="0" applyFont="1"/>
    <xf numFmtId="49" fontId="11" fillId="0" borderId="15" xfId="0" applyNumberFormat="1" applyFont="1" applyFill="1" applyBorder="1" applyAlignment="1">
      <alignment horizontal="center" vertical="center"/>
    </xf>
    <xf numFmtId="0" fontId="9" fillId="0" borderId="19" xfId="0" applyFont="1" applyFill="1" applyBorder="1" applyAlignment="1">
      <alignment horizontal="center" vertical="center"/>
    </xf>
    <xf numFmtId="0" fontId="9" fillId="0" borderId="20" xfId="0" applyFont="1" applyBorder="1" applyAlignment="1">
      <alignment vertical="center"/>
    </xf>
    <xf numFmtId="192" fontId="9" fillId="0" borderId="20" xfId="0" applyNumberFormat="1" applyFont="1" applyBorder="1" applyAlignment="1">
      <alignment horizontal="center"/>
    </xf>
    <xf numFmtId="0" fontId="9" fillId="0" borderId="20" xfId="0" applyFont="1" applyBorder="1" applyAlignment="1">
      <alignment horizontal="center"/>
    </xf>
    <xf numFmtId="191" fontId="10" fillId="0" borderId="21" xfId="0" applyNumberFormat="1" applyFont="1" applyBorder="1"/>
    <xf numFmtId="196" fontId="9" fillId="0" borderId="39" xfId="0" applyNumberFormat="1" applyFont="1" applyBorder="1"/>
    <xf numFmtId="0" fontId="9" fillId="0" borderId="0" xfId="0" applyFont="1" applyBorder="1"/>
    <xf numFmtId="198" fontId="9" fillId="0" borderId="0" xfId="0" applyNumberFormat="1" applyFont="1" applyBorder="1"/>
  </cellXfs>
  <cellStyles count="28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60% - 强调文字颜色 1 11" xfId="49"/>
    <cellStyle name="args.style" xfId="50"/>
    <cellStyle name="Accent2 - 40%" xfId="51"/>
    <cellStyle name="计算 2" xfId="52"/>
    <cellStyle name="Accent2 - 60%" xfId="53"/>
    <cellStyle name="60% - 强调文字颜色 4 2 2 2" xfId="54"/>
    <cellStyle name="解释性文本 2 2" xfId="55"/>
    <cellStyle name="40% - 强调文字颜色 3 10" xfId="56"/>
    <cellStyle name="Accent3_（10.17）庄立明2014年中央统筹资金永宁县第一排水沟、永清沟治理及泵站改造工程" xfId="57"/>
    <cellStyle name="60% - 强调文字颜色 2 2 2 2" xfId="58"/>
    <cellStyle name="0,0_x000d__x000a_NA_x000d__x000a_" xfId="59"/>
    <cellStyle name="常规_工程单价 5" xfId="60"/>
    <cellStyle name="Input" xfId="61"/>
    <cellStyle name="Currency [0]" xfId="62"/>
    <cellStyle name="标题 2 2 7" xfId="63"/>
    <cellStyle name="Heading 3" xfId="64"/>
    <cellStyle name="20% - Accent2" xfId="65"/>
    <cellStyle name="Percent [2]" xfId="66"/>
    <cellStyle name="0,0_x000d__x000a_NA_x000d__x000a_ 2 2 2" xfId="67"/>
    <cellStyle name="输出 2" xfId="68"/>
    <cellStyle name="标题 1 2 7" xfId="69"/>
    <cellStyle name="20% - Accent3" xfId="70"/>
    <cellStyle name="_ET_STYLE_NoName_00_ 2 12" xfId="71"/>
    <cellStyle name="PSChar" xfId="72"/>
    <cellStyle name="20% - Accent5" xfId="73"/>
    <cellStyle name="差_小人饮工程工程量" xfId="74"/>
    <cellStyle name="标题 5 7" xfId="75"/>
    <cellStyle name="0,0_x000d__x000a_NA_x000d__x000a_ 14" xfId="76"/>
    <cellStyle name="标题 5 8" xfId="77"/>
    <cellStyle name="60% - 强调文字颜色 5 2 2 2" xfId="78"/>
    <cellStyle name="ColLevel_0" xfId="79"/>
    <cellStyle name="?鹎%U龡&amp;H?_x0008__x001c__x001c_?_x0007__x0001__x0001_" xfId="80"/>
    <cellStyle name="强调文字颜色 2 2" xfId="81"/>
    <cellStyle name="@ET_Style?CF_Style_1" xfId="82"/>
    <cellStyle name="_116号文 估算 2009.12.22" xfId="83"/>
    <cellStyle name="20% - 强调文字颜色 1 10" xfId="84"/>
    <cellStyle name="_1泉眼山110kV变电站工程" xfId="85"/>
    <cellStyle name="Accent2 - 20%" xfId="86"/>
    <cellStyle name="_Book1_2" xfId="87"/>
    <cellStyle name="标题 5 2" xfId="88"/>
    <cellStyle name="_Book1_2_机电 " xfId="89"/>
    <cellStyle name="Accent1 - 20%" xfId="90"/>
    <cellStyle name="20% - Accent1" xfId="91"/>
    <cellStyle name="0,0_x000d__x000a_NA_x000d__x000a__02 陈阳川水库工程概算核定（马微核量，朱清核价2011.8.26）" xfId="92"/>
    <cellStyle name="Pourcentage_pldt" xfId="93"/>
    <cellStyle name="20% - 强调文字颜色 1 2 2 2" xfId="94"/>
    <cellStyle name="Accent6 - 60%" xfId="95"/>
    <cellStyle name="20% - 强调文字颜色 2 10" xfId="96"/>
    <cellStyle name="20% - 强调文字颜色 2 2 2 2" xfId="97"/>
    <cellStyle name="60% - 强调文字颜色 6 2 2 2" xfId="98"/>
    <cellStyle name="20% - 强调文字颜色 3 10" xfId="99"/>
    <cellStyle name="常规_脱烈概算表.xls" xfId="100"/>
    <cellStyle name="20% - 强调文字颜色 3 2 2 2" xfId="101"/>
    <cellStyle name="Check Cell" xfId="102"/>
    <cellStyle name="40% - 强调文字颜色 5 2 2 2" xfId="103"/>
    <cellStyle name="20% - 强调文字颜色 4 10" xfId="104"/>
    <cellStyle name="超级链接_004号文一级" xfId="105"/>
    <cellStyle name="20% - 强调文字颜色 4 2 2 2" xfId="106"/>
    <cellStyle name="20% - 强调文字颜色 5 2 2 2" xfId="107"/>
    <cellStyle name="20% - 强调文字颜色 6 2 2 2" xfId="108"/>
    <cellStyle name="40% - Accent1" xfId="109"/>
    <cellStyle name="Accent5_（10.17）庄立明2014年中央统筹资金永宁县第一排水沟、永清沟治理及泵站改造工程" xfId="110"/>
    <cellStyle name="40% - Accent2" xfId="111"/>
    <cellStyle name="40% - Accent3" xfId="112"/>
    <cellStyle name="40% - Accent5" xfId="113"/>
    <cellStyle name="40% - 强调文字颜色 1 2 2 2" xfId="114"/>
    <cellStyle name="40% - 强调文字颜色 2 2 2 2" xfId="115"/>
    <cellStyle name="40% - 强调文字颜色 3 2 2 2" xfId="116"/>
    <cellStyle name="40% - 强调文字颜色 4 2 2 2" xfId="117"/>
    <cellStyle name="40% - 强调文字颜色 6 10" xfId="118"/>
    <cellStyle name="40% - 强调文字颜色 6 2 2 2" xfId="119"/>
    <cellStyle name="常规_坝 概算 2" xfId="120"/>
    <cellStyle name="60% - Accent1" xfId="121"/>
    <cellStyle name="部门" xfId="122"/>
    <cellStyle name="60% - Accent2" xfId="123"/>
    <cellStyle name="60% - Accent3" xfId="124"/>
    <cellStyle name="PSInt" xfId="125"/>
    <cellStyle name="per.style" xfId="126"/>
    <cellStyle name="60% - Accent4" xfId="127"/>
    <cellStyle name="60% - Accent6" xfId="128"/>
    <cellStyle name="百分比 4 3 4" xfId="129"/>
    <cellStyle name="60% - 强调文字颜色 1 10" xfId="130"/>
    <cellStyle name="60% - 强调文字颜色 1 2 2 2" xfId="131"/>
    <cellStyle name="60% - 强调文字颜色 1 2 8" xfId="132"/>
    <cellStyle name="60% - 强调文字颜色 2 10" xfId="133"/>
    <cellStyle name="60% - 强调文字颜色 2 11" xfId="134"/>
    <cellStyle name="60% - 强调文字颜色 3 10" xfId="135"/>
    <cellStyle name="60% - 强调文字颜色 3 11" xfId="136"/>
    <cellStyle name="60% - 强调文字颜色 3 2 2 2" xfId="137"/>
    <cellStyle name="60% - 强调文字颜色 3 2 8" xfId="138"/>
    <cellStyle name="60% - 强调文字颜色 4 10" xfId="139"/>
    <cellStyle name="60% - 强调文字颜色 5 10" xfId="140"/>
    <cellStyle name="常规 13" xfId="141"/>
    <cellStyle name="Currency1" xfId="142"/>
    <cellStyle name="60% - 强调文字颜色 6 10" xfId="143"/>
    <cellStyle name="60% - 强调文字颜色 6 11" xfId="144"/>
    <cellStyle name="6mal" xfId="145"/>
    <cellStyle name="Accent1 - 60%" xfId="146"/>
    <cellStyle name="Accent1_（10.17）庄立明2014年中央统筹资金永宁县第一排水沟、永清沟治理及泵站改造工程" xfId="147"/>
    <cellStyle name="强调文字颜色 5 2 2 2" xfId="148"/>
    <cellStyle name="Accent2" xfId="149"/>
    <cellStyle name="Accent2_（10.17）庄立明2014年中央统筹资金永宁县第一排水沟、永清沟治理及泵站改造工程" xfId="150"/>
    <cellStyle name="Accent3" xfId="151"/>
    <cellStyle name="Mon閠aire [0]_!!!GO" xfId="152"/>
    <cellStyle name="Accent3 - 40%" xfId="153"/>
    <cellStyle name="Accent3 - 60%" xfId="154"/>
    <cellStyle name="Accent4" xfId="155"/>
    <cellStyle name="Accent5 - 20%" xfId="156"/>
    <cellStyle name="差_2013年平罗小农水工程概算核2013.3.2" xfId="157"/>
    <cellStyle name="Accent6" xfId="158"/>
    <cellStyle name="Accent6 - 40%" xfId="159"/>
    <cellStyle name="Accent6_（10.17）庄立明2014年中央统筹资金永宁县第一排水沟、永清沟治理及泵站改造工程" xfId="160"/>
    <cellStyle name="Bad" xfId="161"/>
    <cellStyle name="PSHeading" xfId="162"/>
    <cellStyle name="Calculation" xfId="163"/>
    <cellStyle name="Comma [0]" xfId="164"/>
    <cellStyle name="comma zerodec" xfId="165"/>
    <cellStyle name="Comma_!!!GO" xfId="166"/>
    <cellStyle name="分级显示列_1_Book1" xfId="167"/>
    <cellStyle name="Currency_!!!GO" xfId="168"/>
    <cellStyle name="Date" xfId="169"/>
    <cellStyle name="Dollar (zero dec)" xfId="170"/>
    <cellStyle name="Euro" xfId="171"/>
    <cellStyle name="强调文字颜色 1 2" xfId="172"/>
    <cellStyle name="Explanatory Text" xfId="173"/>
    <cellStyle name="e鯪9Y" xfId="174"/>
    <cellStyle name="e鯪9Y_x005f_x000b_" xfId="175"/>
    <cellStyle name="常规 10" xfId="176"/>
    <cellStyle name="Good" xfId="177"/>
    <cellStyle name="Grey" xfId="178"/>
    <cellStyle name="Header1" xfId="179"/>
    <cellStyle name="Header2" xfId="180"/>
    <cellStyle name="Heading 1" xfId="181"/>
    <cellStyle name="Heading 2" xfId="182"/>
    <cellStyle name="Heading 4" xfId="183"/>
    <cellStyle name="Input [yellow]" xfId="184"/>
    <cellStyle name="Input Cells" xfId="185"/>
    <cellStyle name="检查单元格 2" xfId="186"/>
    <cellStyle name="Linked Cell" xfId="187"/>
    <cellStyle name="Linked Cells" xfId="188"/>
    <cellStyle name="Millares_96 Risk" xfId="189"/>
    <cellStyle name="Milliers [0]_!!!GO" xfId="190"/>
    <cellStyle name="Milliers_!!!GO" xfId="191"/>
    <cellStyle name="Moneda_96 Risk" xfId="192"/>
    <cellStyle name="Neutral" xfId="193"/>
    <cellStyle name="New Times Roman" xfId="194"/>
    <cellStyle name="no dec" xfId="195"/>
    <cellStyle name="Normal - Style1" xfId="196"/>
    <cellStyle name="Note" xfId="197"/>
    <cellStyle name="Output" xfId="198"/>
    <cellStyle name="Percent_!!!GO" xfId="199"/>
    <cellStyle name="PSDate" xfId="200"/>
    <cellStyle name="检查单元格 2 2 2" xfId="201"/>
    <cellStyle name="常规 16" xfId="202"/>
    <cellStyle name="PSDec" xfId="203"/>
    <cellStyle name="常规 15 2 2 3" xfId="204"/>
    <cellStyle name="PSSpacer" xfId="205"/>
    <cellStyle name="sstot" xfId="206"/>
    <cellStyle name="强调文字颜色 1 2 2 2" xfId="207"/>
    <cellStyle name="Standard_AREAS" xfId="208"/>
    <cellStyle name="Title" xfId="209"/>
    <cellStyle name="Total" xfId="210"/>
    <cellStyle name="Warning Text" xfId="211"/>
    <cellStyle name="千位分隔 2" xfId="212"/>
    <cellStyle name="好_Book1_1" xfId="213"/>
    <cellStyle name="百分比 2 11" xfId="214"/>
    <cellStyle name="捠壿 [0.00]_Region Orders (2)" xfId="215"/>
    <cellStyle name="捠壿_Region Orders (2)" xfId="216"/>
    <cellStyle name="编号" xfId="217"/>
    <cellStyle name="标题 1 10" xfId="218"/>
    <cellStyle name="标题 1 2 2" xfId="219"/>
    <cellStyle name="标题 10" xfId="220"/>
    <cellStyle name="标题 2 10" xfId="221"/>
    <cellStyle name="标题 2 2 2" xfId="222"/>
    <cellStyle name="标题 3 10" xfId="223"/>
    <cellStyle name="标题 3 2 2" xfId="224"/>
    <cellStyle name="标题 3 2 7" xfId="225"/>
    <cellStyle name="标题 4 10" xfId="226"/>
    <cellStyle name="标题 4 2 2" xfId="227"/>
    <cellStyle name="标题1" xfId="228"/>
    <cellStyle name="表标题" xfId="229"/>
    <cellStyle name="差 2 2 2" xfId="230"/>
    <cellStyle name="好 2 2 2" xfId="231"/>
    <cellStyle name="差_13标预算" xfId="232"/>
    <cellStyle name="差_3.21江淑萍新表" xfId="233"/>
    <cellStyle name="差_Book1" xfId="234"/>
    <cellStyle name="差_Book1_1" xfId="235"/>
    <cellStyle name="差_Sheet1" xfId="236"/>
    <cellStyle name="差_晒场" xfId="237"/>
    <cellStyle name="常规 10 4" xfId="238"/>
    <cellStyle name="常规 11" xfId="239"/>
    <cellStyle name="常规 11 8" xfId="240"/>
    <cellStyle name="常规 11 9" xfId="241"/>
    <cellStyle name="常规 18 5" xfId="242"/>
    <cellStyle name="常规 2 3 13" xfId="243"/>
    <cellStyle name="常规 28" xfId="244"/>
    <cellStyle name="常规 53" xfId="245"/>
    <cellStyle name="常规 7" xfId="246"/>
    <cellStyle name="常规_坝 概算" xfId="247"/>
    <cellStyle name="常规_工程单价" xfId="248"/>
    <cellStyle name="常规_工程单价 2" xfId="249"/>
    <cellStyle name="常规_工程单价 2 2" xfId="250"/>
    <cellStyle name="常规_工程单价 3" xfId="251"/>
    <cellStyle name="常规_工程单价 4" xfId="252"/>
    <cellStyle name="常规_工程单价 6" xfId="253"/>
    <cellStyle name="常规_海原张红湾水库概算核2011.5.30" xfId="254"/>
    <cellStyle name="常规_惠农可研报告表格修订(6(1).21)（无价差预备费）" xfId="255"/>
    <cellStyle name="常规_世行项目水利措施实施计划安排" xfId="256"/>
    <cellStyle name="常规_西吉喷灌高效节水概算核2014.6.27" xfId="257"/>
    <cellStyle name="常规_预算定额套单价" xfId="258"/>
    <cellStyle name="好_Sheet1" xfId="259"/>
    <cellStyle name="超链接 2" xfId="260"/>
    <cellStyle name="强调文字颜色 2 2 2 2" xfId="261"/>
    <cellStyle name="单价编号" xfId="262"/>
    <cellStyle name="单价名称" xfId="263"/>
    <cellStyle name="分级显示行_1_Book1" xfId="264"/>
    <cellStyle name="工作内容" xfId="265"/>
    <cellStyle name="好_13标预算" xfId="266"/>
    <cellStyle name="好_20100227马莲渠乡左右岸合计（江淑萍）" xfId="267"/>
    <cellStyle name="好_2013年平罗小农水工程概算核2013.3.2" xfId="268"/>
    <cellStyle name="好_Book1" xfId="269"/>
    <cellStyle name="汇总 12" xfId="270"/>
    <cellStyle name="汇总 2 2" xfId="271"/>
    <cellStyle name="计算 2 2 2" xfId="272"/>
    <cellStyle name="警告文本 2 2" xfId="273"/>
    <cellStyle name="链接单元格 2 2" xfId="274"/>
    <cellStyle name="强调文字颜色 3 2 2 2" xfId="275"/>
    <cellStyle name="强调文字颜色 4 2 2 2" xfId="276"/>
    <cellStyle name="强调文字颜色 6 2" xfId="277"/>
    <cellStyle name="强调文字颜色 6 2 2 2" xfId="278"/>
    <cellStyle name="适中 2 2 2" xfId="279"/>
    <cellStyle name="输出 2 2 2" xfId="280"/>
    <cellStyle name="输入 2 2 2" xfId="281"/>
    <cellStyle name="注释 2" xfId="282"/>
    <cellStyle name="注释 2 2 2" xfId="283"/>
  </cellStyles>
  <tableStyles count="0" defaultTableStyle="TableStyleMedium9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sharedStrings" Target="sharedStrings.xml"/><Relationship Id="rId17" Type="http://schemas.openxmlformats.org/officeDocument/2006/relationships/theme" Target="theme/theme1.xml"/><Relationship Id="rId16" Type="http://schemas.openxmlformats.org/officeDocument/2006/relationships/externalLink" Target="externalLinks/externalLink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Spares\FILES\SMCTS2\SMCTSSP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  <sheetName val="附表2材料价格表"/>
      <sheetName val="附表3机械台班"/>
      <sheetName val="附表5直接工程费单价表"/>
      <sheetName val="表2总预算"/>
      <sheetName val="表3工程施工费表"/>
      <sheetName val="表4设备购置费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val="FFFFFF"/>
        </a:solidFill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1"/>
  <sheetViews>
    <sheetView workbookViewId="0">
      <selection activeCell="F12" sqref="F12"/>
    </sheetView>
  </sheetViews>
  <sheetFormatPr defaultColWidth="9" defaultRowHeight="14.25" outlineLevelCol="7"/>
  <cols>
    <col min="1" max="1" width="4.25" customWidth="1"/>
    <col min="2" max="2" width="27.5" customWidth="1"/>
    <col min="3" max="3" width="11.125" style="1003" customWidth="1"/>
    <col min="4" max="4" width="8.5" style="1003" customWidth="1"/>
    <col min="5" max="5" width="10.375" style="1003" customWidth="1"/>
    <col min="6" max="6" width="10.5" style="1003" customWidth="1"/>
    <col min="7" max="7" width="13.5" customWidth="1"/>
    <col min="8" max="8" width="20.5" customWidth="1"/>
  </cols>
  <sheetData>
    <row r="1" ht="27.95" customHeight="1" spans="1:8">
      <c r="A1" s="1004" t="s">
        <v>0</v>
      </c>
      <c r="B1" s="1004"/>
      <c r="C1" s="1004"/>
      <c r="D1" s="1004"/>
      <c r="E1" s="1004"/>
      <c r="F1" s="1004"/>
      <c r="G1" s="1004"/>
    </row>
    <row r="2" ht="27" customHeight="1" spans="1:8">
      <c r="A2" s="1005" t="s">
        <v>1</v>
      </c>
      <c r="B2" s="1006" t="s">
        <v>2</v>
      </c>
      <c r="C2" s="1007" t="s">
        <v>3</v>
      </c>
      <c r="D2" s="1008" t="s">
        <v>4</v>
      </c>
      <c r="E2" s="1006" t="s">
        <v>5</v>
      </c>
      <c r="F2" s="1006" t="s">
        <v>6</v>
      </c>
      <c r="G2" s="1009" t="s">
        <v>7</v>
      </c>
    </row>
    <row r="3" ht="20.1" customHeight="1" spans="1:8">
      <c r="A3" s="1010" t="s">
        <v>8</v>
      </c>
      <c r="B3" s="1011" t="s">
        <v>9</v>
      </c>
      <c r="C3" s="1012"/>
      <c r="D3" s="1013"/>
      <c r="E3" s="1013"/>
      <c r="F3" s="1012"/>
      <c r="G3" s="1014"/>
      <c r="H3" s="902"/>
    </row>
    <row r="4" ht="20.1" customHeight="1" spans="1:8">
      <c r="A4" s="1010"/>
      <c r="B4" s="1011"/>
      <c r="C4" s="1013"/>
      <c r="D4" s="1013"/>
      <c r="E4" s="1013"/>
      <c r="F4" s="1013"/>
      <c r="G4" s="1014"/>
      <c r="H4" s="902"/>
    </row>
    <row r="5" ht="20.1" customHeight="1" spans="1:8">
      <c r="A5" s="1010"/>
      <c r="B5" s="994"/>
      <c r="C5" s="1013"/>
      <c r="D5" s="1013"/>
      <c r="E5" s="1013"/>
      <c r="F5" s="1013"/>
      <c r="G5" s="1014"/>
    </row>
    <row r="6" ht="20.1" customHeight="1" spans="1:8">
      <c r="A6" s="1010" t="s">
        <v>10</v>
      </c>
      <c r="B6" s="994" t="s">
        <v>11</v>
      </c>
      <c r="C6" s="1012"/>
      <c r="D6" s="1012"/>
      <c r="E6" s="1012"/>
      <c r="F6" s="1013"/>
      <c r="G6" s="1015"/>
    </row>
    <row r="7" ht="20.1" customHeight="1" spans="1:8">
      <c r="A7" s="1010"/>
      <c r="B7" s="994"/>
      <c r="C7" s="1012"/>
      <c r="D7" s="1012"/>
      <c r="E7" s="1012"/>
      <c r="F7" s="1013"/>
      <c r="G7" s="1015"/>
    </row>
    <row r="8" ht="20.1" customHeight="1" spans="1:8">
      <c r="A8" s="1010"/>
      <c r="B8" s="994"/>
      <c r="C8" s="1012"/>
      <c r="D8" s="1012"/>
      <c r="E8" s="1012"/>
      <c r="F8" s="1013"/>
      <c r="G8" s="1015"/>
    </row>
    <row r="9" ht="20.1" customHeight="1" spans="1:8">
      <c r="A9" s="1010" t="s">
        <v>12</v>
      </c>
      <c r="B9" s="1016" t="s">
        <v>13</v>
      </c>
      <c r="C9" s="1017"/>
      <c r="D9" s="958"/>
      <c r="E9" s="958"/>
      <c r="F9" s="1013"/>
      <c r="G9" s="1018"/>
    </row>
    <row r="10" ht="20.1" customHeight="1" spans="1:8">
      <c r="A10" s="1019">
        <v>1</v>
      </c>
      <c r="B10" s="1020" t="e">
        <f>#REF!</f>
        <v>#REF!</v>
      </c>
      <c r="C10" s="958"/>
      <c r="D10" s="958"/>
      <c r="E10" s="958"/>
      <c r="F10" s="1013"/>
      <c r="G10" s="1015"/>
    </row>
    <row r="11" ht="20.1" customHeight="1" spans="1:8">
      <c r="A11" s="1019">
        <v>2</v>
      </c>
      <c r="B11" s="1020" t="e">
        <f>#REF!</f>
        <v>#REF!</v>
      </c>
      <c r="C11" s="958"/>
      <c r="D11" s="958"/>
      <c r="E11" s="958"/>
      <c r="F11" s="1013"/>
      <c r="G11" s="1015"/>
    </row>
    <row r="12" ht="20.1" customHeight="1" spans="1:8">
      <c r="A12" s="1019">
        <v>3</v>
      </c>
      <c r="B12" s="1020" t="e">
        <f>#REF!</f>
        <v>#REF!</v>
      </c>
      <c r="C12" s="958"/>
      <c r="D12" s="958"/>
      <c r="E12" s="958"/>
      <c r="F12" s="1013"/>
      <c r="G12" s="1015"/>
    </row>
    <row r="13" ht="20.1" customHeight="1" spans="1:8">
      <c r="A13" s="1019">
        <v>4</v>
      </c>
      <c r="B13" s="1020" t="e">
        <f>#REF!</f>
        <v>#REF!</v>
      </c>
      <c r="C13" s="958"/>
      <c r="D13" s="958"/>
      <c r="E13" s="958"/>
      <c r="F13" s="1013"/>
      <c r="G13" s="1015"/>
    </row>
    <row r="14" ht="20.1" customHeight="1" spans="1:8">
      <c r="A14" s="1019">
        <v>5</v>
      </c>
      <c r="B14" s="1020" t="e">
        <f>#REF!</f>
        <v>#REF!</v>
      </c>
      <c r="C14" s="958"/>
      <c r="D14" s="958"/>
      <c r="E14" s="958"/>
      <c r="F14" s="1013"/>
      <c r="G14" s="1015"/>
    </row>
    <row r="15" ht="20.1" customHeight="1" spans="1:8">
      <c r="A15" s="1010"/>
      <c r="B15" s="1021" t="s">
        <v>14</v>
      </c>
      <c r="C15" s="958"/>
      <c r="D15" s="958"/>
      <c r="E15" s="958"/>
      <c r="F15" s="1013"/>
      <c r="G15" s="1022"/>
    </row>
    <row r="16" ht="20.1" customHeight="1" spans="1:8">
      <c r="A16" s="1010" t="s">
        <v>15</v>
      </c>
      <c r="B16" s="1021" t="s">
        <v>16</v>
      </c>
      <c r="C16" s="958"/>
      <c r="D16" s="958"/>
      <c r="E16" s="1017"/>
      <c r="F16" s="1017"/>
      <c r="G16" s="1022"/>
    </row>
    <row r="17" ht="20.1" customHeight="1" spans="1:8">
      <c r="A17" s="1023" t="s">
        <v>17</v>
      </c>
      <c r="B17" s="1021" t="s">
        <v>18</v>
      </c>
      <c r="C17" s="912"/>
      <c r="D17" s="912"/>
      <c r="E17" s="935"/>
      <c r="F17" s="958"/>
      <c r="G17" s="1024"/>
      <c r="H17" s="1025"/>
    </row>
    <row r="18" ht="20.1" customHeight="1" spans="1:8">
      <c r="A18" s="1023" t="s">
        <v>19</v>
      </c>
      <c r="B18" s="1021" t="s">
        <v>20</v>
      </c>
      <c r="C18" s="912"/>
      <c r="D18" s="912"/>
      <c r="E18" s="935"/>
      <c r="F18" s="958"/>
      <c r="G18" s="1024"/>
    </row>
    <row r="19" ht="20.1" customHeight="1" spans="1:8">
      <c r="A19" s="1023" t="s">
        <v>21</v>
      </c>
      <c r="B19" s="1021" t="s">
        <v>22</v>
      </c>
      <c r="C19" s="912"/>
      <c r="D19" s="912"/>
      <c r="E19" s="935"/>
      <c r="F19" s="958"/>
      <c r="G19" s="1024"/>
    </row>
    <row r="20" ht="20.1" customHeight="1" spans="1:8">
      <c r="A20" s="1023" t="s">
        <v>23</v>
      </c>
      <c r="B20" s="1021" t="s">
        <v>24</v>
      </c>
      <c r="C20" s="935"/>
      <c r="D20" s="935"/>
      <c r="E20" s="935"/>
      <c r="F20" s="958"/>
      <c r="G20" s="1024"/>
    </row>
    <row r="21" ht="20.1" customHeight="1" spans="1:8">
      <c r="A21" s="1023" t="s">
        <v>25</v>
      </c>
      <c r="B21" s="1026" t="s">
        <v>26</v>
      </c>
      <c r="C21" s="935"/>
      <c r="D21" s="935"/>
      <c r="E21" s="935"/>
      <c r="F21" s="958"/>
      <c r="G21" s="1024"/>
    </row>
    <row r="22" ht="20.1" customHeight="1" spans="1:8">
      <c r="A22" s="1023" t="s">
        <v>27</v>
      </c>
      <c r="B22" s="1021" t="s">
        <v>28</v>
      </c>
      <c r="C22" s="935"/>
      <c r="D22" s="935"/>
      <c r="E22" s="935"/>
      <c r="F22" s="958"/>
      <c r="G22" s="1024"/>
    </row>
    <row r="23" ht="20.1" customHeight="1" spans="1:8">
      <c r="A23" s="1027" t="s">
        <v>29</v>
      </c>
      <c r="B23" s="1021" t="s">
        <v>30</v>
      </c>
      <c r="C23" s="935"/>
      <c r="D23" s="935"/>
      <c r="E23" s="935"/>
      <c r="F23" s="958"/>
      <c r="G23" s="1024"/>
    </row>
    <row r="24" ht="20.1" customHeight="1" spans="1:8">
      <c r="A24" s="1028"/>
      <c r="B24" s="1029" t="s">
        <v>31</v>
      </c>
      <c r="C24" s="1030"/>
      <c r="D24" s="1031"/>
      <c r="E24" s="1031"/>
      <c r="F24" s="1031"/>
      <c r="G24" s="1032"/>
    </row>
    <row r="25" ht="20.1" customHeight="1" spans="1:8">
      <c r="G25" s="1033"/>
    </row>
    <row r="26" spans="1:8">
      <c r="G26" s="1034"/>
    </row>
    <row r="27" spans="1:8">
      <c r="G27" s="1034"/>
    </row>
    <row r="28" spans="1:8">
      <c r="G28" s="1035"/>
    </row>
    <row r="29" spans="1:8">
      <c r="G29" s="1034"/>
    </row>
    <row r="30" spans="1:8">
      <c r="G30" s="1034"/>
    </row>
    <row r="31" spans="1:8">
      <c r="G31" s="1034"/>
    </row>
  </sheetData>
  <mergeCells count="1">
    <mergeCell ref="A1:G1"/>
  </mergeCells>
  <printOptions horizontalCentered="1"/>
  <pageMargins left="0.979861111111111" right="0.789583333333333" top="0.789583333333333" bottom="0.789583333333333" header="0.509722222222222" footer="0.509722222222222"/>
  <pageSetup paperSize="9" orientation="portrait" horizontalDpi="180" verticalDpi="180"/>
  <headerFooter alignWithMargins="0" scaleWithDoc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54"/>
  <sheetViews>
    <sheetView zoomScale="85" zoomScaleNormal="85" topLeftCell="A375" workbookViewId="0">
      <selection activeCell="I433" sqref="I433"/>
    </sheetView>
  </sheetViews>
  <sheetFormatPr defaultColWidth="9" defaultRowHeight="20.1" customHeight="1"/>
  <cols>
    <col min="1" max="1" width="6.875" style="93" customWidth="1"/>
    <col min="2" max="2" width="14.625" style="92" customWidth="1"/>
    <col min="3" max="3" width="8.25" style="93" customWidth="1"/>
    <col min="4" max="4" width="10" style="356" customWidth="1"/>
    <col min="5" max="5" width="9.5" style="93" customWidth="1"/>
    <col min="6" max="6" width="11.25" style="93" customWidth="1"/>
    <col min="7" max="7" width="11.5" style="92" customWidth="1"/>
    <col min="8" max="8" width="12" style="92" customWidth="1"/>
    <col min="9" max="9" width="11" style="92" customWidth="1"/>
    <col min="10" max="10" width="9" style="92"/>
    <col min="11" max="11" width="15.875" style="92" customWidth="1"/>
    <col min="12" max="12" width="11.375" style="92" customWidth="1"/>
    <col min="13" max="13" width="11.625" style="92" customWidth="1"/>
    <col min="14" max="14" width="13" style="92" customWidth="1"/>
    <col min="15" max="15" width="10.375" style="92" customWidth="1"/>
    <col min="16" max="16384" width="9" style="92"/>
  </cols>
  <sheetData>
    <row r="1" customHeight="1" spans="1:7">
      <c r="A1" s="352" t="s">
        <v>868</v>
      </c>
      <c r="B1" s="352"/>
      <c r="C1" s="352"/>
      <c r="D1" s="352"/>
      <c r="E1" s="352"/>
      <c r="F1" s="352"/>
      <c r="G1" s="352"/>
    </row>
    <row r="2" customHeight="1" spans="1:7">
      <c r="A2" s="165" t="s">
        <v>869</v>
      </c>
      <c r="B2" s="129"/>
      <c r="C2" s="129"/>
      <c r="D2" s="129" t="s">
        <v>870</v>
      </c>
      <c r="E2" s="130" t="s">
        <v>1095</v>
      </c>
      <c r="F2" s="131"/>
      <c r="G2" s="132"/>
    </row>
    <row r="3" customHeight="1" spans="1:7">
      <c r="A3" s="144" t="s">
        <v>507</v>
      </c>
      <c r="B3" s="166"/>
      <c r="C3" s="167" t="s">
        <v>1096</v>
      </c>
      <c r="D3" s="167"/>
      <c r="E3" s="167"/>
      <c r="F3" s="61" t="s">
        <v>873</v>
      </c>
      <c r="G3" s="138" t="s">
        <v>874</v>
      </c>
    </row>
    <row r="4" customHeight="1" spans="1:7">
      <c r="A4" s="168" t="s">
        <v>1097</v>
      </c>
      <c r="B4" s="167"/>
      <c r="C4" s="167"/>
      <c r="D4" s="167"/>
      <c r="E4" s="167"/>
      <c r="F4" s="167"/>
      <c r="G4" s="169"/>
    </row>
    <row r="5" customHeight="1" spans="1:7">
      <c r="A5" s="141" t="s">
        <v>1098</v>
      </c>
      <c r="B5" s="142"/>
      <c r="C5" s="170"/>
      <c r="D5" s="170"/>
      <c r="E5" s="170"/>
      <c r="F5" s="170"/>
      <c r="G5" s="171"/>
    </row>
    <row r="6" customHeight="1" spans="1:7">
      <c r="A6" s="144" t="s">
        <v>34</v>
      </c>
      <c r="B6" s="61" t="s">
        <v>761</v>
      </c>
      <c r="C6" s="61"/>
      <c r="D6" s="61" t="s">
        <v>60</v>
      </c>
      <c r="E6" s="147" t="s">
        <v>877</v>
      </c>
      <c r="F6" s="61" t="s">
        <v>878</v>
      </c>
      <c r="G6" s="138" t="s">
        <v>879</v>
      </c>
    </row>
    <row r="7" customHeight="1" spans="1:7">
      <c r="A7" s="144" t="s">
        <v>8</v>
      </c>
      <c r="B7" s="148" t="s">
        <v>880</v>
      </c>
      <c r="C7" s="149"/>
      <c r="D7" s="61"/>
      <c r="E7" s="147"/>
      <c r="F7" s="147"/>
      <c r="G7" s="150">
        <f>G8+G18</f>
        <v>2528.35777921821</v>
      </c>
    </row>
    <row r="8" customHeight="1" spans="1:7">
      <c r="A8" s="144" t="s">
        <v>881</v>
      </c>
      <c r="B8" s="148" t="s">
        <v>882</v>
      </c>
      <c r="C8" s="149"/>
      <c r="D8" s="61"/>
      <c r="E8" s="147"/>
      <c r="F8" s="147"/>
      <c r="G8" s="150">
        <f>G9+G12+G14</f>
        <v>2376.27610828779</v>
      </c>
    </row>
    <row r="9" customHeight="1" spans="1:7">
      <c r="A9" s="144" t="s">
        <v>17</v>
      </c>
      <c r="B9" s="148" t="s">
        <v>510</v>
      </c>
      <c r="C9" s="149"/>
      <c r="D9" s="61"/>
      <c r="E9" s="147"/>
      <c r="F9" s="147"/>
      <c r="G9" s="150">
        <f>SUM(G10:G11)</f>
        <v>105.014</v>
      </c>
    </row>
    <row r="10" customHeight="1" spans="1:7">
      <c r="A10" s="144"/>
      <c r="B10" s="148" t="s">
        <v>704</v>
      </c>
      <c r="C10" s="149"/>
      <c r="D10" s="61" t="s">
        <v>705</v>
      </c>
      <c r="E10" s="147"/>
      <c r="F10" s="147"/>
      <c r="G10" s="150"/>
    </row>
    <row r="11" customHeight="1" spans="1:7">
      <c r="A11" s="144"/>
      <c r="B11" s="148" t="s">
        <v>706</v>
      </c>
      <c r="C11" s="149"/>
      <c r="D11" s="61" t="s">
        <v>705</v>
      </c>
      <c r="E11" s="147">
        <v>18.2</v>
      </c>
      <c r="F11" s="147">
        <f>主要材料预算!$D$20</f>
        <v>5.77</v>
      </c>
      <c r="G11" s="150">
        <f>E11*F11</f>
        <v>105.014</v>
      </c>
    </row>
    <row r="12" customHeight="1" spans="1:7">
      <c r="A12" s="144" t="s">
        <v>19</v>
      </c>
      <c r="B12" s="148" t="s">
        <v>511</v>
      </c>
      <c r="C12" s="149"/>
      <c r="D12" s="61"/>
      <c r="E12" s="147"/>
      <c r="F12" s="147"/>
      <c r="G12" s="150">
        <f>SUM(G13:G13)</f>
        <v>113.156005156562</v>
      </c>
    </row>
    <row r="13" customHeight="1" spans="1:7">
      <c r="A13" s="144"/>
      <c r="B13" s="148" t="s">
        <v>1008</v>
      </c>
      <c r="C13" s="149"/>
      <c r="D13" s="61" t="s">
        <v>894</v>
      </c>
      <c r="E13" s="147">
        <f>G9+G14</f>
        <v>2263.12010313123</v>
      </c>
      <c r="F13" s="152">
        <v>5</v>
      </c>
      <c r="G13" s="150">
        <f>E13*F13/100</f>
        <v>113.156005156562</v>
      </c>
    </row>
    <row r="14" customHeight="1" spans="1:7">
      <c r="A14" s="144" t="s">
        <v>21</v>
      </c>
      <c r="B14" s="148" t="s">
        <v>895</v>
      </c>
      <c r="C14" s="149"/>
      <c r="D14" s="61"/>
      <c r="E14" s="147"/>
      <c r="F14" s="147"/>
      <c r="G14" s="150">
        <f>SUM(G15:G17)</f>
        <v>2158.10610313123</v>
      </c>
    </row>
    <row r="15" customHeight="1" spans="1:7">
      <c r="A15" s="144"/>
      <c r="B15" s="148" t="s">
        <v>1099</v>
      </c>
      <c r="C15" s="149"/>
      <c r="D15" s="61" t="s">
        <v>896</v>
      </c>
      <c r="E15" s="147">
        <v>2.74</v>
      </c>
      <c r="F15" s="147">
        <f>施工机械台时费!$E$6</f>
        <v>122.94140686079</v>
      </c>
      <c r="G15" s="150">
        <f t="shared" ref="G15:G20" si="0">E15*F15</f>
        <v>336.859454798564</v>
      </c>
    </row>
    <row r="16" customHeight="1" spans="1:7">
      <c r="A16" s="144"/>
      <c r="B16" s="148" t="s">
        <v>1100</v>
      </c>
      <c r="C16" s="149"/>
      <c r="D16" s="61" t="s">
        <v>896</v>
      </c>
      <c r="E16" s="147">
        <v>1.37</v>
      </c>
      <c r="F16" s="147">
        <f>施工机械台时费!E13</f>
        <v>89.4423446350219</v>
      </c>
      <c r="G16" s="150">
        <f t="shared" si="0"/>
        <v>122.53601214998</v>
      </c>
    </row>
    <row r="17" customHeight="1" spans="1:7">
      <c r="A17" s="144"/>
      <c r="B17" s="148" t="s">
        <v>1101</v>
      </c>
      <c r="C17" s="149"/>
      <c r="D17" s="61" t="s">
        <v>896</v>
      </c>
      <c r="E17" s="147">
        <v>32.67</v>
      </c>
      <c r="F17" s="147">
        <f>施工机械台时费!E31</f>
        <v>51.9960402871959</v>
      </c>
      <c r="G17" s="150">
        <f t="shared" si="0"/>
        <v>1698.71063618269</v>
      </c>
    </row>
    <row r="18" customHeight="1" spans="1:7">
      <c r="A18" s="314" t="s">
        <v>905</v>
      </c>
      <c r="B18" s="327" t="s">
        <v>514</v>
      </c>
      <c r="C18" s="328"/>
      <c r="D18" s="317"/>
      <c r="E18" s="332">
        <f>G8</f>
        <v>2376.27610828779</v>
      </c>
      <c r="F18" s="333">
        <f>费率表!$D$12</f>
        <v>0.064</v>
      </c>
      <c r="G18" s="329">
        <f t="shared" si="0"/>
        <v>152.081670930419</v>
      </c>
    </row>
    <row r="19" customHeight="1" spans="1:7">
      <c r="A19" s="314" t="s">
        <v>10</v>
      </c>
      <c r="B19" s="327" t="s">
        <v>770</v>
      </c>
      <c r="C19" s="328"/>
      <c r="D19" s="317"/>
      <c r="E19" s="326">
        <f>G7</f>
        <v>2528.35777921821</v>
      </c>
      <c r="F19" s="333">
        <f>费率表!$D$13</f>
        <v>0.085</v>
      </c>
      <c r="G19" s="329">
        <f t="shared" si="0"/>
        <v>214.910411233548</v>
      </c>
    </row>
    <row r="20" customHeight="1" spans="1:7">
      <c r="A20" s="314" t="s">
        <v>12</v>
      </c>
      <c r="B20" s="327" t="s">
        <v>771</v>
      </c>
      <c r="C20" s="328"/>
      <c r="D20" s="317"/>
      <c r="E20" s="326">
        <f>G7+G19</f>
        <v>2743.26819045176</v>
      </c>
      <c r="F20" s="334">
        <f>费率表!$D$14</f>
        <v>0.07</v>
      </c>
      <c r="G20" s="329">
        <f t="shared" si="0"/>
        <v>192.028773331623</v>
      </c>
    </row>
    <row r="21" customHeight="1" spans="1:7">
      <c r="A21" s="314" t="s">
        <v>15</v>
      </c>
      <c r="B21" s="327" t="s">
        <v>517</v>
      </c>
      <c r="C21" s="328"/>
      <c r="D21" s="317"/>
      <c r="E21" s="326"/>
      <c r="F21" s="349"/>
      <c r="G21" s="329">
        <f>SUM(G22:G22)</f>
        <v>2137.6002135054</v>
      </c>
    </row>
    <row r="22" customHeight="1" spans="1:7">
      <c r="A22" s="314"/>
      <c r="B22" s="327" t="s">
        <v>694</v>
      </c>
      <c r="C22" s="328"/>
      <c r="D22" s="317" t="s">
        <v>70</v>
      </c>
      <c r="E22" s="326">
        <f>E15*施工机械台时费!$L$6+E16*施工机械台时费!L13+施工机械台时费!L31*E17</f>
        <v>352.645</v>
      </c>
      <c r="F22" s="357">
        <f>主要材料预算!$N$13</f>
        <v>6.0616206482593</v>
      </c>
      <c r="G22" s="329">
        <f t="shared" ref="G22:G24" si="1">E22*F22</f>
        <v>2137.6002135054</v>
      </c>
    </row>
    <row r="23" customHeight="1" spans="1:7">
      <c r="A23" s="314" t="s">
        <v>906</v>
      </c>
      <c r="B23" s="327" t="s">
        <v>772</v>
      </c>
      <c r="C23" s="328"/>
      <c r="D23" s="317"/>
      <c r="E23" s="326">
        <f>G7+G19++G20+G21</f>
        <v>5072.89717728878</v>
      </c>
      <c r="F23" s="334">
        <f>费率表!$D$15</f>
        <v>0.09</v>
      </c>
      <c r="G23" s="329">
        <f t="shared" si="1"/>
        <v>456.56074595599</v>
      </c>
    </row>
    <row r="24" customHeight="1" spans="1:7">
      <c r="A24" s="314"/>
      <c r="B24" s="327" t="s">
        <v>907</v>
      </c>
      <c r="C24" s="328"/>
      <c r="D24" s="317"/>
      <c r="E24" s="326">
        <f>G7+G19+G20+G21+G23</f>
        <v>5529.45792324477</v>
      </c>
      <c r="F24" s="334">
        <f>费率表!$I$19</f>
        <v>0.03</v>
      </c>
      <c r="G24" s="329">
        <f t="shared" si="1"/>
        <v>165.883737697343</v>
      </c>
    </row>
    <row r="25" customHeight="1" spans="1:7">
      <c r="A25" s="335"/>
      <c r="B25" s="336" t="s">
        <v>39</v>
      </c>
      <c r="C25" s="337"/>
      <c r="D25" s="338"/>
      <c r="E25" s="339"/>
      <c r="F25" s="338"/>
      <c r="G25" s="340">
        <f>G7+G19+G20+G21+G23+G24</f>
        <v>5695.34166094212</v>
      </c>
    </row>
    <row r="27" customHeight="1" spans="1:7">
      <c r="A27" s="352" t="s">
        <v>868</v>
      </c>
      <c r="B27" s="352"/>
      <c r="C27" s="352"/>
      <c r="D27" s="352"/>
      <c r="E27" s="352"/>
      <c r="F27" s="352"/>
      <c r="G27" s="352"/>
    </row>
    <row r="28" customHeight="1" spans="1:7">
      <c r="A28" s="309" t="s">
        <v>869</v>
      </c>
      <c r="B28" s="310"/>
      <c r="C28" s="310" t="s">
        <v>17</v>
      </c>
      <c r="D28" s="310" t="s">
        <v>870</v>
      </c>
      <c r="E28" s="311" t="s">
        <v>1102</v>
      </c>
      <c r="F28" s="312"/>
      <c r="G28" s="313"/>
    </row>
    <row r="29" customHeight="1" spans="1:7">
      <c r="A29" s="314" t="s">
        <v>507</v>
      </c>
      <c r="B29" s="315"/>
      <c r="C29" s="316" t="s">
        <v>1103</v>
      </c>
      <c r="D29" s="316"/>
      <c r="E29" s="316"/>
      <c r="F29" s="317" t="s">
        <v>873</v>
      </c>
      <c r="G29" s="318" t="s">
        <v>874</v>
      </c>
    </row>
    <row r="30" customHeight="1" spans="1:7">
      <c r="A30" s="319" t="s">
        <v>875</v>
      </c>
      <c r="B30" s="320"/>
      <c r="C30" s="320"/>
      <c r="D30" s="320"/>
      <c r="E30" s="320"/>
      <c r="F30" s="320"/>
      <c r="G30" s="321"/>
    </row>
    <row r="31" customHeight="1" spans="1:7">
      <c r="A31" s="322" t="s">
        <v>1104</v>
      </c>
      <c r="B31" s="323"/>
      <c r="C31" s="324"/>
      <c r="D31" s="324"/>
      <c r="E31" s="324"/>
      <c r="F31" s="324"/>
      <c r="G31" s="325"/>
    </row>
    <row r="32" customHeight="1" spans="1:7">
      <c r="A32" s="314" t="s">
        <v>34</v>
      </c>
      <c r="B32" s="317" t="s">
        <v>761</v>
      </c>
      <c r="C32" s="317"/>
      <c r="D32" s="317" t="s">
        <v>60</v>
      </c>
      <c r="E32" s="326" t="s">
        <v>877</v>
      </c>
      <c r="F32" s="317" t="s">
        <v>878</v>
      </c>
      <c r="G32" s="318" t="s">
        <v>879</v>
      </c>
    </row>
    <row r="33" customHeight="1" spans="1:7">
      <c r="A33" s="314" t="s">
        <v>8</v>
      </c>
      <c r="B33" s="327" t="s">
        <v>880</v>
      </c>
      <c r="C33" s="328"/>
      <c r="D33" s="317"/>
      <c r="E33" s="326"/>
      <c r="F33" s="326"/>
      <c r="G33" s="329">
        <f>G34+G42</f>
        <v>10722.910072</v>
      </c>
    </row>
    <row r="34" customHeight="1" spans="1:7">
      <c r="A34" s="314" t="s">
        <v>881</v>
      </c>
      <c r="B34" s="327" t="s">
        <v>882</v>
      </c>
      <c r="C34" s="328"/>
      <c r="D34" s="317"/>
      <c r="E34" s="326"/>
      <c r="F34" s="326"/>
      <c r="G34" s="329">
        <f>G35+G38</f>
        <v>10077.923</v>
      </c>
    </row>
    <row r="35" customHeight="1" spans="1:7">
      <c r="A35" s="314" t="s">
        <v>17</v>
      </c>
      <c r="B35" s="327" t="s">
        <v>510</v>
      </c>
      <c r="C35" s="328"/>
      <c r="D35" s="317"/>
      <c r="E35" s="326"/>
      <c r="F35" s="326"/>
      <c r="G35" s="329">
        <f>SUM(G36:G37)</f>
        <v>2866.523</v>
      </c>
    </row>
    <row r="36" customHeight="1" spans="1:7">
      <c r="A36" s="314"/>
      <c r="B36" s="327" t="s">
        <v>704</v>
      </c>
      <c r="C36" s="328"/>
      <c r="D36" s="317" t="s">
        <v>705</v>
      </c>
      <c r="E36" s="326">
        <v>9.9</v>
      </c>
      <c r="F36" s="326">
        <f>主要材料预算!$D$19</f>
        <v>8.1</v>
      </c>
      <c r="G36" s="329">
        <f t="shared" ref="G36:G40" si="2">E36*F36</f>
        <v>80.19</v>
      </c>
    </row>
    <row r="37" customHeight="1" spans="1:7">
      <c r="A37" s="314"/>
      <c r="B37" s="327" t="s">
        <v>706</v>
      </c>
      <c r="C37" s="328"/>
      <c r="D37" s="317" t="s">
        <v>705</v>
      </c>
      <c r="E37" s="326">
        <v>482.9</v>
      </c>
      <c r="F37" s="326">
        <f>主要材料预算!$D$20</f>
        <v>5.77</v>
      </c>
      <c r="G37" s="329">
        <f t="shared" si="2"/>
        <v>2786.333</v>
      </c>
    </row>
    <row r="38" customHeight="1" spans="1:7">
      <c r="A38" s="314" t="s">
        <v>19</v>
      </c>
      <c r="B38" s="327" t="s">
        <v>511</v>
      </c>
      <c r="C38" s="328"/>
      <c r="D38" s="317"/>
      <c r="E38" s="326"/>
      <c r="F38" s="326"/>
      <c r="G38" s="329">
        <f>SUM(G39:G41)</f>
        <v>7211.4</v>
      </c>
    </row>
    <row r="39" customHeight="1" spans="1:7">
      <c r="A39" s="314"/>
      <c r="B39" s="327" t="s">
        <v>1069</v>
      </c>
      <c r="C39" s="328"/>
      <c r="D39" s="317" t="s">
        <v>70</v>
      </c>
      <c r="E39" s="326">
        <v>102</v>
      </c>
      <c r="F39" s="326">
        <f>主要材料预算!$M$9</f>
        <v>70</v>
      </c>
      <c r="G39" s="329">
        <f t="shared" si="2"/>
        <v>7140</v>
      </c>
    </row>
    <row r="40" customHeight="1" spans="1:7">
      <c r="A40" s="314"/>
      <c r="B40" s="327" t="s">
        <v>684</v>
      </c>
      <c r="C40" s="328"/>
      <c r="D40" s="317" t="s">
        <v>70</v>
      </c>
      <c r="E40" s="326"/>
      <c r="F40" s="326">
        <f>主要材料预算!M7</f>
        <v>70</v>
      </c>
      <c r="G40" s="329">
        <f t="shared" si="2"/>
        <v>0</v>
      </c>
    </row>
    <row r="41" customHeight="1" spans="1:7">
      <c r="A41" s="314"/>
      <c r="B41" s="327" t="s">
        <v>893</v>
      </c>
      <c r="C41" s="328"/>
      <c r="D41" s="317" t="s">
        <v>894</v>
      </c>
      <c r="E41" s="147">
        <f>SUM(G39:G40)</f>
        <v>7140</v>
      </c>
      <c r="F41" s="331">
        <v>1</v>
      </c>
      <c r="G41" s="329">
        <f>E41*F41/100</f>
        <v>71.4</v>
      </c>
    </row>
    <row r="42" customHeight="1" spans="1:7">
      <c r="A42" s="314" t="s">
        <v>905</v>
      </c>
      <c r="B42" s="327" t="s">
        <v>514</v>
      </c>
      <c r="C42" s="328"/>
      <c r="D42" s="317"/>
      <c r="E42" s="332">
        <f>G34</f>
        <v>10077.923</v>
      </c>
      <c r="F42" s="333">
        <f>费率表!$E$12</f>
        <v>0.064</v>
      </c>
      <c r="G42" s="329">
        <f t="shared" ref="G42:G44" si="3">E42*F42</f>
        <v>644.987072</v>
      </c>
    </row>
    <row r="43" customHeight="1" spans="1:7">
      <c r="A43" s="314" t="s">
        <v>10</v>
      </c>
      <c r="B43" s="327" t="s">
        <v>770</v>
      </c>
      <c r="C43" s="328"/>
      <c r="D43" s="317"/>
      <c r="E43" s="326">
        <f>G33</f>
        <v>10722.910072</v>
      </c>
      <c r="F43" s="334">
        <f>费率表!$E$13</f>
        <v>0.085</v>
      </c>
      <c r="G43" s="329">
        <f t="shared" si="3"/>
        <v>911.44735612</v>
      </c>
    </row>
    <row r="44" customHeight="1" spans="1:7">
      <c r="A44" s="314" t="s">
        <v>12</v>
      </c>
      <c r="B44" s="327" t="s">
        <v>771</v>
      </c>
      <c r="C44" s="328"/>
      <c r="D44" s="317"/>
      <c r="E44" s="326">
        <f>G33+G43</f>
        <v>11634.35742812</v>
      </c>
      <c r="F44" s="334">
        <f>费率表!$E$14</f>
        <v>0.07</v>
      </c>
      <c r="G44" s="329">
        <f t="shared" si="3"/>
        <v>814.4050199684</v>
      </c>
    </row>
    <row r="45" customHeight="1" spans="1:7">
      <c r="A45" s="314" t="s">
        <v>15</v>
      </c>
      <c r="B45" s="327" t="s">
        <v>517</v>
      </c>
      <c r="C45" s="328"/>
      <c r="D45" s="317"/>
      <c r="E45" s="326"/>
      <c r="F45" s="349"/>
      <c r="G45" s="329">
        <f>SUM(G46:G47)</f>
        <v>2732.7942</v>
      </c>
    </row>
    <row r="46" customHeight="1" spans="1:7">
      <c r="A46" s="314"/>
      <c r="B46" s="327" t="s">
        <v>1069</v>
      </c>
      <c r="C46" s="328"/>
      <c r="D46" s="317" t="s">
        <v>70</v>
      </c>
      <c r="E46" s="326">
        <f>E39</f>
        <v>102</v>
      </c>
      <c r="F46" s="357">
        <f>主要材料预算!$N$9</f>
        <v>26.7921</v>
      </c>
      <c r="G46" s="329">
        <f t="shared" ref="G46:G49" si="4">E46*F46</f>
        <v>2732.7942</v>
      </c>
    </row>
    <row r="47" customHeight="1" spans="1:7">
      <c r="A47" s="314"/>
      <c r="B47" s="327" t="s">
        <v>684</v>
      </c>
      <c r="C47" s="328"/>
      <c r="D47" s="317" t="s">
        <v>70</v>
      </c>
      <c r="E47" s="326"/>
      <c r="F47" s="358"/>
      <c r="G47" s="329">
        <f t="shared" si="4"/>
        <v>0</v>
      </c>
    </row>
    <row r="48" customHeight="1" spans="1:7">
      <c r="A48" s="314" t="s">
        <v>906</v>
      </c>
      <c r="B48" s="327" t="s">
        <v>772</v>
      </c>
      <c r="C48" s="328"/>
      <c r="D48" s="317"/>
      <c r="E48" s="326">
        <f>G33+G43++G44+G45</f>
        <v>15181.5566480884</v>
      </c>
      <c r="F48" s="334">
        <f>费率表!$E$15</f>
        <v>0.09</v>
      </c>
      <c r="G48" s="329">
        <f t="shared" si="4"/>
        <v>1366.34009832796</v>
      </c>
    </row>
    <row r="49" customHeight="1" spans="1:7">
      <c r="A49" s="314"/>
      <c r="B49" s="327" t="s">
        <v>907</v>
      </c>
      <c r="C49" s="328"/>
      <c r="D49" s="317"/>
      <c r="E49" s="326">
        <f>G33+G43+G44+G45+G48</f>
        <v>16547.8967464164</v>
      </c>
      <c r="F49" s="334">
        <f>费率表!$I$19</f>
        <v>0.03</v>
      </c>
      <c r="G49" s="329">
        <f t="shared" si="4"/>
        <v>496.436902392491</v>
      </c>
    </row>
    <row r="50" customHeight="1" spans="1:7">
      <c r="A50" s="335"/>
      <c r="B50" s="336" t="s">
        <v>39</v>
      </c>
      <c r="C50" s="337"/>
      <c r="D50" s="338"/>
      <c r="E50" s="339"/>
      <c r="F50" s="338"/>
      <c r="G50" s="340">
        <f>G33+G43+G44+G45+G48+G49</f>
        <v>17044.3336488088</v>
      </c>
    </row>
    <row r="52" customHeight="1" spans="1:7">
      <c r="A52" s="352" t="s">
        <v>868</v>
      </c>
      <c r="B52" s="352"/>
      <c r="C52" s="352"/>
      <c r="D52" s="352"/>
      <c r="E52" s="352"/>
      <c r="F52" s="352"/>
      <c r="G52" s="352"/>
    </row>
    <row r="53" customHeight="1" spans="1:7">
      <c r="A53" s="309" t="s">
        <v>869</v>
      </c>
      <c r="B53" s="310"/>
      <c r="C53" s="310" t="s">
        <v>27</v>
      </c>
      <c r="D53" s="310" t="s">
        <v>870</v>
      </c>
      <c r="E53" s="311" t="s">
        <v>1105</v>
      </c>
      <c r="F53" s="312"/>
      <c r="G53" s="313"/>
    </row>
    <row r="54" customHeight="1" spans="1:7">
      <c r="A54" s="314" t="s">
        <v>507</v>
      </c>
      <c r="B54" s="315"/>
      <c r="C54" s="316" t="s">
        <v>1106</v>
      </c>
      <c r="D54" s="316"/>
      <c r="E54" s="316"/>
      <c r="F54" s="317" t="s">
        <v>873</v>
      </c>
      <c r="G54" s="318" t="s">
        <v>874</v>
      </c>
    </row>
    <row r="55" customHeight="1" spans="1:7">
      <c r="A55" s="319" t="s">
        <v>875</v>
      </c>
      <c r="B55" s="320"/>
      <c r="C55" s="320"/>
      <c r="D55" s="320"/>
      <c r="E55" s="320"/>
      <c r="F55" s="320"/>
      <c r="G55" s="321"/>
    </row>
    <row r="56" customHeight="1" spans="1:7">
      <c r="A56" s="322" t="s">
        <v>1107</v>
      </c>
      <c r="B56" s="323"/>
      <c r="C56" s="324"/>
      <c r="D56" s="324"/>
      <c r="E56" s="324"/>
      <c r="F56" s="324"/>
      <c r="G56" s="325"/>
    </row>
    <row r="57" customHeight="1" spans="1:7">
      <c r="A57" s="314" t="s">
        <v>34</v>
      </c>
      <c r="B57" s="317" t="s">
        <v>761</v>
      </c>
      <c r="C57" s="317"/>
      <c r="D57" s="317" t="s">
        <v>60</v>
      </c>
      <c r="E57" s="326" t="s">
        <v>877</v>
      </c>
      <c r="F57" s="317" t="s">
        <v>878</v>
      </c>
      <c r="G57" s="318" t="s">
        <v>879</v>
      </c>
    </row>
    <row r="58" customHeight="1" spans="1:7">
      <c r="A58" s="314" t="s">
        <v>8</v>
      </c>
      <c r="B58" s="327" t="s">
        <v>880</v>
      </c>
      <c r="C58" s="328"/>
      <c r="D58" s="317"/>
      <c r="E58" s="326"/>
      <c r="F58" s="326"/>
      <c r="G58" s="329">
        <f>G59+G68</f>
        <v>12738.2313235421</v>
      </c>
    </row>
    <row r="59" customHeight="1" spans="1:7">
      <c r="A59" s="314" t="s">
        <v>881</v>
      </c>
      <c r="B59" s="327" t="s">
        <v>882</v>
      </c>
      <c r="C59" s="328"/>
      <c r="D59" s="317"/>
      <c r="E59" s="326"/>
      <c r="F59" s="326"/>
      <c r="G59" s="329">
        <f>G60+G63+G66</f>
        <v>11972.0219206223</v>
      </c>
    </row>
    <row r="60" customHeight="1" spans="1:7">
      <c r="A60" s="314" t="s">
        <v>17</v>
      </c>
      <c r="B60" s="327" t="s">
        <v>510</v>
      </c>
      <c r="C60" s="328"/>
      <c r="D60" s="317"/>
      <c r="E60" s="326"/>
      <c r="F60" s="326"/>
      <c r="G60" s="329">
        <f>SUM(G61:G62)</f>
        <v>3707.145</v>
      </c>
    </row>
    <row r="61" customHeight="1" spans="1:7">
      <c r="A61" s="314"/>
      <c r="B61" s="327" t="s">
        <v>704</v>
      </c>
      <c r="C61" s="328"/>
      <c r="D61" s="317" t="s">
        <v>705</v>
      </c>
      <c r="E61" s="326">
        <f>185.2</f>
        <v>185.2</v>
      </c>
      <c r="F61" s="326">
        <f>主要材料预算!$D$19</f>
        <v>8.1</v>
      </c>
      <c r="G61" s="329">
        <f t="shared" ref="G61:G64" si="5">E61*F61</f>
        <v>1500.12</v>
      </c>
    </row>
    <row r="62" customHeight="1" spans="1:7">
      <c r="A62" s="314"/>
      <c r="B62" s="327" t="s">
        <v>706</v>
      </c>
      <c r="C62" s="328"/>
      <c r="D62" s="317" t="s">
        <v>705</v>
      </c>
      <c r="E62" s="326">
        <f>382.5</f>
        <v>382.5</v>
      </c>
      <c r="F62" s="326">
        <f>主要材料预算!$D$20</f>
        <v>5.77</v>
      </c>
      <c r="G62" s="329">
        <f t="shared" si="5"/>
        <v>2207.025</v>
      </c>
    </row>
    <row r="63" customHeight="1" spans="1:7">
      <c r="A63" s="314" t="s">
        <v>19</v>
      </c>
      <c r="B63" s="327" t="s">
        <v>511</v>
      </c>
      <c r="C63" s="328"/>
      <c r="D63" s="317"/>
      <c r="E63" s="326"/>
      <c r="F63" s="326"/>
      <c r="G63" s="329">
        <f>SUM(G64:G65)</f>
        <v>8201.2</v>
      </c>
    </row>
    <row r="64" customHeight="1" spans="1:7">
      <c r="A64" s="314"/>
      <c r="B64" s="327" t="s">
        <v>688</v>
      </c>
      <c r="C64" s="328"/>
      <c r="D64" s="317" t="s">
        <v>70</v>
      </c>
      <c r="E64" s="326">
        <v>116</v>
      </c>
      <c r="F64" s="326">
        <f>主要材料预算!$M$10</f>
        <v>70</v>
      </c>
      <c r="G64" s="329">
        <f t="shared" si="5"/>
        <v>8120</v>
      </c>
    </row>
    <row r="65" customHeight="1" spans="1:7">
      <c r="A65" s="314"/>
      <c r="B65" s="327" t="s">
        <v>893</v>
      </c>
      <c r="C65" s="328"/>
      <c r="D65" s="317" t="s">
        <v>894</v>
      </c>
      <c r="E65" s="147">
        <f>SUM(G64:G64)</f>
        <v>8120</v>
      </c>
      <c r="F65" s="326">
        <v>1</v>
      </c>
      <c r="G65" s="329">
        <f>E65*F65/100</f>
        <v>81.2</v>
      </c>
    </row>
    <row r="66" customHeight="1" spans="1:7">
      <c r="A66" s="314" t="s">
        <v>21</v>
      </c>
      <c r="B66" s="327" t="s">
        <v>895</v>
      </c>
      <c r="C66" s="328"/>
      <c r="D66" s="317"/>
      <c r="E66" s="147"/>
      <c r="F66" s="326"/>
      <c r="G66" s="329">
        <f>SUM(G67:G67)</f>
        <v>63.6769206222577</v>
      </c>
    </row>
    <row r="67" customHeight="1" spans="1:7">
      <c r="A67" s="314"/>
      <c r="B67" s="327" t="s">
        <v>901</v>
      </c>
      <c r="C67" s="328"/>
      <c r="D67" s="317" t="s">
        <v>896</v>
      </c>
      <c r="E67" s="147">
        <v>78.3</v>
      </c>
      <c r="F67" s="326">
        <f>施工机械台时费!$E$36</f>
        <v>0.813242919824491</v>
      </c>
      <c r="G67" s="329">
        <f t="shared" ref="G67:G70" si="6">E67*F67</f>
        <v>63.6769206222577</v>
      </c>
    </row>
    <row r="68" customHeight="1" spans="1:7">
      <c r="A68" s="314" t="s">
        <v>905</v>
      </c>
      <c r="B68" s="327" t="s">
        <v>514</v>
      </c>
      <c r="C68" s="328"/>
      <c r="D68" s="317"/>
      <c r="E68" s="332">
        <f>G59</f>
        <v>11972.0219206223</v>
      </c>
      <c r="F68" s="333">
        <f>费率表!$E$12</f>
        <v>0.064</v>
      </c>
      <c r="G68" s="329">
        <f t="shared" si="6"/>
        <v>766.209402919825</v>
      </c>
    </row>
    <row r="69" customHeight="1" spans="1:7">
      <c r="A69" s="314" t="s">
        <v>10</v>
      </c>
      <c r="B69" s="327" t="s">
        <v>770</v>
      </c>
      <c r="C69" s="328"/>
      <c r="D69" s="317"/>
      <c r="E69" s="326">
        <f>G58</f>
        <v>12738.2313235421</v>
      </c>
      <c r="F69" s="334">
        <f>费率表!$E$13</f>
        <v>0.085</v>
      </c>
      <c r="G69" s="329">
        <f t="shared" si="6"/>
        <v>1082.74966250108</v>
      </c>
    </row>
    <row r="70" customHeight="1" spans="1:7">
      <c r="A70" s="314" t="s">
        <v>12</v>
      </c>
      <c r="B70" s="327" t="s">
        <v>771</v>
      </c>
      <c r="C70" s="328"/>
      <c r="D70" s="317"/>
      <c r="E70" s="326">
        <f>G58+G69</f>
        <v>13820.9809860432</v>
      </c>
      <c r="F70" s="334">
        <f>费率表!$E$14</f>
        <v>0.07</v>
      </c>
      <c r="G70" s="329">
        <f t="shared" si="6"/>
        <v>967.468669023021</v>
      </c>
    </row>
    <row r="71" customHeight="1" spans="1:7">
      <c r="A71" s="314" t="s">
        <v>15</v>
      </c>
      <c r="B71" s="327" t="s">
        <v>517</v>
      </c>
      <c r="C71" s="328"/>
      <c r="D71" s="317"/>
      <c r="E71" s="326"/>
      <c r="F71" s="349"/>
      <c r="G71" s="329">
        <f>SUM(G72:G72)</f>
        <v>5581.13352</v>
      </c>
    </row>
    <row r="72" customHeight="1" spans="1:7">
      <c r="A72" s="314"/>
      <c r="B72" s="327" t="s">
        <v>688</v>
      </c>
      <c r="C72" s="328"/>
      <c r="D72" s="317" t="s">
        <v>70</v>
      </c>
      <c r="E72" s="326">
        <f>E64</f>
        <v>116</v>
      </c>
      <c r="F72" s="357">
        <f>主要材料预算!$N$10</f>
        <v>48.11322</v>
      </c>
      <c r="G72" s="329">
        <f t="shared" ref="G72:G74" si="7">E72*F72</f>
        <v>5581.13352</v>
      </c>
    </row>
    <row r="73" customHeight="1" spans="1:7">
      <c r="A73" s="314" t="s">
        <v>906</v>
      </c>
      <c r="B73" s="327" t="s">
        <v>772</v>
      </c>
      <c r="C73" s="328"/>
      <c r="D73" s="317"/>
      <c r="E73" s="326">
        <f>G58+G69++G70+G71</f>
        <v>20369.5831750662</v>
      </c>
      <c r="F73" s="334">
        <f>费率表!$E$15</f>
        <v>0.09</v>
      </c>
      <c r="G73" s="329">
        <f t="shared" si="7"/>
        <v>1833.26248575596</v>
      </c>
    </row>
    <row r="74" customHeight="1" spans="1:7">
      <c r="A74" s="314"/>
      <c r="B74" s="327" t="s">
        <v>907</v>
      </c>
      <c r="C74" s="328"/>
      <c r="D74" s="317"/>
      <c r="E74" s="326">
        <f>G58+G69+G70+G71+G73</f>
        <v>22202.8456608222</v>
      </c>
      <c r="F74" s="334">
        <f>费率表!$I$19</f>
        <v>0.03</v>
      </c>
      <c r="G74" s="329">
        <f t="shared" si="7"/>
        <v>666.085369824665</v>
      </c>
    </row>
    <row r="75" customHeight="1" spans="1:7">
      <c r="A75" s="335"/>
      <c r="B75" s="336" t="s">
        <v>39</v>
      </c>
      <c r="C75" s="337"/>
      <c r="D75" s="338"/>
      <c r="E75" s="339"/>
      <c r="F75" s="338"/>
      <c r="G75" s="340">
        <f>G58+G69+G70+G71+G73+G74</f>
        <v>22868.9310306468</v>
      </c>
    </row>
    <row r="77" customHeight="1" spans="1:7">
      <c r="A77" s="352" t="s">
        <v>868</v>
      </c>
      <c r="B77" s="352"/>
      <c r="C77" s="352"/>
      <c r="D77" s="352"/>
      <c r="E77" s="352"/>
      <c r="F77" s="352"/>
      <c r="G77" s="352"/>
    </row>
    <row r="78" customHeight="1" spans="1:7">
      <c r="A78" s="309" t="s">
        <v>869</v>
      </c>
      <c r="B78" s="310"/>
      <c r="C78" s="310" t="s">
        <v>27</v>
      </c>
      <c r="D78" s="310" t="s">
        <v>870</v>
      </c>
      <c r="E78" s="311" t="s">
        <v>1108</v>
      </c>
      <c r="F78" s="312"/>
      <c r="G78" s="313"/>
    </row>
    <row r="79" customHeight="1" spans="1:7">
      <c r="A79" s="314" t="s">
        <v>507</v>
      </c>
      <c r="B79" s="315"/>
      <c r="C79" s="316" t="s">
        <v>1109</v>
      </c>
      <c r="D79" s="316"/>
      <c r="E79" s="316"/>
      <c r="F79" s="317" t="s">
        <v>873</v>
      </c>
      <c r="G79" s="318" t="s">
        <v>874</v>
      </c>
    </row>
    <row r="80" customHeight="1" spans="1:7">
      <c r="A80" s="319" t="s">
        <v>875</v>
      </c>
      <c r="B80" s="320"/>
      <c r="C80" s="320"/>
      <c r="D80" s="320"/>
      <c r="E80" s="320"/>
      <c r="F80" s="320"/>
      <c r="G80" s="321"/>
    </row>
    <row r="81" customHeight="1" spans="1:7">
      <c r="A81" s="322" t="s">
        <v>1107</v>
      </c>
      <c r="B81" s="323"/>
      <c r="C81" s="324"/>
      <c r="D81" s="324"/>
      <c r="E81" s="324"/>
      <c r="F81" s="324"/>
      <c r="G81" s="325"/>
    </row>
    <row r="82" customHeight="1" spans="1:7">
      <c r="A82" s="314" t="s">
        <v>34</v>
      </c>
      <c r="B82" s="317" t="s">
        <v>761</v>
      </c>
      <c r="C82" s="317"/>
      <c r="D82" s="317" t="s">
        <v>60</v>
      </c>
      <c r="E82" s="326" t="s">
        <v>877</v>
      </c>
      <c r="F82" s="317" t="s">
        <v>878</v>
      </c>
      <c r="G82" s="318" t="s">
        <v>879</v>
      </c>
    </row>
    <row r="83" customHeight="1" spans="1:7">
      <c r="A83" s="314" t="s">
        <v>8</v>
      </c>
      <c r="B83" s="327" t="s">
        <v>880</v>
      </c>
      <c r="C83" s="328"/>
      <c r="D83" s="317"/>
      <c r="E83" s="326"/>
      <c r="F83" s="326"/>
      <c r="G83" s="329">
        <f>G84+G93</f>
        <v>12192.1971635421</v>
      </c>
    </row>
    <row r="84" customHeight="1" spans="1:7">
      <c r="A84" s="314" t="s">
        <v>881</v>
      </c>
      <c r="B84" s="327" t="s">
        <v>882</v>
      </c>
      <c r="C84" s="328"/>
      <c r="D84" s="317"/>
      <c r="E84" s="326"/>
      <c r="F84" s="326"/>
      <c r="G84" s="329">
        <f>G85+G88+G91</f>
        <v>11458.8319206223</v>
      </c>
    </row>
    <row r="85" customHeight="1" spans="1:7">
      <c r="A85" s="314" t="s">
        <v>17</v>
      </c>
      <c r="B85" s="327" t="s">
        <v>510</v>
      </c>
      <c r="C85" s="328"/>
      <c r="D85" s="317"/>
      <c r="E85" s="326"/>
      <c r="F85" s="326"/>
      <c r="G85" s="329">
        <f>SUM(G86:G87)</f>
        <v>3193.955</v>
      </c>
    </row>
    <row r="86" customHeight="1" spans="1:7">
      <c r="A86" s="314"/>
      <c r="B86" s="327" t="s">
        <v>704</v>
      </c>
      <c r="C86" s="328"/>
      <c r="D86" s="317" t="s">
        <v>705</v>
      </c>
      <c r="E86" s="326">
        <v>148.2</v>
      </c>
      <c r="F86" s="326">
        <f>主要材料预算!$D$19</f>
        <v>8.1</v>
      </c>
      <c r="G86" s="329">
        <f t="shared" ref="G86:G89" si="8">E86*F86</f>
        <v>1200.42</v>
      </c>
    </row>
    <row r="87" customHeight="1" spans="1:7">
      <c r="A87" s="314"/>
      <c r="B87" s="327" t="s">
        <v>706</v>
      </c>
      <c r="C87" s="328"/>
      <c r="D87" s="317" t="s">
        <v>705</v>
      </c>
      <c r="E87" s="326">
        <v>345.5</v>
      </c>
      <c r="F87" s="326">
        <f>主要材料预算!$D$20</f>
        <v>5.77</v>
      </c>
      <c r="G87" s="329">
        <f t="shared" si="8"/>
        <v>1993.535</v>
      </c>
    </row>
    <row r="88" customHeight="1" spans="1:7">
      <c r="A88" s="314" t="s">
        <v>19</v>
      </c>
      <c r="B88" s="327" t="s">
        <v>511</v>
      </c>
      <c r="C88" s="328"/>
      <c r="D88" s="317"/>
      <c r="E88" s="326"/>
      <c r="F88" s="326"/>
      <c r="G88" s="329">
        <f>SUM(G89:G90)</f>
        <v>8201.2</v>
      </c>
    </row>
    <row r="89" customHeight="1" spans="1:7">
      <c r="A89" s="314"/>
      <c r="B89" s="327" t="s">
        <v>688</v>
      </c>
      <c r="C89" s="328"/>
      <c r="D89" s="317" t="s">
        <v>70</v>
      </c>
      <c r="E89" s="326">
        <v>116</v>
      </c>
      <c r="F89" s="326">
        <f>主要材料预算!$M$10</f>
        <v>70</v>
      </c>
      <c r="G89" s="329">
        <f t="shared" si="8"/>
        <v>8120</v>
      </c>
    </row>
    <row r="90" customHeight="1" spans="1:7">
      <c r="A90" s="314"/>
      <c r="B90" s="327" t="s">
        <v>893</v>
      </c>
      <c r="C90" s="328"/>
      <c r="D90" s="317" t="s">
        <v>894</v>
      </c>
      <c r="E90" s="147">
        <f>SUM(G89:G89)</f>
        <v>8120</v>
      </c>
      <c r="F90" s="326">
        <v>1</v>
      </c>
      <c r="G90" s="329">
        <f>E90*F90/100</f>
        <v>81.2</v>
      </c>
    </row>
    <row r="91" customHeight="1" spans="1:7">
      <c r="A91" s="314" t="s">
        <v>21</v>
      </c>
      <c r="B91" s="327" t="s">
        <v>895</v>
      </c>
      <c r="C91" s="328"/>
      <c r="D91" s="317"/>
      <c r="E91" s="147"/>
      <c r="F91" s="326"/>
      <c r="G91" s="329">
        <f>SUM(G92:G92)</f>
        <v>63.6769206222577</v>
      </c>
    </row>
    <row r="92" customHeight="1" spans="1:7">
      <c r="A92" s="314"/>
      <c r="B92" s="327" t="s">
        <v>901</v>
      </c>
      <c r="C92" s="328"/>
      <c r="D92" s="317" t="s">
        <v>896</v>
      </c>
      <c r="E92" s="147">
        <v>78.3</v>
      </c>
      <c r="F92" s="326">
        <f>施工机械台时费!$E$36</f>
        <v>0.813242919824491</v>
      </c>
      <c r="G92" s="329">
        <f t="shared" ref="G92:G95" si="9">E92*F92</f>
        <v>63.6769206222577</v>
      </c>
    </row>
    <row r="93" customHeight="1" spans="1:7">
      <c r="A93" s="314" t="s">
        <v>905</v>
      </c>
      <c r="B93" s="327" t="s">
        <v>514</v>
      </c>
      <c r="C93" s="328"/>
      <c r="D93" s="317"/>
      <c r="E93" s="332">
        <f>G84</f>
        <v>11458.8319206223</v>
      </c>
      <c r="F93" s="333">
        <f>费率表!$E$12</f>
        <v>0.064</v>
      </c>
      <c r="G93" s="329">
        <f t="shared" si="9"/>
        <v>733.365242919825</v>
      </c>
    </row>
    <row r="94" customHeight="1" spans="1:7">
      <c r="A94" s="314" t="s">
        <v>10</v>
      </c>
      <c r="B94" s="327" t="s">
        <v>770</v>
      </c>
      <c r="C94" s="328"/>
      <c r="D94" s="317"/>
      <c r="E94" s="326">
        <f>G83</f>
        <v>12192.1971635421</v>
      </c>
      <c r="F94" s="334">
        <f>费率表!$E$13</f>
        <v>0.085</v>
      </c>
      <c r="G94" s="329">
        <f t="shared" si="9"/>
        <v>1036.33675890108</v>
      </c>
    </row>
    <row r="95" customHeight="1" spans="1:7">
      <c r="A95" s="314" t="s">
        <v>12</v>
      </c>
      <c r="B95" s="327" t="s">
        <v>771</v>
      </c>
      <c r="C95" s="328"/>
      <c r="D95" s="317"/>
      <c r="E95" s="326">
        <f>G83+G94</f>
        <v>13228.5339224432</v>
      </c>
      <c r="F95" s="334">
        <f>费率表!$E$14</f>
        <v>0.07</v>
      </c>
      <c r="G95" s="329">
        <f t="shared" si="9"/>
        <v>925.997374571021</v>
      </c>
    </row>
    <row r="96" customHeight="1" spans="1:7">
      <c r="A96" s="314" t="s">
        <v>15</v>
      </c>
      <c r="B96" s="327" t="s">
        <v>517</v>
      </c>
      <c r="C96" s="328"/>
      <c r="D96" s="317"/>
      <c r="E96" s="326"/>
      <c r="F96" s="349"/>
      <c r="G96" s="329">
        <f>SUM(G97:G97)</f>
        <v>5581.13352</v>
      </c>
    </row>
    <row r="97" customHeight="1" spans="1:7">
      <c r="A97" s="314"/>
      <c r="B97" s="327" t="s">
        <v>688</v>
      </c>
      <c r="C97" s="328"/>
      <c r="D97" s="317" t="s">
        <v>70</v>
      </c>
      <c r="E97" s="326">
        <f>E89</f>
        <v>116</v>
      </c>
      <c r="F97" s="357">
        <f>主要材料预算!$N$10</f>
        <v>48.11322</v>
      </c>
      <c r="G97" s="329">
        <f t="shared" ref="G97:G99" si="10">E97*F97</f>
        <v>5581.13352</v>
      </c>
    </row>
    <row r="98" customHeight="1" spans="1:7">
      <c r="A98" s="314" t="s">
        <v>906</v>
      </c>
      <c r="B98" s="327" t="s">
        <v>772</v>
      </c>
      <c r="C98" s="328"/>
      <c r="D98" s="317"/>
      <c r="E98" s="326">
        <f>G83+G94++G95+G96</f>
        <v>19735.6648170142</v>
      </c>
      <c r="F98" s="334">
        <f>费率表!$E$15</f>
        <v>0.09</v>
      </c>
      <c r="G98" s="329">
        <f t="shared" si="10"/>
        <v>1776.20983353128</v>
      </c>
    </row>
    <row r="99" customHeight="1" spans="1:7">
      <c r="A99" s="314"/>
      <c r="B99" s="327" t="s">
        <v>907</v>
      </c>
      <c r="C99" s="328"/>
      <c r="D99" s="317"/>
      <c r="E99" s="326">
        <f>G83+G94+G95+G96+G98</f>
        <v>21511.8746505455</v>
      </c>
      <c r="F99" s="334">
        <f>费率表!$I$19</f>
        <v>0.03</v>
      </c>
      <c r="G99" s="329">
        <f t="shared" si="10"/>
        <v>645.356239516364</v>
      </c>
    </row>
    <row r="100" customHeight="1" spans="1:7">
      <c r="A100" s="335"/>
      <c r="B100" s="336" t="s">
        <v>39</v>
      </c>
      <c r="C100" s="337"/>
      <c r="D100" s="338"/>
      <c r="E100" s="339"/>
      <c r="F100" s="338"/>
      <c r="G100" s="340">
        <f>G83+G94+G95+G96+G98+G99</f>
        <v>22157.2308900618</v>
      </c>
    </row>
    <row r="102" customHeight="1" spans="1:7">
      <c r="A102" s="352" t="s">
        <v>868</v>
      </c>
      <c r="B102" s="352"/>
      <c r="C102" s="352"/>
      <c r="D102" s="352"/>
      <c r="E102" s="352"/>
      <c r="F102" s="352"/>
      <c r="G102" s="352"/>
    </row>
    <row r="103" customHeight="1" spans="1:7">
      <c r="A103" s="309" t="s">
        <v>869</v>
      </c>
      <c r="B103" s="310"/>
      <c r="C103" s="310" t="s">
        <v>27</v>
      </c>
      <c r="D103" s="310" t="s">
        <v>870</v>
      </c>
      <c r="E103" s="311" t="s">
        <v>1110</v>
      </c>
      <c r="F103" s="312"/>
      <c r="G103" s="313"/>
    </row>
    <row r="104" customHeight="1" spans="1:7">
      <c r="A104" s="314" t="s">
        <v>507</v>
      </c>
      <c r="B104" s="315"/>
      <c r="C104" s="316" t="s">
        <v>1109</v>
      </c>
      <c r="D104" s="316"/>
      <c r="E104" s="316"/>
      <c r="F104" s="317" t="s">
        <v>873</v>
      </c>
      <c r="G104" s="318" t="s">
        <v>874</v>
      </c>
    </row>
    <row r="105" customHeight="1" spans="1:7">
      <c r="A105" s="319" t="s">
        <v>875</v>
      </c>
      <c r="B105" s="320"/>
      <c r="C105" s="320"/>
      <c r="D105" s="320"/>
      <c r="E105" s="320"/>
      <c r="F105" s="320"/>
      <c r="G105" s="321"/>
    </row>
    <row r="106" customHeight="1" spans="1:7">
      <c r="A106" s="322" t="s">
        <v>1107</v>
      </c>
      <c r="B106" s="323"/>
      <c r="C106" s="324"/>
      <c r="D106" s="324"/>
      <c r="E106" s="324"/>
      <c r="F106" s="324"/>
      <c r="G106" s="325"/>
    </row>
    <row r="107" customHeight="1" spans="1:7">
      <c r="A107" s="314" t="s">
        <v>34</v>
      </c>
      <c r="B107" s="317" t="s">
        <v>761</v>
      </c>
      <c r="C107" s="317"/>
      <c r="D107" s="317" t="s">
        <v>60</v>
      </c>
      <c r="E107" s="326" t="s">
        <v>877</v>
      </c>
      <c r="F107" s="317" t="s">
        <v>878</v>
      </c>
      <c r="G107" s="318" t="s">
        <v>879</v>
      </c>
    </row>
    <row r="108" customHeight="1" spans="1:7">
      <c r="A108" s="314" t="s">
        <v>8</v>
      </c>
      <c r="B108" s="327" t="s">
        <v>880</v>
      </c>
      <c r="C108" s="328"/>
      <c r="D108" s="317"/>
      <c r="E108" s="326"/>
      <c r="F108" s="326"/>
      <c r="G108" s="329">
        <f>G109+G118</f>
        <v>12600.0013379421</v>
      </c>
    </row>
    <row r="109" customHeight="1" spans="1:7">
      <c r="A109" s="314" t="s">
        <v>881</v>
      </c>
      <c r="B109" s="327" t="s">
        <v>882</v>
      </c>
      <c r="C109" s="328"/>
      <c r="D109" s="317"/>
      <c r="E109" s="326"/>
      <c r="F109" s="326"/>
      <c r="G109" s="329">
        <f>G110+G113+G116</f>
        <v>11842.1065206223</v>
      </c>
    </row>
    <row r="110" customHeight="1" spans="1:7">
      <c r="A110" s="314" t="s">
        <v>17</v>
      </c>
      <c r="B110" s="327" t="s">
        <v>510</v>
      </c>
      <c r="C110" s="328"/>
      <c r="D110" s="317"/>
      <c r="E110" s="326"/>
      <c r="F110" s="326"/>
      <c r="G110" s="329">
        <f>SUM(G111:G112)</f>
        <v>3577.2296</v>
      </c>
    </row>
    <row r="111" customHeight="1" spans="1:7">
      <c r="A111" s="314"/>
      <c r="B111" s="327" t="s">
        <v>704</v>
      </c>
      <c r="C111" s="328"/>
      <c r="D111" s="317" t="s">
        <v>705</v>
      </c>
      <c r="E111" s="326">
        <f>148.2*1.12</f>
        <v>165.984</v>
      </c>
      <c r="F111" s="326">
        <f>主要材料预算!$D$19</f>
        <v>8.1</v>
      </c>
      <c r="G111" s="329">
        <f t="shared" ref="G111:G114" si="11">E111*F111</f>
        <v>1344.4704</v>
      </c>
    </row>
    <row r="112" customHeight="1" spans="1:7">
      <c r="A112" s="314"/>
      <c r="B112" s="327" t="s">
        <v>706</v>
      </c>
      <c r="C112" s="328"/>
      <c r="D112" s="317" t="s">
        <v>705</v>
      </c>
      <c r="E112" s="326">
        <f>345.5*1.12</f>
        <v>386.96</v>
      </c>
      <c r="F112" s="326">
        <f>主要材料预算!$D$20</f>
        <v>5.77</v>
      </c>
      <c r="G112" s="329">
        <f t="shared" si="11"/>
        <v>2232.7592</v>
      </c>
    </row>
    <row r="113" customHeight="1" spans="1:7">
      <c r="A113" s="314" t="s">
        <v>19</v>
      </c>
      <c r="B113" s="327" t="s">
        <v>511</v>
      </c>
      <c r="C113" s="328"/>
      <c r="D113" s="317"/>
      <c r="E113" s="326"/>
      <c r="F113" s="326"/>
      <c r="G113" s="329">
        <f>SUM(G114:G115)</f>
        <v>8201.2</v>
      </c>
    </row>
    <row r="114" customHeight="1" spans="1:7">
      <c r="A114" s="314"/>
      <c r="B114" s="327" t="s">
        <v>688</v>
      </c>
      <c r="C114" s="328"/>
      <c r="D114" s="317" t="s">
        <v>70</v>
      </c>
      <c r="E114" s="326">
        <v>116</v>
      </c>
      <c r="F114" s="326">
        <f>主要材料预算!$M$10</f>
        <v>70</v>
      </c>
      <c r="G114" s="329">
        <f t="shared" si="11"/>
        <v>8120</v>
      </c>
    </row>
    <row r="115" customHeight="1" spans="1:7">
      <c r="A115" s="314"/>
      <c r="B115" s="327" t="s">
        <v>893</v>
      </c>
      <c r="C115" s="328"/>
      <c r="D115" s="317" t="s">
        <v>894</v>
      </c>
      <c r="E115" s="147">
        <f>SUM(G114:G114)</f>
        <v>8120</v>
      </c>
      <c r="F115" s="326">
        <v>1</v>
      </c>
      <c r="G115" s="329">
        <f>E115*F115/100</f>
        <v>81.2</v>
      </c>
    </row>
    <row r="116" customHeight="1" spans="1:7">
      <c r="A116" s="314" t="s">
        <v>21</v>
      </c>
      <c r="B116" s="327" t="s">
        <v>895</v>
      </c>
      <c r="C116" s="328"/>
      <c r="D116" s="317"/>
      <c r="E116" s="147"/>
      <c r="F116" s="326"/>
      <c r="G116" s="329">
        <f>SUM(G117:G117)</f>
        <v>63.6769206222577</v>
      </c>
    </row>
    <row r="117" customHeight="1" spans="1:7">
      <c r="A117" s="314"/>
      <c r="B117" s="327" t="s">
        <v>901</v>
      </c>
      <c r="C117" s="328"/>
      <c r="D117" s="317" t="s">
        <v>896</v>
      </c>
      <c r="E117" s="147">
        <v>78.3</v>
      </c>
      <c r="F117" s="326">
        <f>施工机械台时费!$E$36</f>
        <v>0.813242919824491</v>
      </c>
      <c r="G117" s="329">
        <f t="shared" ref="G117:G120" si="12">E117*F117</f>
        <v>63.6769206222577</v>
      </c>
    </row>
    <row r="118" customHeight="1" spans="1:7">
      <c r="A118" s="314" t="s">
        <v>905</v>
      </c>
      <c r="B118" s="327" t="s">
        <v>514</v>
      </c>
      <c r="C118" s="328"/>
      <c r="D118" s="317"/>
      <c r="E118" s="332">
        <f>G109</f>
        <v>11842.1065206223</v>
      </c>
      <c r="F118" s="333">
        <f>费率表!$E$12</f>
        <v>0.064</v>
      </c>
      <c r="G118" s="329">
        <f t="shared" si="12"/>
        <v>757.894817319824</v>
      </c>
    </row>
    <row r="119" customHeight="1" spans="1:7">
      <c r="A119" s="314" t="s">
        <v>10</v>
      </c>
      <c r="B119" s="327" t="s">
        <v>770</v>
      </c>
      <c r="C119" s="328"/>
      <c r="D119" s="317"/>
      <c r="E119" s="326">
        <f>G108</f>
        <v>12600.0013379421</v>
      </c>
      <c r="F119" s="334">
        <f>费率表!$E$13</f>
        <v>0.085</v>
      </c>
      <c r="G119" s="329">
        <f t="shared" si="12"/>
        <v>1071.00011372508</v>
      </c>
    </row>
    <row r="120" customHeight="1" spans="1:7">
      <c r="A120" s="314" t="s">
        <v>12</v>
      </c>
      <c r="B120" s="327" t="s">
        <v>771</v>
      </c>
      <c r="C120" s="328"/>
      <c r="D120" s="317"/>
      <c r="E120" s="326">
        <f>G108+G119</f>
        <v>13671.0014516672</v>
      </c>
      <c r="F120" s="334">
        <f>费率表!$E$14</f>
        <v>0.07</v>
      </c>
      <c r="G120" s="329">
        <f t="shared" si="12"/>
        <v>956.970101616701</v>
      </c>
    </row>
    <row r="121" customHeight="1" spans="1:7">
      <c r="A121" s="314" t="s">
        <v>15</v>
      </c>
      <c r="B121" s="327" t="s">
        <v>517</v>
      </c>
      <c r="C121" s="328"/>
      <c r="D121" s="317"/>
      <c r="E121" s="326"/>
      <c r="F121" s="349"/>
      <c r="G121" s="329">
        <f>SUM(G122:G122)</f>
        <v>5581.13352</v>
      </c>
    </row>
    <row r="122" customHeight="1" spans="1:7">
      <c r="A122" s="314"/>
      <c r="B122" s="327" t="s">
        <v>688</v>
      </c>
      <c r="C122" s="328"/>
      <c r="D122" s="317" t="s">
        <v>70</v>
      </c>
      <c r="E122" s="326">
        <f>E114</f>
        <v>116</v>
      </c>
      <c r="F122" s="357">
        <f>主要材料预算!$N$10</f>
        <v>48.11322</v>
      </c>
      <c r="G122" s="329">
        <f t="shared" ref="G122:G124" si="13">E122*F122</f>
        <v>5581.13352</v>
      </c>
    </row>
    <row r="123" customHeight="1" spans="1:7">
      <c r="A123" s="314" t="s">
        <v>906</v>
      </c>
      <c r="B123" s="327" t="s">
        <v>772</v>
      </c>
      <c r="C123" s="328"/>
      <c r="D123" s="317"/>
      <c r="E123" s="326">
        <f>G108+G119++G120+G121</f>
        <v>20209.1050732839</v>
      </c>
      <c r="F123" s="334">
        <f>费率表!$E$15</f>
        <v>0.09</v>
      </c>
      <c r="G123" s="329">
        <f t="shared" si="13"/>
        <v>1818.81945659555</v>
      </c>
    </row>
    <row r="124" customHeight="1" spans="1:7">
      <c r="A124" s="314"/>
      <c r="B124" s="327" t="s">
        <v>907</v>
      </c>
      <c r="C124" s="328"/>
      <c r="D124" s="317"/>
      <c r="E124" s="326">
        <f>G108+G119+G120+G121+G123</f>
        <v>22027.9245298794</v>
      </c>
      <c r="F124" s="334">
        <f>费率表!$I$19</f>
        <v>0.03</v>
      </c>
      <c r="G124" s="329">
        <f t="shared" si="13"/>
        <v>660.837735896383</v>
      </c>
    </row>
    <row r="125" customHeight="1" spans="1:7">
      <c r="A125" s="335"/>
      <c r="B125" s="336" t="s">
        <v>39</v>
      </c>
      <c r="C125" s="337"/>
      <c r="D125" s="338"/>
      <c r="E125" s="339"/>
      <c r="F125" s="338"/>
      <c r="G125" s="340">
        <f>G108+G119+G120+G121+G123+G124</f>
        <v>22688.7622657758</v>
      </c>
    </row>
    <row r="128" customHeight="1" spans="1:7">
      <c r="A128" s="352" t="s">
        <v>868</v>
      </c>
      <c r="B128" s="352"/>
      <c r="C128" s="352"/>
      <c r="D128" s="352"/>
      <c r="E128" s="352"/>
      <c r="F128" s="352"/>
      <c r="G128" s="352"/>
    </row>
    <row r="129" customHeight="1" spans="1:7">
      <c r="A129" s="309" t="s">
        <v>869</v>
      </c>
      <c r="B129" s="310"/>
      <c r="C129" s="310" t="s">
        <v>19</v>
      </c>
      <c r="D129" s="310" t="s">
        <v>870</v>
      </c>
      <c r="E129" s="311" t="s">
        <v>1111</v>
      </c>
      <c r="F129" s="312"/>
      <c r="G129" s="313"/>
    </row>
    <row r="130" customHeight="1" spans="1:7">
      <c r="A130" s="314" t="s">
        <v>507</v>
      </c>
      <c r="B130" s="315"/>
      <c r="C130" s="316" t="s">
        <v>1112</v>
      </c>
      <c r="D130" s="316"/>
      <c r="E130" s="316"/>
      <c r="F130" s="317" t="s">
        <v>873</v>
      </c>
      <c r="G130" s="318" t="s">
        <v>874</v>
      </c>
    </row>
    <row r="131" customHeight="1" spans="1:7">
      <c r="A131" s="319" t="s">
        <v>875</v>
      </c>
      <c r="B131" s="320"/>
      <c r="C131" s="320"/>
      <c r="D131" s="320"/>
      <c r="E131" s="320"/>
      <c r="F131" s="320"/>
      <c r="G131" s="321"/>
    </row>
    <row r="132" customHeight="1" spans="1:7">
      <c r="A132" s="322" t="s">
        <v>876</v>
      </c>
      <c r="B132" s="323"/>
      <c r="C132" s="324"/>
      <c r="D132" s="324"/>
      <c r="E132" s="324"/>
      <c r="F132" s="324"/>
      <c r="G132" s="325"/>
    </row>
    <row r="133" customHeight="1" spans="1:7">
      <c r="A133" s="314" t="s">
        <v>34</v>
      </c>
      <c r="B133" s="317" t="s">
        <v>761</v>
      </c>
      <c r="C133" s="317"/>
      <c r="D133" s="317" t="s">
        <v>60</v>
      </c>
      <c r="E133" s="326" t="s">
        <v>877</v>
      </c>
      <c r="F133" s="317" t="s">
        <v>878</v>
      </c>
      <c r="G133" s="318" t="s">
        <v>879</v>
      </c>
    </row>
    <row r="134" customHeight="1" spans="1:7">
      <c r="A134" s="314" t="s">
        <v>8</v>
      </c>
      <c r="B134" s="327" t="s">
        <v>880</v>
      </c>
      <c r="C134" s="328"/>
      <c r="D134" s="317"/>
      <c r="E134" s="326"/>
      <c r="F134" s="326"/>
      <c r="G134" s="329">
        <f>G135+G146</f>
        <v>20015.2082184478</v>
      </c>
    </row>
    <row r="135" customHeight="1" spans="1:7">
      <c r="A135" s="314" t="s">
        <v>881</v>
      </c>
      <c r="B135" s="327" t="s">
        <v>882</v>
      </c>
      <c r="C135" s="328"/>
      <c r="D135" s="317"/>
      <c r="E135" s="326"/>
      <c r="F135" s="326"/>
      <c r="G135" s="329">
        <f>G136+G139+G143</f>
        <v>18811.2859195938</v>
      </c>
    </row>
    <row r="136" customHeight="1" spans="1:7">
      <c r="A136" s="314" t="s">
        <v>17</v>
      </c>
      <c r="B136" s="327" t="s">
        <v>510</v>
      </c>
      <c r="C136" s="328"/>
      <c r="D136" s="317"/>
      <c r="E136" s="326"/>
      <c r="F136" s="326"/>
      <c r="G136" s="329">
        <f>SUM(G137:G138)</f>
        <v>5684.856</v>
      </c>
    </row>
    <row r="137" customHeight="1" spans="1:7">
      <c r="A137" s="314"/>
      <c r="B137" s="327" t="s">
        <v>704</v>
      </c>
      <c r="C137" s="328"/>
      <c r="D137" s="317" t="s">
        <v>705</v>
      </c>
      <c r="E137" s="326">
        <v>362.9</v>
      </c>
      <c r="F137" s="326">
        <f>主要材料预算!$D$19</f>
        <v>8.1</v>
      </c>
      <c r="G137" s="329">
        <f t="shared" ref="G137:G141" si="14">E137*F137</f>
        <v>2939.49</v>
      </c>
    </row>
    <row r="138" customHeight="1" spans="1:7">
      <c r="A138" s="314"/>
      <c r="B138" s="327" t="s">
        <v>706</v>
      </c>
      <c r="C138" s="328"/>
      <c r="D138" s="317" t="s">
        <v>705</v>
      </c>
      <c r="E138" s="326">
        <v>475.8</v>
      </c>
      <c r="F138" s="326">
        <f>主要材料预算!$D$20</f>
        <v>5.77</v>
      </c>
      <c r="G138" s="329">
        <f t="shared" si="14"/>
        <v>2745.366</v>
      </c>
    </row>
    <row r="139" customHeight="1" spans="1:7">
      <c r="A139" s="314" t="s">
        <v>19</v>
      </c>
      <c r="B139" s="327" t="s">
        <v>511</v>
      </c>
      <c r="C139" s="328"/>
      <c r="D139" s="317"/>
      <c r="E139" s="326"/>
      <c r="F139" s="326"/>
      <c r="G139" s="329">
        <f>SUM(G140:G142)</f>
        <v>12759.767837025</v>
      </c>
    </row>
    <row r="140" customHeight="1" spans="1:7">
      <c r="A140" s="314"/>
      <c r="B140" s="327" t="s">
        <v>688</v>
      </c>
      <c r="C140" s="328"/>
      <c r="D140" s="317" t="s">
        <v>70</v>
      </c>
      <c r="E140" s="326">
        <v>113</v>
      </c>
      <c r="F140" s="326">
        <f>主要材料预算!$M$10</f>
        <v>70</v>
      </c>
      <c r="G140" s="329">
        <f t="shared" si="14"/>
        <v>7910</v>
      </c>
    </row>
    <row r="141" customHeight="1" spans="1:7">
      <c r="A141" s="314"/>
      <c r="B141" s="327" t="s">
        <v>1113</v>
      </c>
      <c r="C141" s="328"/>
      <c r="D141" s="317" t="s">
        <v>70</v>
      </c>
      <c r="E141" s="326">
        <v>35.3</v>
      </c>
      <c r="F141" s="326">
        <f>混凝土单价计算表!$M$13</f>
        <v>135.58885</v>
      </c>
      <c r="G141" s="329">
        <f t="shared" si="14"/>
        <v>4786.286405</v>
      </c>
    </row>
    <row r="142" customHeight="1" spans="1:7">
      <c r="A142" s="314"/>
      <c r="B142" s="327" t="s">
        <v>893</v>
      </c>
      <c r="C142" s="328"/>
      <c r="D142" s="317" t="s">
        <v>894</v>
      </c>
      <c r="E142" s="147">
        <f>SUM(G140:G141)</f>
        <v>12696.286405</v>
      </c>
      <c r="F142" s="330">
        <v>0.5</v>
      </c>
      <c r="G142" s="329">
        <f>E142*F142/100</f>
        <v>63.481432025</v>
      </c>
    </row>
    <row r="143" customHeight="1" spans="1:7">
      <c r="A143" s="314" t="s">
        <v>21</v>
      </c>
      <c r="B143" s="327" t="s">
        <v>895</v>
      </c>
      <c r="C143" s="328"/>
      <c r="D143" s="317"/>
      <c r="E143" s="147"/>
      <c r="F143" s="326"/>
      <c r="G143" s="329">
        <f>SUM(G144:G145)</f>
        <v>366.662082568807</v>
      </c>
    </row>
    <row r="144" customHeight="1" spans="1:7">
      <c r="A144" s="314"/>
      <c r="B144" s="327" t="s">
        <v>899</v>
      </c>
      <c r="C144" s="328"/>
      <c r="D144" s="317" t="s">
        <v>896</v>
      </c>
      <c r="E144" s="147">
        <v>6.35</v>
      </c>
      <c r="F144" s="326">
        <f>施工机械台时费!$E$21</f>
        <v>37.4199521340247</v>
      </c>
      <c r="G144" s="329">
        <f t="shared" ref="G144:G148" si="15">E144*F144</f>
        <v>237.616696051057</v>
      </c>
    </row>
    <row r="145" customHeight="1" spans="1:7">
      <c r="A145" s="314"/>
      <c r="B145" s="327" t="s">
        <v>901</v>
      </c>
      <c r="C145" s="328"/>
      <c r="D145" s="317" t="s">
        <v>896</v>
      </c>
      <c r="E145" s="147">
        <v>158.68</v>
      </c>
      <c r="F145" s="326">
        <f>施工机械台时费!E36</f>
        <v>0.813242919824491</v>
      </c>
      <c r="G145" s="329">
        <f t="shared" si="15"/>
        <v>129.04538651775</v>
      </c>
    </row>
    <row r="146" customHeight="1" spans="1:7">
      <c r="A146" s="314" t="s">
        <v>905</v>
      </c>
      <c r="B146" s="327" t="s">
        <v>514</v>
      </c>
      <c r="C146" s="328"/>
      <c r="D146" s="317"/>
      <c r="E146" s="332">
        <f>G135</f>
        <v>18811.2859195938</v>
      </c>
      <c r="F146" s="333">
        <f>费率表!$E$12</f>
        <v>0.064</v>
      </c>
      <c r="G146" s="329">
        <f t="shared" si="15"/>
        <v>1203.922298854</v>
      </c>
    </row>
    <row r="147" customHeight="1" spans="1:7">
      <c r="A147" s="314" t="s">
        <v>10</v>
      </c>
      <c r="B147" s="327" t="s">
        <v>770</v>
      </c>
      <c r="C147" s="328"/>
      <c r="D147" s="317"/>
      <c r="E147" s="326">
        <f>G134</f>
        <v>20015.2082184478</v>
      </c>
      <c r="F147" s="334">
        <f>费率表!$E$13</f>
        <v>0.085</v>
      </c>
      <c r="G147" s="329">
        <f t="shared" si="15"/>
        <v>1701.29269856806</v>
      </c>
    </row>
    <row r="148" customHeight="1" spans="1:7">
      <c r="A148" s="314" t="s">
        <v>12</v>
      </c>
      <c r="B148" s="327" t="s">
        <v>771</v>
      </c>
      <c r="C148" s="328"/>
      <c r="D148" s="317"/>
      <c r="E148" s="326">
        <f>G134+G147</f>
        <v>21716.5009170159</v>
      </c>
      <c r="F148" s="334">
        <f>费率表!$E$14</f>
        <v>0.07</v>
      </c>
      <c r="G148" s="329">
        <f t="shared" si="15"/>
        <v>1520.15506419111</v>
      </c>
    </row>
    <row r="149" customHeight="1" spans="1:7">
      <c r="A149" s="314" t="s">
        <v>15</v>
      </c>
      <c r="B149" s="327" t="s">
        <v>517</v>
      </c>
      <c r="C149" s="328"/>
      <c r="D149" s="317"/>
      <c r="E149" s="326"/>
      <c r="F149" s="349"/>
      <c r="G149" s="329">
        <f>SUM(G150:G152)</f>
        <v>6539.51568261732</v>
      </c>
    </row>
    <row r="150" customHeight="1" spans="1:7">
      <c r="A150" s="314"/>
      <c r="B150" s="327" t="s">
        <v>688</v>
      </c>
      <c r="C150" s="328"/>
      <c r="D150" s="317" t="s">
        <v>70</v>
      </c>
      <c r="E150" s="326">
        <f>E140</f>
        <v>113</v>
      </c>
      <c r="F150" s="357">
        <f>主要材料预算!N10</f>
        <v>48.11322</v>
      </c>
      <c r="G150" s="329">
        <f t="shared" ref="G150:G154" si="16">E150*F150</f>
        <v>5436.79386</v>
      </c>
    </row>
    <row r="151" customHeight="1" spans="1:7">
      <c r="A151" s="314"/>
      <c r="B151" s="327" t="s">
        <v>729</v>
      </c>
      <c r="C151" s="328"/>
      <c r="D151" s="317" t="s">
        <v>204</v>
      </c>
      <c r="E151" s="326">
        <f>E141*混凝土单价计算表!E13</f>
        <v>7.923438</v>
      </c>
      <c r="F151" s="357">
        <f>主要材料预算!N5</f>
        <v>139.17214</v>
      </c>
      <c r="G151" s="329">
        <f t="shared" si="16"/>
        <v>1102.72182261732</v>
      </c>
    </row>
    <row r="152" customHeight="1" spans="1:7">
      <c r="A152" s="314"/>
      <c r="B152" s="327" t="s">
        <v>684</v>
      </c>
      <c r="C152" s="328"/>
      <c r="D152" s="317" t="s">
        <v>70</v>
      </c>
      <c r="E152" s="326">
        <f>E141*混凝土单价计算表!$G$13</f>
        <v>39.183</v>
      </c>
      <c r="F152" s="329"/>
      <c r="G152" s="329">
        <f t="shared" si="16"/>
        <v>0</v>
      </c>
    </row>
    <row r="153" customHeight="1" spans="1:7">
      <c r="A153" s="314" t="s">
        <v>906</v>
      </c>
      <c r="B153" s="327" t="s">
        <v>772</v>
      </c>
      <c r="C153" s="328"/>
      <c r="D153" s="317"/>
      <c r="E153" s="326">
        <f>G134+G147++G148+G149</f>
        <v>29776.1716638243</v>
      </c>
      <c r="F153" s="334">
        <f>费率表!$E$15</f>
        <v>0.09</v>
      </c>
      <c r="G153" s="329">
        <f t="shared" si="16"/>
        <v>2679.85544974419</v>
      </c>
    </row>
    <row r="154" customHeight="1" spans="1:7">
      <c r="A154" s="314"/>
      <c r="B154" s="327" t="s">
        <v>907</v>
      </c>
      <c r="C154" s="328"/>
      <c r="D154" s="317"/>
      <c r="E154" s="326">
        <f>G134+G147+G148+G149+G153</f>
        <v>32456.0271135685</v>
      </c>
      <c r="F154" s="334">
        <f>费率表!$I$19</f>
        <v>0.03</v>
      </c>
      <c r="G154" s="329">
        <f t="shared" si="16"/>
        <v>973.680813407054</v>
      </c>
    </row>
    <row r="155" customHeight="1" spans="1:7">
      <c r="A155" s="335"/>
      <c r="B155" s="336" t="s">
        <v>39</v>
      </c>
      <c r="C155" s="337"/>
      <c r="D155" s="338"/>
      <c r="E155" s="339"/>
      <c r="F155" s="338"/>
      <c r="G155" s="340">
        <f>G134+G147+G148+G149+G153+G154</f>
        <v>33429.7079269755</v>
      </c>
    </row>
    <row r="157" customHeight="1" spans="1:7">
      <c r="A157" s="352" t="s">
        <v>868</v>
      </c>
      <c r="B157" s="352"/>
      <c r="C157" s="352"/>
      <c r="D157" s="352"/>
      <c r="E157" s="352"/>
      <c r="F157" s="352"/>
      <c r="G157" s="352"/>
    </row>
    <row r="158" customHeight="1" spans="1:7">
      <c r="A158" s="309" t="s">
        <v>869</v>
      </c>
      <c r="B158" s="310"/>
      <c r="C158" s="310" t="s">
        <v>21</v>
      </c>
      <c r="D158" s="310" t="s">
        <v>870</v>
      </c>
      <c r="E158" s="311" t="s">
        <v>1114</v>
      </c>
      <c r="F158" s="312"/>
      <c r="G158" s="313"/>
    </row>
    <row r="159" customHeight="1" spans="1:7">
      <c r="A159" s="314" t="s">
        <v>507</v>
      </c>
      <c r="B159" s="315"/>
      <c r="C159" s="316" t="s">
        <v>1115</v>
      </c>
      <c r="D159" s="316"/>
      <c r="E159" s="316"/>
      <c r="F159" s="317" t="s">
        <v>873</v>
      </c>
      <c r="G159" s="318" t="s">
        <v>874</v>
      </c>
    </row>
    <row r="160" customHeight="1" spans="1:7">
      <c r="A160" s="319" t="s">
        <v>875</v>
      </c>
      <c r="B160" s="320"/>
      <c r="C160" s="320"/>
      <c r="D160" s="320"/>
      <c r="E160" s="320"/>
      <c r="F160" s="320"/>
      <c r="G160" s="321"/>
    </row>
    <row r="161" customHeight="1" spans="1:7">
      <c r="A161" s="322" t="s">
        <v>876</v>
      </c>
      <c r="B161" s="323"/>
      <c r="C161" s="324"/>
      <c r="D161" s="324"/>
      <c r="E161" s="324"/>
      <c r="F161" s="324"/>
      <c r="G161" s="325"/>
    </row>
    <row r="162" customHeight="1" spans="1:7">
      <c r="A162" s="314" t="s">
        <v>34</v>
      </c>
      <c r="B162" s="317" t="s">
        <v>761</v>
      </c>
      <c r="C162" s="317"/>
      <c r="D162" s="317" t="s">
        <v>60</v>
      </c>
      <c r="E162" s="326" t="s">
        <v>877</v>
      </c>
      <c r="F162" s="317" t="s">
        <v>878</v>
      </c>
      <c r="G162" s="318" t="s">
        <v>879</v>
      </c>
    </row>
    <row r="163" customHeight="1" spans="1:7">
      <c r="A163" s="314" t="s">
        <v>8</v>
      </c>
      <c r="B163" s="327" t="s">
        <v>880</v>
      </c>
      <c r="C163" s="328"/>
      <c r="D163" s="317"/>
      <c r="E163" s="326"/>
      <c r="F163" s="326"/>
      <c r="G163" s="329">
        <f>G164+G175</f>
        <v>20947.9138104478</v>
      </c>
    </row>
    <row r="164" customHeight="1" spans="1:7">
      <c r="A164" s="314" t="s">
        <v>881</v>
      </c>
      <c r="B164" s="327" t="s">
        <v>882</v>
      </c>
      <c r="C164" s="328"/>
      <c r="D164" s="317"/>
      <c r="E164" s="326"/>
      <c r="F164" s="326"/>
      <c r="G164" s="329">
        <f>G165+G168+G172</f>
        <v>19687.8889195938</v>
      </c>
    </row>
    <row r="165" customHeight="1" spans="1:7">
      <c r="A165" s="314" t="s">
        <v>17</v>
      </c>
      <c r="B165" s="327" t="s">
        <v>510</v>
      </c>
      <c r="C165" s="328"/>
      <c r="D165" s="317"/>
      <c r="E165" s="326"/>
      <c r="F165" s="326"/>
      <c r="G165" s="329">
        <f>SUM(G166:G167)</f>
        <v>6561.459</v>
      </c>
    </row>
    <row r="166" customHeight="1" spans="1:7">
      <c r="A166" s="314"/>
      <c r="B166" s="327" t="s">
        <v>704</v>
      </c>
      <c r="C166" s="328"/>
      <c r="D166" s="317" t="s">
        <v>705</v>
      </c>
      <c r="E166" s="326">
        <v>442.7</v>
      </c>
      <c r="F166" s="326">
        <f>主要材料预算!D19</f>
        <v>8.1</v>
      </c>
      <c r="G166" s="329">
        <f t="shared" ref="G166:G170" si="17">E166*F166</f>
        <v>3585.87</v>
      </c>
    </row>
    <row r="167" customHeight="1" spans="1:7">
      <c r="A167" s="314"/>
      <c r="B167" s="327" t="s">
        <v>706</v>
      </c>
      <c r="C167" s="328"/>
      <c r="D167" s="317" t="s">
        <v>705</v>
      </c>
      <c r="E167" s="326">
        <v>515.7</v>
      </c>
      <c r="F167" s="326">
        <f>主要材料预算!D20</f>
        <v>5.77</v>
      </c>
      <c r="G167" s="329">
        <f t="shared" si="17"/>
        <v>2975.589</v>
      </c>
    </row>
    <row r="168" customHeight="1" spans="1:7">
      <c r="A168" s="314" t="s">
        <v>19</v>
      </c>
      <c r="B168" s="327" t="s">
        <v>511</v>
      </c>
      <c r="C168" s="328"/>
      <c r="D168" s="317"/>
      <c r="E168" s="326"/>
      <c r="F168" s="326"/>
      <c r="G168" s="329">
        <f>SUM(G169:G171)</f>
        <v>12759.767837025</v>
      </c>
    </row>
    <row r="169" customHeight="1" spans="1:7">
      <c r="A169" s="314"/>
      <c r="B169" s="327" t="s">
        <v>688</v>
      </c>
      <c r="C169" s="328"/>
      <c r="D169" s="317" t="s">
        <v>70</v>
      </c>
      <c r="E169" s="326">
        <v>113</v>
      </c>
      <c r="F169" s="326">
        <f>主要材料预算!M10</f>
        <v>70</v>
      </c>
      <c r="G169" s="329">
        <f t="shared" si="17"/>
        <v>7910</v>
      </c>
    </row>
    <row r="170" customHeight="1" spans="1:7">
      <c r="A170" s="314"/>
      <c r="B170" s="327" t="s">
        <v>1113</v>
      </c>
      <c r="C170" s="328"/>
      <c r="D170" s="317" t="s">
        <v>70</v>
      </c>
      <c r="E170" s="326">
        <v>35.3</v>
      </c>
      <c r="F170" s="326">
        <f>混凝土单价计算表!M13</f>
        <v>135.58885</v>
      </c>
      <c r="G170" s="329">
        <f t="shared" si="17"/>
        <v>4786.286405</v>
      </c>
    </row>
    <row r="171" customHeight="1" spans="1:7">
      <c r="A171" s="314"/>
      <c r="B171" s="327" t="s">
        <v>893</v>
      </c>
      <c r="C171" s="328"/>
      <c r="D171" s="317" t="s">
        <v>894</v>
      </c>
      <c r="E171" s="147">
        <f>SUM(G169:G170)</f>
        <v>12696.286405</v>
      </c>
      <c r="F171" s="330">
        <v>0.5</v>
      </c>
      <c r="G171" s="329">
        <f>E171*F171/100</f>
        <v>63.481432025</v>
      </c>
    </row>
    <row r="172" customHeight="1" spans="1:7">
      <c r="A172" s="314" t="s">
        <v>21</v>
      </c>
      <c r="B172" s="327" t="s">
        <v>895</v>
      </c>
      <c r="C172" s="328"/>
      <c r="D172" s="317"/>
      <c r="E172" s="147"/>
      <c r="F172" s="326"/>
      <c r="G172" s="329">
        <f>SUM(G173:G174)</f>
        <v>366.662082568807</v>
      </c>
    </row>
    <row r="173" customHeight="1" spans="1:7">
      <c r="A173" s="314"/>
      <c r="B173" s="327" t="s">
        <v>899</v>
      </c>
      <c r="C173" s="328"/>
      <c r="D173" s="317" t="s">
        <v>896</v>
      </c>
      <c r="E173" s="147">
        <v>6.35</v>
      </c>
      <c r="F173" s="326">
        <f>施工机械台时费!E21</f>
        <v>37.4199521340247</v>
      </c>
      <c r="G173" s="329">
        <f t="shared" ref="G173:G177" si="18">E173*F173</f>
        <v>237.616696051057</v>
      </c>
    </row>
    <row r="174" customHeight="1" spans="1:7">
      <c r="A174" s="314"/>
      <c r="B174" s="327" t="s">
        <v>901</v>
      </c>
      <c r="C174" s="328"/>
      <c r="D174" s="317" t="s">
        <v>896</v>
      </c>
      <c r="E174" s="147">
        <v>158.68</v>
      </c>
      <c r="F174" s="326">
        <f>施工机械台时费!E36</f>
        <v>0.813242919824491</v>
      </c>
      <c r="G174" s="329">
        <f t="shared" si="18"/>
        <v>129.04538651775</v>
      </c>
    </row>
    <row r="175" customHeight="1" spans="1:7">
      <c r="A175" s="314" t="s">
        <v>905</v>
      </c>
      <c r="B175" s="327" t="s">
        <v>514</v>
      </c>
      <c r="C175" s="328"/>
      <c r="D175" s="317"/>
      <c r="E175" s="332">
        <f>G164</f>
        <v>19687.8889195938</v>
      </c>
      <c r="F175" s="333">
        <f>费率表!$E$12</f>
        <v>0.064</v>
      </c>
      <c r="G175" s="329">
        <f t="shared" si="18"/>
        <v>1260.024890854</v>
      </c>
    </row>
    <row r="176" customHeight="1" spans="1:7">
      <c r="A176" s="314" t="s">
        <v>10</v>
      </c>
      <c r="B176" s="327" t="s">
        <v>770</v>
      </c>
      <c r="C176" s="328"/>
      <c r="D176" s="317"/>
      <c r="E176" s="326">
        <f>G163</f>
        <v>20947.9138104478</v>
      </c>
      <c r="F176" s="334">
        <f>费率表!$E$13</f>
        <v>0.085</v>
      </c>
      <c r="G176" s="329">
        <f t="shared" si="18"/>
        <v>1780.57267388806</v>
      </c>
    </row>
    <row r="177" customHeight="1" spans="1:7">
      <c r="A177" s="314" t="s">
        <v>12</v>
      </c>
      <c r="B177" s="327" t="s">
        <v>771</v>
      </c>
      <c r="C177" s="328"/>
      <c r="D177" s="317"/>
      <c r="E177" s="326">
        <f>G163+G176</f>
        <v>22728.4864843359</v>
      </c>
      <c r="F177" s="334">
        <f>费率表!$E$14</f>
        <v>0.07</v>
      </c>
      <c r="G177" s="329">
        <f t="shared" si="18"/>
        <v>1590.99405390351</v>
      </c>
    </row>
    <row r="178" customHeight="1" spans="1:7">
      <c r="A178" s="314" t="s">
        <v>15</v>
      </c>
      <c r="B178" s="327" t="s">
        <v>517</v>
      </c>
      <c r="C178" s="328"/>
      <c r="D178" s="317"/>
      <c r="E178" s="326"/>
      <c r="F178" s="349"/>
      <c r="G178" s="329">
        <f>SUM(G179:G181)</f>
        <v>6539.51568261732</v>
      </c>
    </row>
    <row r="179" customHeight="1" spans="1:7">
      <c r="A179" s="314"/>
      <c r="B179" s="327" t="s">
        <v>688</v>
      </c>
      <c r="C179" s="328"/>
      <c r="D179" s="317" t="s">
        <v>70</v>
      </c>
      <c r="E179" s="326">
        <f>E169</f>
        <v>113</v>
      </c>
      <c r="F179" s="357">
        <f>主要材料预算!N10</f>
        <v>48.11322</v>
      </c>
      <c r="G179" s="329">
        <f t="shared" ref="G179:G183" si="19">E179*F179</f>
        <v>5436.79386</v>
      </c>
    </row>
    <row r="180" customHeight="1" spans="1:7">
      <c r="A180" s="314"/>
      <c r="B180" s="327" t="s">
        <v>729</v>
      </c>
      <c r="C180" s="328"/>
      <c r="D180" s="317" t="s">
        <v>204</v>
      </c>
      <c r="E180" s="326">
        <f>E170*混凝土单价计算表!E13</f>
        <v>7.923438</v>
      </c>
      <c r="F180" s="357">
        <f>主要材料预算!N5</f>
        <v>139.17214</v>
      </c>
      <c r="G180" s="329">
        <f t="shared" si="19"/>
        <v>1102.72182261732</v>
      </c>
    </row>
    <row r="181" customHeight="1" spans="1:7">
      <c r="A181" s="314"/>
      <c r="B181" s="327" t="s">
        <v>684</v>
      </c>
      <c r="C181" s="328"/>
      <c r="D181" s="317" t="s">
        <v>70</v>
      </c>
      <c r="E181" s="326">
        <f>E170*混凝土单价计算表!$G$13</f>
        <v>39.183</v>
      </c>
      <c r="F181" s="329"/>
      <c r="G181" s="329">
        <f t="shared" si="19"/>
        <v>0</v>
      </c>
    </row>
    <row r="182" customHeight="1" spans="1:7">
      <c r="A182" s="314" t="s">
        <v>906</v>
      </c>
      <c r="B182" s="327" t="s">
        <v>772</v>
      </c>
      <c r="C182" s="328"/>
      <c r="D182" s="317"/>
      <c r="E182" s="326">
        <f>G163+G176++G177+G178</f>
        <v>30858.9962208567</v>
      </c>
      <c r="F182" s="334">
        <f>费率表!$E$15</f>
        <v>0.09</v>
      </c>
      <c r="G182" s="329">
        <f t="shared" si="19"/>
        <v>2777.3096598771</v>
      </c>
    </row>
    <row r="183" customHeight="1" spans="1:7">
      <c r="A183" s="314"/>
      <c r="B183" s="327" t="s">
        <v>907</v>
      </c>
      <c r="C183" s="328"/>
      <c r="D183" s="317"/>
      <c r="E183" s="326">
        <f>G163+G176+G177+G178+G182</f>
        <v>33636.3058807338</v>
      </c>
      <c r="F183" s="334">
        <f>费率表!$I$19</f>
        <v>0.03</v>
      </c>
      <c r="G183" s="329">
        <f t="shared" si="19"/>
        <v>1009.08917642201</v>
      </c>
    </row>
    <row r="184" customHeight="1" spans="1:7">
      <c r="A184" s="335"/>
      <c r="B184" s="336" t="s">
        <v>39</v>
      </c>
      <c r="C184" s="337"/>
      <c r="D184" s="338"/>
      <c r="E184" s="339"/>
      <c r="F184" s="338"/>
      <c r="G184" s="340">
        <f>G163+G176+G177+G178+G182+G183</f>
        <v>34645.3950571558</v>
      </c>
    </row>
    <row r="186" customHeight="1" spans="1:7">
      <c r="A186" s="352" t="s">
        <v>868</v>
      </c>
      <c r="B186" s="352"/>
      <c r="C186" s="352"/>
      <c r="D186" s="352"/>
      <c r="E186" s="352"/>
      <c r="F186" s="352"/>
      <c r="G186" s="352"/>
    </row>
    <row r="187" customHeight="1" spans="1:7">
      <c r="A187" s="309" t="s">
        <v>869</v>
      </c>
      <c r="B187" s="310"/>
      <c r="C187" s="310" t="s">
        <v>23</v>
      </c>
      <c r="D187" s="310" t="s">
        <v>870</v>
      </c>
      <c r="E187" s="311" t="s">
        <v>1116</v>
      </c>
      <c r="F187" s="312"/>
      <c r="G187" s="313"/>
    </row>
    <row r="188" customHeight="1" spans="1:7">
      <c r="A188" s="314" t="s">
        <v>507</v>
      </c>
      <c r="B188" s="315"/>
      <c r="C188" s="316" t="s">
        <v>1117</v>
      </c>
      <c r="D188" s="316"/>
      <c r="E188" s="316"/>
      <c r="F188" s="317" t="s">
        <v>873</v>
      </c>
      <c r="G188" s="318" t="s">
        <v>874</v>
      </c>
    </row>
    <row r="189" customHeight="1" spans="1:7">
      <c r="A189" s="319" t="s">
        <v>875</v>
      </c>
      <c r="B189" s="320"/>
      <c r="C189" s="320"/>
      <c r="D189" s="320"/>
      <c r="E189" s="320"/>
      <c r="F189" s="320"/>
      <c r="G189" s="321"/>
    </row>
    <row r="190" customHeight="1" spans="1:7">
      <c r="A190" s="322" t="s">
        <v>876</v>
      </c>
      <c r="B190" s="323"/>
      <c r="C190" s="324"/>
      <c r="D190" s="324"/>
      <c r="E190" s="324"/>
      <c r="F190" s="324"/>
      <c r="G190" s="325"/>
    </row>
    <row r="191" customHeight="1" spans="1:7">
      <c r="A191" s="314" t="s">
        <v>34</v>
      </c>
      <c r="B191" s="317" t="s">
        <v>761</v>
      </c>
      <c r="C191" s="317"/>
      <c r="D191" s="317" t="s">
        <v>60</v>
      </c>
      <c r="E191" s="326" t="s">
        <v>877</v>
      </c>
      <c r="F191" s="317" t="s">
        <v>878</v>
      </c>
      <c r="G191" s="318" t="s">
        <v>879</v>
      </c>
    </row>
    <row r="192" customHeight="1" spans="1:7">
      <c r="A192" s="314" t="s">
        <v>8</v>
      </c>
      <c r="B192" s="327" t="s">
        <v>880</v>
      </c>
      <c r="C192" s="328"/>
      <c r="D192" s="317"/>
      <c r="E192" s="326"/>
      <c r="F192" s="326"/>
      <c r="G192" s="329">
        <f>G193+G204</f>
        <v>19268.6494264478</v>
      </c>
    </row>
    <row r="193" customHeight="1" spans="1:7">
      <c r="A193" s="314" t="s">
        <v>881</v>
      </c>
      <c r="B193" s="327" t="s">
        <v>882</v>
      </c>
      <c r="C193" s="328"/>
      <c r="D193" s="317"/>
      <c r="E193" s="326"/>
      <c r="F193" s="326"/>
      <c r="G193" s="329">
        <f>G194+G197+G201</f>
        <v>18109.6329195938</v>
      </c>
    </row>
    <row r="194" customHeight="1" spans="1:7">
      <c r="A194" s="314" t="s">
        <v>17</v>
      </c>
      <c r="B194" s="327" t="s">
        <v>510</v>
      </c>
      <c r="C194" s="328"/>
      <c r="D194" s="317"/>
      <c r="E194" s="326"/>
      <c r="F194" s="326"/>
      <c r="G194" s="329">
        <f>SUM(G195:G196)</f>
        <v>4983.203</v>
      </c>
    </row>
    <row r="195" customHeight="1" spans="1:7">
      <c r="A195" s="314"/>
      <c r="B195" s="327" t="s">
        <v>704</v>
      </c>
      <c r="C195" s="328"/>
      <c r="D195" s="317" t="s">
        <v>705</v>
      </c>
      <c r="E195" s="326">
        <v>299</v>
      </c>
      <c r="F195" s="326">
        <f>主要材料预算!D19</f>
        <v>8.1</v>
      </c>
      <c r="G195" s="329">
        <f t="shared" ref="G195:G199" si="20">E195*F195</f>
        <v>2421.9</v>
      </c>
    </row>
    <row r="196" customHeight="1" spans="1:7">
      <c r="A196" s="314"/>
      <c r="B196" s="327" t="s">
        <v>706</v>
      </c>
      <c r="C196" s="328"/>
      <c r="D196" s="317" t="s">
        <v>705</v>
      </c>
      <c r="E196" s="326">
        <v>443.9</v>
      </c>
      <c r="F196" s="326">
        <f>主要材料预算!D20</f>
        <v>5.77</v>
      </c>
      <c r="G196" s="329">
        <f t="shared" si="20"/>
        <v>2561.303</v>
      </c>
    </row>
    <row r="197" customHeight="1" spans="1:7">
      <c r="A197" s="314" t="s">
        <v>19</v>
      </c>
      <c r="B197" s="327" t="s">
        <v>511</v>
      </c>
      <c r="C197" s="328"/>
      <c r="D197" s="317"/>
      <c r="E197" s="326"/>
      <c r="F197" s="326"/>
      <c r="G197" s="329">
        <f>SUM(G198:G200)</f>
        <v>12759.767837025</v>
      </c>
    </row>
    <row r="198" customHeight="1" spans="1:7">
      <c r="A198" s="314"/>
      <c r="B198" s="327" t="s">
        <v>688</v>
      </c>
      <c r="C198" s="328"/>
      <c r="D198" s="317" t="s">
        <v>70</v>
      </c>
      <c r="E198" s="326">
        <v>113</v>
      </c>
      <c r="F198" s="326">
        <f>主要材料预算!M10</f>
        <v>70</v>
      </c>
      <c r="G198" s="329">
        <f t="shared" si="20"/>
        <v>7910</v>
      </c>
    </row>
    <row r="199" customHeight="1" spans="1:7">
      <c r="A199" s="314"/>
      <c r="B199" s="327" t="s">
        <v>1113</v>
      </c>
      <c r="C199" s="328"/>
      <c r="D199" s="317" t="s">
        <v>70</v>
      </c>
      <c r="E199" s="326">
        <v>35.3</v>
      </c>
      <c r="F199" s="326">
        <f>混凝土单价计算表!M13</f>
        <v>135.58885</v>
      </c>
      <c r="G199" s="329">
        <f t="shared" si="20"/>
        <v>4786.286405</v>
      </c>
    </row>
    <row r="200" customHeight="1" spans="1:7">
      <c r="A200" s="314"/>
      <c r="B200" s="327" t="s">
        <v>893</v>
      </c>
      <c r="C200" s="328"/>
      <c r="D200" s="317" t="s">
        <v>894</v>
      </c>
      <c r="E200" s="147">
        <f>SUM(G198:G199)</f>
        <v>12696.286405</v>
      </c>
      <c r="F200" s="330">
        <v>0.5</v>
      </c>
      <c r="G200" s="329">
        <f>E200*F200/100</f>
        <v>63.481432025</v>
      </c>
    </row>
    <row r="201" customHeight="1" spans="1:7">
      <c r="A201" s="314" t="s">
        <v>21</v>
      </c>
      <c r="B201" s="327" t="s">
        <v>895</v>
      </c>
      <c r="C201" s="328"/>
      <c r="D201" s="317"/>
      <c r="E201" s="147"/>
      <c r="F201" s="326"/>
      <c r="G201" s="329">
        <f>SUM(G202:G203)</f>
        <v>366.662082568807</v>
      </c>
    </row>
    <row r="202" customHeight="1" spans="1:7">
      <c r="A202" s="314"/>
      <c r="B202" s="327" t="s">
        <v>899</v>
      </c>
      <c r="C202" s="328"/>
      <c r="D202" s="317" t="s">
        <v>896</v>
      </c>
      <c r="E202" s="147">
        <v>6.35</v>
      </c>
      <c r="F202" s="326">
        <f>施工机械台时费!E21</f>
        <v>37.4199521340247</v>
      </c>
      <c r="G202" s="329">
        <f t="shared" ref="G202:G206" si="21">E202*F202</f>
        <v>237.616696051057</v>
      </c>
    </row>
    <row r="203" customHeight="1" spans="1:7">
      <c r="A203" s="314"/>
      <c r="B203" s="327" t="s">
        <v>901</v>
      </c>
      <c r="C203" s="328"/>
      <c r="D203" s="317" t="s">
        <v>896</v>
      </c>
      <c r="E203" s="147">
        <v>158.68</v>
      </c>
      <c r="F203" s="326">
        <f>施工机械台时费!E36</f>
        <v>0.813242919824491</v>
      </c>
      <c r="G203" s="329">
        <f t="shared" si="21"/>
        <v>129.04538651775</v>
      </c>
    </row>
    <row r="204" customHeight="1" spans="1:7">
      <c r="A204" s="314" t="s">
        <v>905</v>
      </c>
      <c r="B204" s="327" t="s">
        <v>514</v>
      </c>
      <c r="C204" s="328"/>
      <c r="D204" s="317"/>
      <c r="E204" s="332">
        <f>G193</f>
        <v>18109.6329195938</v>
      </c>
      <c r="F204" s="333">
        <f>费率表!$E$12</f>
        <v>0.064</v>
      </c>
      <c r="G204" s="329">
        <f t="shared" si="21"/>
        <v>1159.016506854</v>
      </c>
    </row>
    <row r="205" customHeight="1" spans="1:7">
      <c r="A205" s="314" t="s">
        <v>10</v>
      </c>
      <c r="B205" s="327" t="s">
        <v>770</v>
      </c>
      <c r="C205" s="328"/>
      <c r="D205" s="317"/>
      <c r="E205" s="326">
        <f>G192</f>
        <v>19268.6494264478</v>
      </c>
      <c r="F205" s="334">
        <f>费率表!$E$13</f>
        <v>0.085</v>
      </c>
      <c r="G205" s="329">
        <f t="shared" si="21"/>
        <v>1637.83520124806</v>
      </c>
    </row>
    <row r="206" customHeight="1" spans="1:7">
      <c r="A206" s="314" t="s">
        <v>12</v>
      </c>
      <c r="B206" s="327" t="s">
        <v>771</v>
      </c>
      <c r="C206" s="328"/>
      <c r="D206" s="317"/>
      <c r="E206" s="326">
        <f>G192+G205</f>
        <v>20906.4846276959</v>
      </c>
      <c r="F206" s="334">
        <f>费率表!$E$14</f>
        <v>0.07</v>
      </c>
      <c r="G206" s="329">
        <f t="shared" si="21"/>
        <v>1463.45392393871</v>
      </c>
    </row>
    <row r="207" customHeight="1" spans="1:7">
      <c r="A207" s="314" t="s">
        <v>15</v>
      </c>
      <c r="B207" s="327" t="s">
        <v>517</v>
      </c>
      <c r="C207" s="328"/>
      <c r="D207" s="317"/>
      <c r="E207" s="326"/>
      <c r="F207" s="349"/>
      <c r="G207" s="329">
        <f>SUM(G208:G210)</f>
        <v>6539.51568261732</v>
      </c>
    </row>
    <row r="208" customHeight="1" spans="1:7">
      <c r="A208" s="314"/>
      <c r="B208" s="327" t="s">
        <v>688</v>
      </c>
      <c r="C208" s="328"/>
      <c r="D208" s="317" t="s">
        <v>70</v>
      </c>
      <c r="E208" s="326">
        <f>E198</f>
        <v>113</v>
      </c>
      <c r="F208" s="357">
        <f>主要材料预算!N10</f>
        <v>48.11322</v>
      </c>
      <c r="G208" s="329">
        <f t="shared" ref="G208:G212" si="22">E208*F208</f>
        <v>5436.79386</v>
      </c>
    </row>
    <row r="209" customHeight="1" spans="1:7">
      <c r="A209" s="314"/>
      <c r="B209" s="327" t="s">
        <v>729</v>
      </c>
      <c r="C209" s="328"/>
      <c r="D209" s="317" t="s">
        <v>204</v>
      </c>
      <c r="E209" s="326">
        <f>E199*混凝土单价计算表!E13</f>
        <v>7.923438</v>
      </c>
      <c r="F209" s="357">
        <f>主要材料预算!N5</f>
        <v>139.17214</v>
      </c>
      <c r="G209" s="329">
        <f t="shared" si="22"/>
        <v>1102.72182261732</v>
      </c>
    </row>
    <row r="210" customHeight="1" spans="1:7">
      <c r="A210" s="314"/>
      <c r="B210" s="327" t="s">
        <v>684</v>
      </c>
      <c r="C210" s="328"/>
      <c r="D210" s="317" t="s">
        <v>70</v>
      </c>
      <c r="E210" s="326">
        <f>E199*混凝土单价计算表!$G$13</f>
        <v>39.183</v>
      </c>
      <c r="F210" s="329"/>
      <c r="G210" s="329">
        <f t="shared" si="22"/>
        <v>0</v>
      </c>
    </row>
    <row r="211" customHeight="1" spans="1:7">
      <c r="A211" s="314" t="s">
        <v>906</v>
      </c>
      <c r="B211" s="327" t="s">
        <v>772</v>
      </c>
      <c r="C211" s="328"/>
      <c r="D211" s="317"/>
      <c r="E211" s="326">
        <f>G192+G205++G206+G207</f>
        <v>28909.4542342519</v>
      </c>
      <c r="F211" s="334">
        <f>费率表!$E$15</f>
        <v>0.09</v>
      </c>
      <c r="G211" s="329">
        <f t="shared" si="22"/>
        <v>2601.85088108267</v>
      </c>
    </row>
    <row r="212" customHeight="1" spans="1:7">
      <c r="A212" s="314"/>
      <c r="B212" s="327" t="s">
        <v>907</v>
      </c>
      <c r="C212" s="328"/>
      <c r="D212" s="317"/>
      <c r="E212" s="326">
        <f>G192+G205+G206+G207+G211</f>
        <v>31511.3051153346</v>
      </c>
      <c r="F212" s="334">
        <f>费率表!$I$19</f>
        <v>0.03</v>
      </c>
      <c r="G212" s="329">
        <f t="shared" si="22"/>
        <v>945.339153460037</v>
      </c>
    </row>
    <row r="213" customHeight="1" spans="1:7">
      <c r="A213" s="335"/>
      <c r="B213" s="336" t="s">
        <v>39</v>
      </c>
      <c r="C213" s="337"/>
      <c r="D213" s="338"/>
      <c r="E213" s="339"/>
      <c r="F213" s="338"/>
      <c r="G213" s="340">
        <f>G192+G205+G206+G207+G211+G212</f>
        <v>32456.6442687946</v>
      </c>
    </row>
    <row r="215" customHeight="1" spans="1:7">
      <c r="A215" s="352" t="s">
        <v>868</v>
      </c>
      <c r="B215" s="352"/>
      <c r="C215" s="352"/>
      <c r="D215" s="352"/>
      <c r="E215" s="352"/>
      <c r="F215" s="352"/>
      <c r="G215" s="352"/>
    </row>
    <row r="216" customHeight="1" spans="1:7">
      <c r="A216" s="309" t="s">
        <v>869</v>
      </c>
      <c r="B216" s="310"/>
      <c r="C216" s="310" t="s">
        <v>25</v>
      </c>
      <c r="D216" s="310" t="s">
        <v>870</v>
      </c>
      <c r="E216" s="311" t="s">
        <v>1118</v>
      </c>
      <c r="F216" s="312"/>
      <c r="G216" s="313"/>
    </row>
    <row r="217" customHeight="1" spans="1:7">
      <c r="A217" s="314" t="s">
        <v>507</v>
      </c>
      <c r="B217" s="315"/>
      <c r="C217" s="316" t="s">
        <v>1119</v>
      </c>
      <c r="D217" s="316"/>
      <c r="E217" s="316"/>
      <c r="F217" s="317" t="s">
        <v>873</v>
      </c>
      <c r="G217" s="318" t="s">
        <v>874</v>
      </c>
    </row>
    <row r="218" customHeight="1" spans="1:7">
      <c r="A218" s="319" t="s">
        <v>875</v>
      </c>
      <c r="B218" s="320"/>
      <c r="C218" s="320"/>
      <c r="D218" s="320"/>
      <c r="E218" s="320"/>
      <c r="F218" s="320"/>
      <c r="G218" s="321"/>
    </row>
    <row r="219" customHeight="1" spans="1:7">
      <c r="A219" s="322" t="s">
        <v>876</v>
      </c>
      <c r="B219" s="323"/>
      <c r="C219" s="324"/>
      <c r="D219" s="324"/>
      <c r="E219" s="324"/>
      <c r="F219" s="324"/>
      <c r="G219" s="325"/>
    </row>
    <row r="220" customHeight="1" spans="1:7">
      <c r="A220" s="314" t="s">
        <v>34</v>
      </c>
      <c r="B220" s="317" t="s">
        <v>761</v>
      </c>
      <c r="C220" s="317"/>
      <c r="D220" s="317" t="s">
        <v>60</v>
      </c>
      <c r="E220" s="326" t="s">
        <v>877</v>
      </c>
      <c r="F220" s="317" t="s">
        <v>878</v>
      </c>
      <c r="G220" s="318" t="s">
        <v>879</v>
      </c>
    </row>
    <row r="221" customHeight="1" spans="1:7">
      <c r="A221" s="314" t="s">
        <v>8</v>
      </c>
      <c r="B221" s="327" t="s">
        <v>880</v>
      </c>
      <c r="C221" s="328"/>
      <c r="D221" s="317"/>
      <c r="E221" s="326"/>
      <c r="F221" s="326"/>
      <c r="G221" s="329">
        <f>G222+G233</f>
        <v>18464.2374760802</v>
      </c>
    </row>
    <row r="222" customHeight="1" spans="1:7">
      <c r="A222" s="314" t="s">
        <v>881</v>
      </c>
      <c r="B222" s="327" t="s">
        <v>882</v>
      </c>
      <c r="C222" s="328"/>
      <c r="D222" s="317"/>
      <c r="E222" s="326"/>
      <c r="F222" s="326"/>
      <c r="G222" s="329">
        <f>G223+G226+G230</f>
        <v>17353.6066504513</v>
      </c>
    </row>
    <row r="223" customHeight="1" spans="1:7">
      <c r="A223" s="314" t="s">
        <v>17</v>
      </c>
      <c r="B223" s="327" t="s">
        <v>510</v>
      </c>
      <c r="C223" s="328"/>
      <c r="D223" s="317"/>
      <c r="E223" s="326"/>
      <c r="F223" s="326"/>
      <c r="G223" s="329">
        <f>SUM(G224:G225)</f>
        <v>4415.5</v>
      </c>
    </row>
    <row r="224" customHeight="1" spans="1:7">
      <c r="A224" s="314"/>
      <c r="B224" s="327" t="s">
        <v>704</v>
      </c>
      <c r="C224" s="328"/>
      <c r="D224" s="317" t="s">
        <v>705</v>
      </c>
      <c r="E224" s="326">
        <v>249.5</v>
      </c>
      <c r="F224" s="326">
        <f>主要材料预算!D19</f>
        <v>8.1</v>
      </c>
      <c r="G224" s="329">
        <f t="shared" ref="G224:G228" si="23">E224*F224</f>
        <v>2020.95</v>
      </c>
    </row>
    <row r="225" customHeight="1" spans="1:7">
      <c r="A225" s="314"/>
      <c r="B225" s="327" t="s">
        <v>706</v>
      </c>
      <c r="C225" s="328"/>
      <c r="D225" s="317" t="s">
        <v>705</v>
      </c>
      <c r="E225" s="326">
        <v>415</v>
      </c>
      <c r="F225" s="326">
        <f>主要材料预算!D20</f>
        <v>5.77</v>
      </c>
      <c r="G225" s="329">
        <f t="shared" si="23"/>
        <v>2394.55</v>
      </c>
    </row>
    <row r="226" customHeight="1" spans="1:7">
      <c r="A226" s="314" t="s">
        <v>19</v>
      </c>
      <c r="B226" s="327" t="s">
        <v>511</v>
      </c>
      <c r="C226" s="328"/>
      <c r="D226" s="317"/>
      <c r="E226" s="326"/>
      <c r="F226" s="326"/>
      <c r="G226" s="329">
        <f>SUM(G227:G229)</f>
        <v>12582.6210045</v>
      </c>
    </row>
    <row r="227" customHeight="1" spans="1:7">
      <c r="A227" s="314"/>
      <c r="B227" s="327" t="s">
        <v>688</v>
      </c>
      <c r="C227" s="328"/>
      <c r="D227" s="317" t="s">
        <v>70</v>
      </c>
      <c r="E227" s="326">
        <v>113</v>
      </c>
      <c r="F227" s="326">
        <f>主要材料预算!M10</f>
        <v>70</v>
      </c>
      <c r="G227" s="329">
        <f t="shared" si="23"/>
        <v>7910</v>
      </c>
    </row>
    <row r="228" customHeight="1" spans="1:7">
      <c r="A228" s="314"/>
      <c r="B228" s="327" t="s">
        <v>1113</v>
      </c>
      <c r="C228" s="328"/>
      <c r="D228" s="317" t="s">
        <v>70</v>
      </c>
      <c r="E228" s="326">
        <v>34</v>
      </c>
      <c r="F228" s="326">
        <f>混凝土单价计算表!M13</f>
        <v>135.58885</v>
      </c>
      <c r="G228" s="329">
        <f t="shared" si="23"/>
        <v>4610.0209</v>
      </c>
    </row>
    <row r="229" customHeight="1" spans="1:7">
      <c r="A229" s="314"/>
      <c r="B229" s="327" t="s">
        <v>893</v>
      </c>
      <c r="C229" s="328"/>
      <c r="D229" s="317" t="s">
        <v>894</v>
      </c>
      <c r="E229" s="147">
        <f>SUM(G227:G228)</f>
        <v>12520.0209</v>
      </c>
      <c r="F229" s="326">
        <v>0.5</v>
      </c>
      <c r="G229" s="329">
        <f>E229*F229/100</f>
        <v>62.6001045</v>
      </c>
    </row>
    <row r="230" customHeight="1" spans="1:7">
      <c r="A230" s="314" t="s">
        <v>21</v>
      </c>
      <c r="B230" s="327" t="s">
        <v>895</v>
      </c>
      <c r="C230" s="328"/>
      <c r="D230" s="317"/>
      <c r="E230" s="147"/>
      <c r="F230" s="326"/>
      <c r="G230" s="329">
        <f>SUM(G231:G232)</f>
        <v>355.485645951336</v>
      </c>
    </row>
    <row r="231" customHeight="1" spans="1:7">
      <c r="A231" s="314"/>
      <c r="B231" s="327" t="s">
        <v>899</v>
      </c>
      <c r="C231" s="328"/>
      <c r="D231" s="317" t="s">
        <v>896</v>
      </c>
      <c r="E231" s="147">
        <v>6.12</v>
      </c>
      <c r="F231" s="326">
        <f>施工机械台时费!E21</f>
        <v>37.4199521340247</v>
      </c>
      <c r="G231" s="329">
        <f t="shared" ref="G231:G235" si="24">E231*F231</f>
        <v>229.010107060231</v>
      </c>
    </row>
    <row r="232" customHeight="1" spans="1:7">
      <c r="A232" s="314"/>
      <c r="B232" s="327" t="s">
        <v>901</v>
      </c>
      <c r="C232" s="328"/>
      <c r="D232" s="317" t="s">
        <v>896</v>
      </c>
      <c r="E232" s="147">
        <v>155.52</v>
      </c>
      <c r="F232" s="326">
        <f>施工机械台时费!E36</f>
        <v>0.813242919824491</v>
      </c>
      <c r="G232" s="329">
        <f t="shared" si="24"/>
        <v>126.475538891105</v>
      </c>
    </row>
    <row r="233" customHeight="1" spans="1:7">
      <c r="A233" s="314" t="s">
        <v>905</v>
      </c>
      <c r="B233" s="327" t="s">
        <v>514</v>
      </c>
      <c r="C233" s="328"/>
      <c r="D233" s="317"/>
      <c r="E233" s="332">
        <f>G222</f>
        <v>17353.6066504513</v>
      </c>
      <c r="F233" s="333">
        <f>费率表!$E$12</f>
        <v>0.064</v>
      </c>
      <c r="G233" s="329">
        <f t="shared" si="24"/>
        <v>1110.63082562889</v>
      </c>
    </row>
    <row r="234" customHeight="1" spans="1:7">
      <c r="A234" s="314" t="s">
        <v>10</v>
      </c>
      <c r="B234" s="327" t="s">
        <v>770</v>
      </c>
      <c r="C234" s="328"/>
      <c r="D234" s="317"/>
      <c r="E234" s="326">
        <f>G221</f>
        <v>18464.2374760802</v>
      </c>
      <c r="F234" s="334">
        <f>费率表!$E$13</f>
        <v>0.085</v>
      </c>
      <c r="G234" s="329">
        <f t="shared" si="24"/>
        <v>1569.46018546682</v>
      </c>
    </row>
    <row r="235" customHeight="1" spans="1:7">
      <c r="A235" s="314" t="s">
        <v>12</v>
      </c>
      <c r="B235" s="327" t="s">
        <v>771</v>
      </c>
      <c r="C235" s="328"/>
      <c r="D235" s="317"/>
      <c r="E235" s="326">
        <f>G221+G234</f>
        <v>20033.697661547</v>
      </c>
      <c r="F235" s="334">
        <f>费率表!$E$14</f>
        <v>0.07</v>
      </c>
      <c r="G235" s="329">
        <f t="shared" si="24"/>
        <v>1402.35883630829</v>
      </c>
    </row>
    <row r="236" customHeight="1" spans="1:7">
      <c r="A236" s="314" t="s">
        <v>15</v>
      </c>
      <c r="B236" s="327" t="s">
        <v>517</v>
      </c>
      <c r="C236" s="328"/>
      <c r="D236" s="317"/>
      <c r="E236" s="326"/>
      <c r="F236" s="349"/>
      <c r="G236" s="329">
        <f>SUM(G237:G239)</f>
        <v>6498.9055305096</v>
      </c>
    </row>
    <row r="237" customHeight="1" spans="1:7">
      <c r="A237" s="314"/>
      <c r="B237" s="327" t="s">
        <v>688</v>
      </c>
      <c r="C237" s="328"/>
      <c r="D237" s="317" t="s">
        <v>70</v>
      </c>
      <c r="E237" s="326">
        <f>E227</f>
        <v>113</v>
      </c>
      <c r="F237" s="357">
        <f>主要材料预算!N10</f>
        <v>48.11322</v>
      </c>
      <c r="G237" s="329">
        <f t="shared" ref="G237:G241" si="25">E237*F237</f>
        <v>5436.79386</v>
      </c>
    </row>
    <row r="238" customHeight="1" spans="1:7">
      <c r="A238" s="314"/>
      <c r="B238" s="327" t="s">
        <v>729</v>
      </c>
      <c r="C238" s="328"/>
      <c r="D238" s="317" t="s">
        <v>204</v>
      </c>
      <c r="E238" s="326">
        <f>E228*混凝土单价计算表!E13</f>
        <v>7.63164</v>
      </c>
      <c r="F238" s="357">
        <f>主要材料预算!N5</f>
        <v>139.17214</v>
      </c>
      <c r="G238" s="329">
        <f t="shared" si="25"/>
        <v>1062.1116705096</v>
      </c>
    </row>
    <row r="239" customHeight="1" spans="1:7">
      <c r="A239" s="314"/>
      <c r="B239" s="327" t="s">
        <v>684</v>
      </c>
      <c r="C239" s="328"/>
      <c r="D239" s="317" t="s">
        <v>70</v>
      </c>
      <c r="E239" s="326">
        <f>E228*混凝土单价计算表!$G$13</f>
        <v>37.74</v>
      </c>
      <c r="F239" s="329"/>
      <c r="G239" s="329">
        <f t="shared" si="25"/>
        <v>0</v>
      </c>
    </row>
    <row r="240" customHeight="1" spans="1:7">
      <c r="A240" s="314" t="s">
        <v>906</v>
      </c>
      <c r="B240" s="327" t="s">
        <v>772</v>
      </c>
      <c r="C240" s="328"/>
      <c r="D240" s="317"/>
      <c r="E240" s="326">
        <f>G221+G234++G235+G236</f>
        <v>27934.9620283649</v>
      </c>
      <c r="F240" s="334">
        <f>费率表!$E$15</f>
        <v>0.09</v>
      </c>
      <c r="G240" s="329">
        <f t="shared" si="25"/>
        <v>2514.14658255284</v>
      </c>
    </row>
    <row r="241" customHeight="1" spans="1:7">
      <c r="A241" s="314"/>
      <c r="B241" s="327" t="s">
        <v>907</v>
      </c>
      <c r="C241" s="328"/>
      <c r="D241" s="317"/>
      <c r="E241" s="326">
        <f>G221+G234+G235+G236+G240</f>
        <v>30449.1086109178</v>
      </c>
      <c r="F241" s="334">
        <f>费率表!$I$19</f>
        <v>0.03</v>
      </c>
      <c r="G241" s="329">
        <f t="shared" si="25"/>
        <v>913.473258327533</v>
      </c>
    </row>
    <row r="242" customHeight="1" spans="1:7">
      <c r="A242" s="335"/>
      <c r="B242" s="336" t="s">
        <v>39</v>
      </c>
      <c r="C242" s="337"/>
      <c r="D242" s="338"/>
      <c r="E242" s="339"/>
      <c r="F242" s="338"/>
      <c r="G242" s="340">
        <f>G221+G234+G235+G236+G240+G241</f>
        <v>31362.5818692453</v>
      </c>
    </row>
    <row r="244" customHeight="1" spans="1:7">
      <c r="A244" s="352" t="s">
        <v>868</v>
      </c>
      <c r="B244" s="352"/>
      <c r="C244" s="352"/>
      <c r="D244" s="352"/>
      <c r="E244" s="352"/>
      <c r="F244" s="352"/>
      <c r="G244" s="352"/>
    </row>
    <row r="245" customHeight="1" spans="1:7">
      <c r="A245" s="309" t="s">
        <v>869</v>
      </c>
      <c r="B245" s="310"/>
      <c r="C245" s="310" t="s">
        <v>27</v>
      </c>
      <c r="D245" s="310" t="s">
        <v>870</v>
      </c>
      <c r="E245" s="311" t="s">
        <v>1120</v>
      </c>
      <c r="F245" s="312"/>
      <c r="G245" s="313"/>
    </row>
    <row r="246" customHeight="1" spans="1:7">
      <c r="A246" s="314" t="s">
        <v>507</v>
      </c>
      <c r="B246" s="315"/>
      <c r="C246" s="316" t="s">
        <v>1121</v>
      </c>
      <c r="D246" s="316"/>
      <c r="E246" s="316"/>
      <c r="F246" s="317" t="s">
        <v>873</v>
      </c>
      <c r="G246" s="318" t="s">
        <v>874</v>
      </c>
    </row>
    <row r="247" customHeight="1" spans="1:7">
      <c r="A247" s="319" t="s">
        <v>875</v>
      </c>
      <c r="B247" s="320"/>
      <c r="C247" s="320"/>
      <c r="D247" s="320"/>
      <c r="E247" s="320"/>
      <c r="F247" s="320"/>
      <c r="G247" s="321"/>
    </row>
    <row r="248" customHeight="1" spans="1:7">
      <c r="A248" s="322" t="s">
        <v>876</v>
      </c>
      <c r="B248" s="323"/>
      <c r="C248" s="324"/>
      <c r="D248" s="324"/>
      <c r="E248" s="324"/>
      <c r="F248" s="324"/>
      <c r="G248" s="325"/>
    </row>
    <row r="249" customHeight="1" spans="1:7">
      <c r="A249" s="314" t="s">
        <v>34</v>
      </c>
      <c r="B249" s="317" t="s">
        <v>761</v>
      </c>
      <c r="C249" s="317"/>
      <c r="D249" s="317" t="s">
        <v>60</v>
      </c>
      <c r="E249" s="326" t="s">
        <v>877</v>
      </c>
      <c r="F249" s="317" t="s">
        <v>878</v>
      </c>
      <c r="G249" s="318" t="s">
        <v>879</v>
      </c>
    </row>
    <row r="250" customHeight="1" spans="1:7">
      <c r="A250" s="314" t="s">
        <v>8</v>
      </c>
      <c r="B250" s="327" t="s">
        <v>880</v>
      </c>
      <c r="C250" s="328"/>
      <c r="D250" s="317"/>
      <c r="E250" s="326"/>
      <c r="F250" s="326"/>
      <c r="G250" s="329">
        <f>G251+G262</f>
        <v>19661.7841652533</v>
      </c>
    </row>
    <row r="251" customHeight="1" spans="1:7">
      <c r="A251" s="314" t="s">
        <v>881</v>
      </c>
      <c r="B251" s="327" t="s">
        <v>882</v>
      </c>
      <c r="C251" s="328"/>
      <c r="D251" s="317"/>
      <c r="E251" s="326"/>
      <c r="F251" s="326"/>
      <c r="G251" s="329">
        <f>G252+G255+G259</f>
        <v>18479.1204560652</v>
      </c>
    </row>
    <row r="252" customHeight="1" spans="1:7">
      <c r="A252" s="314" t="s">
        <v>17</v>
      </c>
      <c r="B252" s="327" t="s">
        <v>510</v>
      </c>
      <c r="C252" s="328"/>
      <c r="D252" s="317"/>
      <c r="E252" s="326"/>
      <c r="F252" s="326"/>
      <c r="G252" s="329">
        <f>SUM(G253:G254)</f>
        <v>5482.31</v>
      </c>
    </row>
    <row r="253" customHeight="1" spans="1:7">
      <c r="A253" s="314"/>
      <c r="B253" s="327" t="s">
        <v>704</v>
      </c>
      <c r="C253" s="328"/>
      <c r="D253" s="317" t="s">
        <v>705</v>
      </c>
      <c r="E253" s="326">
        <v>346.3</v>
      </c>
      <c r="F253" s="326">
        <f>主要材料预算!$D$19</f>
        <v>8.1</v>
      </c>
      <c r="G253" s="329">
        <f t="shared" ref="G253:G257" si="26">E253*F253</f>
        <v>2805.03</v>
      </c>
    </row>
    <row r="254" customHeight="1" spans="1:7">
      <c r="A254" s="314"/>
      <c r="B254" s="327" t="s">
        <v>706</v>
      </c>
      <c r="C254" s="328"/>
      <c r="D254" s="317" t="s">
        <v>705</v>
      </c>
      <c r="E254" s="326">
        <v>464</v>
      </c>
      <c r="F254" s="326">
        <f>主要材料预算!$D$20</f>
        <v>5.77</v>
      </c>
      <c r="G254" s="329">
        <f t="shared" si="26"/>
        <v>2677.28</v>
      </c>
    </row>
    <row r="255" customHeight="1" spans="1:7">
      <c r="A255" s="314" t="s">
        <v>19</v>
      </c>
      <c r="B255" s="327" t="s">
        <v>511</v>
      </c>
      <c r="C255" s="328"/>
      <c r="D255" s="317"/>
      <c r="E255" s="326"/>
      <c r="F255" s="326"/>
      <c r="G255" s="329">
        <f>SUM(G256:G258)</f>
        <v>12637.1277222</v>
      </c>
    </row>
    <row r="256" customHeight="1" spans="1:7">
      <c r="A256" s="314"/>
      <c r="B256" s="327" t="s">
        <v>688</v>
      </c>
      <c r="C256" s="328"/>
      <c r="D256" s="317" t="s">
        <v>70</v>
      </c>
      <c r="E256" s="326">
        <v>113</v>
      </c>
      <c r="F256" s="326">
        <f>主要材料预算!$M$10</f>
        <v>70</v>
      </c>
      <c r="G256" s="329">
        <f t="shared" si="26"/>
        <v>7910</v>
      </c>
    </row>
    <row r="257" customHeight="1" spans="1:7">
      <c r="A257" s="314"/>
      <c r="B257" s="327" t="s">
        <v>1113</v>
      </c>
      <c r="C257" s="328"/>
      <c r="D257" s="317" t="s">
        <v>70</v>
      </c>
      <c r="E257" s="326">
        <v>34.4</v>
      </c>
      <c r="F257" s="326">
        <f>混凝土单价计算表!$M$13</f>
        <v>135.58885</v>
      </c>
      <c r="G257" s="329">
        <f t="shared" si="26"/>
        <v>4664.25644</v>
      </c>
    </row>
    <row r="258" customHeight="1" spans="1:7">
      <c r="A258" s="314"/>
      <c r="B258" s="327" t="s">
        <v>893</v>
      </c>
      <c r="C258" s="328"/>
      <c r="D258" s="317" t="s">
        <v>894</v>
      </c>
      <c r="E258" s="147">
        <f>SUM(G256:G257)</f>
        <v>12574.25644</v>
      </c>
      <c r="F258" s="326">
        <v>0.5</v>
      </c>
      <c r="G258" s="329">
        <f>E258*F258/100</f>
        <v>62.8712822</v>
      </c>
    </row>
    <row r="259" customHeight="1" spans="1:7">
      <c r="A259" s="314" t="s">
        <v>21</v>
      </c>
      <c r="B259" s="327" t="s">
        <v>895</v>
      </c>
      <c r="C259" s="328"/>
      <c r="D259" s="317"/>
      <c r="E259" s="147"/>
      <c r="F259" s="326"/>
      <c r="G259" s="329">
        <f>SUM(G260:G261)</f>
        <v>359.682733865178</v>
      </c>
    </row>
    <row r="260" customHeight="1" spans="1:7">
      <c r="A260" s="314"/>
      <c r="B260" s="327" t="s">
        <v>899</v>
      </c>
      <c r="C260" s="328"/>
      <c r="D260" s="317" t="s">
        <v>896</v>
      </c>
      <c r="E260" s="147">
        <v>6.19</v>
      </c>
      <c r="F260" s="326">
        <f>施工机械台时费!$E$21</f>
        <v>37.4199521340247</v>
      </c>
      <c r="G260" s="329">
        <f t="shared" ref="G260:G264" si="27">E260*F260</f>
        <v>231.629503709613</v>
      </c>
    </row>
    <row r="261" customHeight="1" spans="1:7">
      <c r="A261" s="314"/>
      <c r="B261" s="327" t="s">
        <v>901</v>
      </c>
      <c r="C261" s="328"/>
      <c r="D261" s="317" t="s">
        <v>896</v>
      </c>
      <c r="E261" s="147">
        <v>157.46</v>
      </c>
      <c r="F261" s="326">
        <f>施工机械台时费!$E$36</f>
        <v>0.813242919824491</v>
      </c>
      <c r="G261" s="329">
        <f t="shared" si="27"/>
        <v>128.053230155564</v>
      </c>
    </row>
    <row r="262" customHeight="1" spans="1:7">
      <c r="A262" s="314" t="s">
        <v>905</v>
      </c>
      <c r="B262" s="327" t="s">
        <v>514</v>
      </c>
      <c r="C262" s="328"/>
      <c r="D262" s="317"/>
      <c r="E262" s="332">
        <f>G251</f>
        <v>18479.1204560652</v>
      </c>
      <c r="F262" s="333">
        <f>费率表!$E$12</f>
        <v>0.064</v>
      </c>
      <c r="G262" s="329">
        <f t="shared" si="27"/>
        <v>1182.66370918817</v>
      </c>
    </row>
    <row r="263" customHeight="1" spans="1:7">
      <c r="A263" s="314" t="s">
        <v>10</v>
      </c>
      <c r="B263" s="327" t="s">
        <v>770</v>
      </c>
      <c r="C263" s="328"/>
      <c r="D263" s="317"/>
      <c r="E263" s="326">
        <f>G250</f>
        <v>19661.7841652533</v>
      </c>
      <c r="F263" s="334">
        <f>费率表!$E$13</f>
        <v>0.085</v>
      </c>
      <c r="G263" s="329">
        <f t="shared" si="27"/>
        <v>1671.25165404653</v>
      </c>
    </row>
    <row r="264" customHeight="1" spans="1:7">
      <c r="A264" s="314" t="s">
        <v>12</v>
      </c>
      <c r="B264" s="327" t="s">
        <v>771</v>
      </c>
      <c r="C264" s="328"/>
      <c r="D264" s="317"/>
      <c r="E264" s="326">
        <f>G250+G263</f>
        <v>21333.0358192999</v>
      </c>
      <c r="F264" s="334">
        <f>费率表!$E$14</f>
        <v>0.07</v>
      </c>
      <c r="G264" s="329">
        <f t="shared" si="27"/>
        <v>1493.31250735099</v>
      </c>
    </row>
    <row r="265" customHeight="1" spans="1:7">
      <c r="A265" s="314" t="s">
        <v>15</v>
      </c>
      <c r="B265" s="327" t="s">
        <v>517</v>
      </c>
      <c r="C265" s="328"/>
      <c r="D265" s="317"/>
      <c r="E265" s="326"/>
      <c r="F265" s="349"/>
      <c r="G265" s="329">
        <f>SUM(G266:G268)</f>
        <v>6511.40096192736</v>
      </c>
    </row>
    <row r="266" customHeight="1" spans="1:7">
      <c r="A266" s="314"/>
      <c r="B266" s="327" t="s">
        <v>688</v>
      </c>
      <c r="C266" s="328"/>
      <c r="D266" s="317" t="s">
        <v>70</v>
      </c>
      <c r="E266" s="326">
        <f>E256</f>
        <v>113</v>
      </c>
      <c r="F266" s="357">
        <f>主要材料预算!$N$10</f>
        <v>48.11322</v>
      </c>
      <c r="G266" s="329">
        <f t="shared" ref="G266:G270" si="28">E266*F266</f>
        <v>5436.79386</v>
      </c>
    </row>
    <row r="267" customHeight="1" spans="1:7">
      <c r="A267" s="314"/>
      <c r="B267" s="327" t="s">
        <v>729</v>
      </c>
      <c r="C267" s="328"/>
      <c r="D267" s="317" t="s">
        <v>204</v>
      </c>
      <c r="E267" s="326">
        <f>E257*混凝土单价计算表!$E$13</f>
        <v>7.721424</v>
      </c>
      <c r="F267" s="357">
        <f>主要材料预算!$N$5</f>
        <v>139.17214</v>
      </c>
      <c r="G267" s="329">
        <f t="shared" si="28"/>
        <v>1074.60710192736</v>
      </c>
    </row>
    <row r="268" customHeight="1" spans="1:7">
      <c r="A268" s="314"/>
      <c r="B268" s="327" t="s">
        <v>684</v>
      </c>
      <c r="C268" s="328"/>
      <c r="D268" s="317" t="s">
        <v>70</v>
      </c>
      <c r="E268" s="326">
        <f>E257*混凝土单价计算表!$G$13</f>
        <v>38.184</v>
      </c>
      <c r="F268" s="329"/>
      <c r="G268" s="329">
        <f t="shared" si="28"/>
        <v>0</v>
      </c>
    </row>
    <row r="269" customHeight="1" spans="1:7">
      <c r="A269" s="314" t="s">
        <v>906</v>
      </c>
      <c r="B269" s="327" t="s">
        <v>772</v>
      </c>
      <c r="C269" s="328"/>
      <c r="D269" s="317"/>
      <c r="E269" s="326">
        <f>G250+G263++G264+G265</f>
        <v>29337.7492885782</v>
      </c>
      <c r="F269" s="334">
        <f>费率表!$E$15</f>
        <v>0.09</v>
      </c>
      <c r="G269" s="329">
        <f t="shared" si="28"/>
        <v>2640.39743597204</v>
      </c>
    </row>
    <row r="270" customHeight="1" spans="1:7">
      <c r="A270" s="314"/>
      <c r="B270" s="327" t="s">
        <v>907</v>
      </c>
      <c r="C270" s="328"/>
      <c r="D270" s="317"/>
      <c r="E270" s="326">
        <f>G250+G263+G264+G265+G269</f>
        <v>31978.1467245502</v>
      </c>
      <c r="F270" s="334">
        <f>费率表!$I$19</f>
        <v>0.03</v>
      </c>
      <c r="G270" s="329">
        <f t="shared" si="28"/>
        <v>959.344401736506</v>
      </c>
    </row>
    <row r="271" customHeight="1" spans="1:7">
      <c r="A271" s="335"/>
      <c r="B271" s="336" t="s">
        <v>39</v>
      </c>
      <c r="C271" s="337"/>
      <c r="D271" s="338"/>
      <c r="E271" s="339"/>
      <c r="F271" s="338"/>
      <c r="G271" s="340">
        <f>G250+G263+G264+G265+G269+G270</f>
        <v>32937.4911262867</v>
      </c>
    </row>
    <row r="273" customHeight="1" spans="1:7">
      <c r="A273" s="352" t="s">
        <v>868</v>
      </c>
      <c r="B273" s="352"/>
      <c r="C273" s="352"/>
      <c r="D273" s="352"/>
      <c r="E273" s="352"/>
      <c r="F273" s="352"/>
      <c r="G273" s="352"/>
    </row>
    <row r="274" customHeight="1" spans="1:7">
      <c r="A274" s="359" t="s">
        <v>869</v>
      </c>
      <c r="B274" s="360"/>
      <c r="C274" s="360" t="s">
        <v>142</v>
      </c>
      <c r="D274" s="360" t="s">
        <v>870</v>
      </c>
      <c r="E274" s="361" t="s">
        <v>1122</v>
      </c>
      <c r="F274" s="362"/>
      <c r="G274" s="363"/>
    </row>
    <row r="275" customHeight="1" spans="1:7">
      <c r="A275" s="364" t="s">
        <v>507</v>
      </c>
      <c r="B275" s="365"/>
      <c r="C275" s="366" t="s">
        <v>1123</v>
      </c>
      <c r="D275" s="366"/>
      <c r="E275" s="366"/>
      <c r="F275" s="367" t="s">
        <v>873</v>
      </c>
      <c r="G275" s="368" t="s">
        <v>1124</v>
      </c>
    </row>
    <row r="276" customHeight="1" spans="1:7">
      <c r="A276" s="369" t="s">
        <v>875</v>
      </c>
      <c r="B276" s="370"/>
      <c r="C276" s="370"/>
      <c r="D276" s="370"/>
      <c r="E276" s="370"/>
      <c r="F276" s="370"/>
      <c r="G276" s="371"/>
    </row>
    <row r="277" customHeight="1" spans="1:7">
      <c r="A277" s="372" t="s">
        <v>1125</v>
      </c>
      <c r="B277" s="373"/>
      <c r="C277" s="374"/>
      <c r="D277" s="374"/>
      <c r="E277" s="374"/>
      <c r="F277" s="374"/>
      <c r="G277" s="375"/>
    </row>
    <row r="278" customHeight="1" spans="1:7">
      <c r="A278" s="314" t="s">
        <v>34</v>
      </c>
      <c r="B278" s="317" t="s">
        <v>761</v>
      </c>
      <c r="C278" s="317"/>
      <c r="D278" s="317" t="s">
        <v>60</v>
      </c>
      <c r="E278" s="326" t="s">
        <v>877</v>
      </c>
      <c r="F278" s="317" t="s">
        <v>878</v>
      </c>
      <c r="G278" s="318" t="s">
        <v>879</v>
      </c>
    </row>
    <row r="279" customHeight="1" spans="1:7">
      <c r="A279" s="314" t="s">
        <v>8</v>
      </c>
      <c r="B279" s="327" t="s">
        <v>880</v>
      </c>
      <c r="C279" s="328"/>
      <c r="D279" s="317"/>
      <c r="E279" s="326"/>
      <c r="F279" s="326"/>
      <c r="G279" s="329">
        <f>G280+G291</f>
        <v>39382.1190322351</v>
      </c>
    </row>
    <row r="280" customHeight="1" spans="1:7">
      <c r="A280" s="314" t="s">
        <v>881</v>
      </c>
      <c r="B280" s="327" t="s">
        <v>882</v>
      </c>
      <c r="C280" s="328"/>
      <c r="D280" s="317"/>
      <c r="E280" s="326"/>
      <c r="F280" s="326"/>
      <c r="G280" s="329">
        <f>G281+G284+G288</f>
        <v>37013.2697671382</v>
      </c>
    </row>
    <row r="281" customHeight="1" spans="1:7">
      <c r="A281" s="314" t="s">
        <v>17</v>
      </c>
      <c r="B281" s="327" t="s">
        <v>510</v>
      </c>
      <c r="C281" s="328"/>
      <c r="D281" s="317"/>
      <c r="E281" s="326"/>
      <c r="F281" s="326"/>
      <c r="G281" s="329">
        <f>SUM(G282:G283)</f>
        <v>8660.604</v>
      </c>
    </row>
    <row r="282" customHeight="1" spans="1:7">
      <c r="A282" s="314"/>
      <c r="B282" s="327" t="s">
        <v>704</v>
      </c>
      <c r="C282" s="328"/>
      <c r="D282" s="317" t="s">
        <v>705</v>
      </c>
      <c r="E282" s="326">
        <v>401.6</v>
      </c>
      <c r="F282" s="326">
        <f>主要材料预算!$D$19</f>
        <v>8.1</v>
      </c>
      <c r="G282" s="329">
        <f t="shared" ref="G282:G286" si="29">E282*F282</f>
        <v>3252.96</v>
      </c>
    </row>
    <row r="283" customHeight="1" spans="1:7">
      <c r="A283" s="314"/>
      <c r="B283" s="327" t="s">
        <v>706</v>
      </c>
      <c r="C283" s="328"/>
      <c r="D283" s="317" t="s">
        <v>705</v>
      </c>
      <c r="E283" s="326">
        <v>937.2</v>
      </c>
      <c r="F283" s="326">
        <f>主要材料预算!$D$20</f>
        <v>5.77</v>
      </c>
      <c r="G283" s="329">
        <f t="shared" si="29"/>
        <v>5407.644</v>
      </c>
    </row>
    <row r="284" customHeight="1" spans="1:7">
      <c r="A284" s="314" t="s">
        <v>19</v>
      </c>
      <c r="B284" s="327" t="s">
        <v>511</v>
      </c>
      <c r="C284" s="328"/>
      <c r="D284" s="317"/>
      <c r="E284" s="326"/>
      <c r="F284" s="326"/>
      <c r="G284" s="329">
        <f>SUM(G285:G287)</f>
        <v>28080.457714725</v>
      </c>
    </row>
    <row r="285" customHeight="1" spans="1:7">
      <c r="A285" s="314"/>
      <c r="B285" s="376" t="s">
        <v>1126</v>
      </c>
      <c r="C285" s="377"/>
      <c r="D285" s="367" t="s">
        <v>1127</v>
      </c>
      <c r="E285" s="378">
        <v>52</v>
      </c>
      <c r="F285" s="326">
        <f>基础材料!D88</f>
        <v>477.52</v>
      </c>
      <c r="G285" s="329">
        <f t="shared" si="29"/>
        <v>24831.04</v>
      </c>
    </row>
    <row r="286" customHeight="1" spans="1:7">
      <c r="A286" s="314"/>
      <c r="B286" s="376" t="s">
        <v>1002</v>
      </c>
      <c r="C286" s="377"/>
      <c r="D286" s="367" t="s">
        <v>70</v>
      </c>
      <c r="E286" s="378">
        <v>24.7</v>
      </c>
      <c r="F286" s="326">
        <f>混凝土单价计算表!$M$12</f>
        <v>125.89935</v>
      </c>
      <c r="G286" s="329">
        <f t="shared" si="29"/>
        <v>3109.713945</v>
      </c>
    </row>
    <row r="287" customHeight="1" spans="1:7">
      <c r="A287" s="314"/>
      <c r="B287" s="327" t="s">
        <v>893</v>
      </c>
      <c r="C287" s="328"/>
      <c r="D287" s="317" t="s">
        <v>894</v>
      </c>
      <c r="E287" s="147">
        <f>SUM(G285:G286)</f>
        <v>27940.753945</v>
      </c>
      <c r="F287" s="326">
        <v>0.5</v>
      </c>
      <c r="G287" s="329">
        <f>E287*F287/100</f>
        <v>139.703769725</v>
      </c>
    </row>
    <row r="288" customHeight="1" spans="1:7">
      <c r="A288" s="314" t="s">
        <v>21</v>
      </c>
      <c r="B288" s="327" t="s">
        <v>895</v>
      </c>
      <c r="C288" s="328"/>
      <c r="D288" s="317"/>
      <c r="E288" s="147"/>
      <c r="F288" s="326"/>
      <c r="G288" s="329">
        <f>SUM(G289:G290)</f>
        <v>272.208052413243</v>
      </c>
    </row>
    <row r="289" customHeight="1" spans="1:7">
      <c r="A289" s="314"/>
      <c r="B289" s="327" t="s">
        <v>899</v>
      </c>
      <c r="C289" s="328"/>
      <c r="D289" s="317" t="s">
        <v>896</v>
      </c>
      <c r="E289" s="147">
        <v>4.47</v>
      </c>
      <c r="F289" s="326">
        <f>施工机械台时费!$E$21</f>
        <v>37.4199521340247</v>
      </c>
      <c r="G289" s="329">
        <f t="shared" ref="G289:G293" si="30">E289*F289</f>
        <v>167.267186039091</v>
      </c>
    </row>
    <row r="290" customHeight="1" spans="1:7">
      <c r="A290" s="314"/>
      <c r="B290" s="327" t="s">
        <v>901</v>
      </c>
      <c r="C290" s="328"/>
      <c r="D290" s="317" t="s">
        <v>896</v>
      </c>
      <c r="E290" s="147">
        <v>129.04</v>
      </c>
      <c r="F290" s="326">
        <f>施工机械台时费!$E$36</f>
        <v>0.813242919824491</v>
      </c>
      <c r="G290" s="329">
        <f t="shared" si="30"/>
        <v>104.940866374152</v>
      </c>
    </row>
    <row r="291" customHeight="1" spans="1:7">
      <c r="A291" s="314" t="s">
        <v>905</v>
      </c>
      <c r="B291" s="327" t="s">
        <v>514</v>
      </c>
      <c r="C291" s="328"/>
      <c r="D291" s="317"/>
      <c r="E291" s="332">
        <f>G280</f>
        <v>37013.2697671382</v>
      </c>
      <c r="F291" s="333">
        <f>费率表!$J$12</f>
        <v>0.064</v>
      </c>
      <c r="G291" s="329">
        <f t="shared" si="30"/>
        <v>2368.84926509685</v>
      </c>
    </row>
    <row r="292" customHeight="1" spans="1:7">
      <c r="A292" s="314" t="s">
        <v>10</v>
      </c>
      <c r="B292" s="327" t="s">
        <v>770</v>
      </c>
      <c r="C292" s="328"/>
      <c r="D292" s="317"/>
      <c r="E292" s="326">
        <f>G279</f>
        <v>39382.1190322351</v>
      </c>
      <c r="F292" s="334">
        <f>费率表!$J$13</f>
        <v>0.074</v>
      </c>
      <c r="G292" s="329">
        <f t="shared" si="30"/>
        <v>2914.2768083854</v>
      </c>
    </row>
    <row r="293" customHeight="1" spans="1:7">
      <c r="A293" s="314" t="s">
        <v>12</v>
      </c>
      <c r="B293" s="327" t="s">
        <v>771</v>
      </c>
      <c r="C293" s="328"/>
      <c r="D293" s="317"/>
      <c r="E293" s="326">
        <f>G279+G292</f>
        <v>42296.3958406205</v>
      </c>
      <c r="F293" s="334">
        <f>费率表!$J$14</f>
        <v>0.07</v>
      </c>
      <c r="G293" s="329">
        <f t="shared" si="30"/>
        <v>2960.74770884343</v>
      </c>
    </row>
    <row r="294" customHeight="1" spans="1:7">
      <c r="A294" s="314" t="s">
        <v>15</v>
      </c>
      <c r="B294" s="327" t="s">
        <v>517</v>
      </c>
      <c r="C294" s="328"/>
      <c r="D294" s="317"/>
      <c r="E294" s="326"/>
      <c r="F294" s="349"/>
      <c r="G294" s="329">
        <f>SUM(G295:G296)</f>
        <v>842.053215492552</v>
      </c>
    </row>
    <row r="295" customHeight="1" spans="1:7">
      <c r="A295" s="314"/>
      <c r="B295" s="327" t="s">
        <v>729</v>
      </c>
      <c r="C295" s="328"/>
      <c r="D295" s="317" t="s">
        <v>204</v>
      </c>
      <c r="E295" s="326">
        <f>E286*混凝土单价计算表!E5</f>
        <v>6.050443828</v>
      </c>
      <c r="F295" s="357">
        <f>主要材料预算!$N$5</f>
        <v>139.17214</v>
      </c>
      <c r="G295" s="329">
        <f t="shared" ref="G295:G298" si="31">E295*F295</f>
        <v>842.053215492552</v>
      </c>
    </row>
    <row r="296" customHeight="1" spans="1:7">
      <c r="A296" s="314"/>
      <c r="B296" s="327" t="s">
        <v>684</v>
      </c>
      <c r="C296" s="328"/>
      <c r="D296" s="317" t="s">
        <v>70</v>
      </c>
      <c r="E296" s="326">
        <f>E286*混凝土单价计算表!G5</f>
        <v>13.845832</v>
      </c>
      <c r="F296" s="349"/>
      <c r="G296" s="329">
        <f t="shared" si="31"/>
        <v>0</v>
      </c>
    </row>
    <row r="297" customHeight="1" spans="1:7">
      <c r="A297" s="314" t="s">
        <v>906</v>
      </c>
      <c r="B297" s="327" t="s">
        <v>772</v>
      </c>
      <c r="C297" s="328"/>
      <c r="D297" s="317"/>
      <c r="E297" s="326">
        <f>G279+G292++G293+G294</f>
        <v>46099.1967649565</v>
      </c>
      <c r="F297" s="334">
        <f>费率表!$J$15</f>
        <v>0.09</v>
      </c>
      <c r="G297" s="329">
        <f t="shared" si="31"/>
        <v>4148.92770884608</v>
      </c>
    </row>
    <row r="298" customHeight="1" spans="1:7">
      <c r="A298" s="314"/>
      <c r="B298" s="327" t="s">
        <v>907</v>
      </c>
      <c r="C298" s="328"/>
      <c r="D298" s="317"/>
      <c r="E298" s="326">
        <f>G279+G292+G293+G294+G297</f>
        <v>50248.1244738026</v>
      </c>
      <c r="F298" s="334">
        <f>费率表!$I$19</f>
        <v>0.03</v>
      </c>
      <c r="G298" s="329">
        <f t="shared" si="31"/>
        <v>1507.44373421408</v>
      </c>
    </row>
    <row r="299" customHeight="1" spans="1:7">
      <c r="A299" s="335"/>
      <c r="B299" s="336" t="s">
        <v>39</v>
      </c>
      <c r="C299" s="337"/>
      <c r="D299" s="338"/>
      <c r="E299" s="339"/>
      <c r="F299" s="338"/>
      <c r="G299" s="340">
        <f>G279+G292+G293+G294+G297+G298</f>
        <v>51755.5682080166</v>
      </c>
    </row>
    <row r="301" customHeight="1" spans="1:7">
      <c r="A301" s="352" t="s">
        <v>868</v>
      </c>
      <c r="B301" s="352"/>
      <c r="C301" s="352"/>
      <c r="D301" s="352"/>
      <c r="E301" s="352"/>
      <c r="F301" s="352"/>
      <c r="G301" s="352"/>
    </row>
    <row r="302" customHeight="1" spans="1:7">
      <c r="A302" s="309" t="s">
        <v>869</v>
      </c>
      <c r="B302" s="310"/>
      <c r="C302" s="310" t="s">
        <v>27</v>
      </c>
      <c r="D302" s="310" t="s">
        <v>870</v>
      </c>
      <c r="E302" s="311" t="s">
        <v>1128</v>
      </c>
      <c r="F302" s="312"/>
      <c r="G302" s="313"/>
    </row>
    <row r="303" customHeight="1" spans="1:7">
      <c r="A303" s="314" t="s">
        <v>507</v>
      </c>
      <c r="B303" s="315"/>
      <c r="C303" s="316" t="s">
        <v>1129</v>
      </c>
      <c r="D303" s="316"/>
      <c r="E303" s="316"/>
      <c r="F303" s="317" t="s">
        <v>873</v>
      </c>
      <c r="G303" s="318" t="s">
        <v>874</v>
      </c>
    </row>
    <row r="304" customHeight="1" spans="1:7">
      <c r="A304" s="319" t="s">
        <v>1130</v>
      </c>
      <c r="B304" s="320"/>
      <c r="C304" s="320"/>
      <c r="D304" s="320"/>
      <c r="E304" s="320"/>
      <c r="F304" s="320"/>
      <c r="G304" s="321"/>
    </row>
    <row r="305" customHeight="1" spans="1:7">
      <c r="A305" s="319" t="s">
        <v>1131</v>
      </c>
      <c r="B305" s="320"/>
      <c r="C305" s="320"/>
      <c r="D305" s="320"/>
      <c r="E305" s="320"/>
      <c r="F305" s="320"/>
      <c r="G305" s="321"/>
    </row>
    <row r="306" customHeight="1" spans="1:7">
      <c r="A306" s="314" t="s">
        <v>34</v>
      </c>
      <c r="B306" s="317" t="s">
        <v>761</v>
      </c>
      <c r="C306" s="317"/>
      <c r="D306" s="317" t="s">
        <v>60</v>
      </c>
      <c r="E306" s="326" t="s">
        <v>877</v>
      </c>
      <c r="F306" s="317" t="s">
        <v>878</v>
      </c>
      <c r="G306" s="318" t="s">
        <v>879</v>
      </c>
    </row>
    <row r="307" customHeight="1" spans="1:7">
      <c r="A307" s="314" t="s">
        <v>8</v>
      </c>
      <c r="B307" s="327" t="s">
        <v>880</v>
      </c>
      <c r="C307" s="328"/>
      <c r="D307" s="317"/>
      <c r="E307" s="326"/>
      <c r="F307" s="326"/>
      <c r="G307" s="329">
        <f>G308+G320</f>
        <v>1978.41949461811</v>
      </c>
    </row>
    <row r="308" customHeight="1" spans="1:7">
      <c r="A308" s="314" t="s">
        <v>881</v>
      </c>
      <c r="B308" s="327" t="s">
        <v>882</v>
      </c>
      <c r="C308" s="328"/>
      <c r="D308" s="317"/>
      <c r="E308" s="326"/>
      <c r="F308" s="326"/>
      <c r="G308" s="329">
        <f>G309+G312+G317</f>
        <v>1859.4168182501</v>
      </c>
    </row>
    <row r="309" customHeight="1" spans="1:7">
      <c r="A309" s="314" t="s">
        <v>17</v>
      </c>
      <c r="B309" s="327" t="s">
        <v>510</v>
      </c>
      <c r="C309" s="328"/>
      <c r="D309" s="317"/>
      <c r="E309" s="326"/>
      <c r="F309" s="326"/>
      <c r="G309" s="329">
        <f>SUM(G310:G311)</f>
        <v>708.97</v>
      </c>
    </row>
    <row r="310" customHeight="1" spans="1:7">
      <c r="A310" s="314"/>
      <c r="B310" s="327" t="s">
        <v>704</v>
      </c>
      <c r="C310" s="328"/>
      <c r="D310" s="317" t="s">
        <v>705</v>
      </c>
      <c r="E310" s="326">
        <v>39.8</v>
      </c>
      <c r="F310" s="326">
        <f>主要材料预算!$D$19</f>
        <v>8.1</v>
      </c>
      <c r="G310" s="329">
        <f t="shared" ref="G310:G315" si="32">E310*F310</f>
        <v>322.38</v>
      </c>
    </row>
    <row r="311" customHeight="1" spans="1:7">
      <c r="A311" s="314"/>
      <c r="B311" s="327" t="s">
        <v>706</v>
      </c>
      <c r="C311" s="328"/>
      <c r="D311" s="317" t="s">
        <v>705</v>
      </c>
      <c r="E311" s="326">
        <v>67</v>
      </c>
      <c r="F311" s="326">
        <f>主要材料预算!$D$20</f>
        <v>5.77</v>
      </c>
      <c r="G311" s="329">
        <f t="shared" si="32"/>
        <v>386.59</v>
      </c>
    </row>
    <row r="312" customHeight="1" spans="1:7">
      <c r="A312" s="314" t="s">
        <v>19</v>
      </c>
      <c r="B312" s="327" t="s">
        <v>511</v>
      </c>
      <c r="C312" s="328"/>
      <c r="D312" s="317"/>
      <c r="E312" s="326"/>
      <c r="F312" s="326"/>
      <c r="G312" s="329">
        <f>SUM(G313:G316)</f>
        <v>296.128139</v>
      </c>
    </row>
    <row r="313" customHeight="1" spans="1:7">
      <c r="A313" s="314"/>
      <c r="B313" s="327" t="s">
        <v>1132</v>
      </c>
      <c r="C313" s="328"/>
      <c r="D313" s="317" t="s">
        <v>395</v>
      </c>
      <c r="E313" s="326">
        <v>2.59</v>
      </c>
      <c r="F313" s="326">
        <f>基础材料!D43</f>
        <v>83.97</v>
      </c>
      <c r="G313" s="329">
        <f t="shared" si="32"/>
        <v>217.4823</v>
      </c>
    </row>
    <row r="314" customHeight="1" spans="1:7">
      <c r="A314" s="314"/>
      <c r="B314" s="327" t="s">
        <v>1133</v>
      </c>
      <c r="C314" s="328"/>
      <c r="D314" s="317" t="s">
        <v>695</v>
      </c>
      <c r="E314" s="326">
        <v>1.39</v>
      </c>
      <c r="F314" s="326">
        <f>基础材料!D44</f>
        <v>5.2</v>
      </c>
      <c r="G314" s="329">
        <f t="shared" si="32"/>
        <v>7.228</v>
      </c>
    </row>
    <row r="315" customHeight="1" spans="1:7">
      <c r="A315" s="314"/>
      <c r="B315" s="327" t="s">
        <v>730</v>
      </c>
      <c r="C315" s="328"/>
      <c r="D315" s="317" t="s">
        <v>70</v>
      </c>
      <c r="E315" s="326">
        <v>9</v>
      </c>
      <c r="F315" s="326">
        <f>主要材料预算!D16</f>
        <v>4.15</v>
      </c>
      <c r="G315" s="329">
        <f t="shared" si="32"/>
        <v>37.35</v>
      </c>
    </row>
    <row r="316" customHeight="1" spans="1:7">
      <c r="A316" s="314"/>
      <c r="B316" s="327" t="s">
        <v>893</v>
      </c>
      <c r="C316" s="328"/>
      <c r="D316" s="317" t="s">
        <v>894</v>
      </c>
      <c r="E316" s="147">
        <f>SUM(G313:G315)</f>
        <v>262.0603</v>
      </c>
      <c r="F316" s="326">
        <v>13</v>
      </c>
      <c r="G316" s="329">
        <f>E316*F316/100</f>
        <v>34.067839</v>
      </c>
    </row>
    <row r="317" customHeight="1" spans="1:7">
      <c r="A317" s="314" t="s">
        <v>21</v>
      </c>
      <c r="B317" s="327" t="s">
        <v>895</v>
      </c>
      <c r="C317" s="328"/>
      <c r="D317" s="317"/>
      <c r="E317" s="147"/>
      <c r="F317" s="326"/>
      <c r="G317" s="329">
        <f>SUM(G318:G319)</f>
        <v>854.3186792501</v>
      </c>
    </row>
    <row r="318" customHeight="1" spans="1:7">
      <c r="A318" s="314"/>
      <c r="B318" s="327" t="s">
        <v>1134</v>
      </c>
      <c r="C318" s="328"/>
      <c r="D318" s="317" t="s">
        <v>896</v>
      </c>
      <c r="E318" s="147">
        <v>24.6</v>
      </c>
      <c r="F318" s="326">
        <f>施工机械台时费!$E$18</f>
        <v>30.4635101715197</v>
      </c>
      <c r="G318" s="329">
        <f t="shared" ref="G318:G324" si="33">E318*F318</f>
        <v>749.402350219386</v>
      </c>
    </row>
    <row r="319" customHeight="1" spans="1:7">
      <c r="A319" s="314"/>
      <c r="B319" s="327" t="s">
        <v>902</v>
      </c>
      <c r="C319" s="328"/>
      <c r="D319" s="317" t="s">
        <v>894</v>
      </c>
      <c r="E319" s="147">
        <f>G318</f>
        <v>749.402350219386</v>
      </c>
      <c r="F319" s="326">
        <v>14</v>
      </c>
      <c r="G319" s="329">
        <f>E319*F319/100</f>
        <v>104.916329030714</v>
      </c>
    </row>
    <row r="320" customHeight="1" spans="1:7">
      <c r="A320" s="314" t="s">
        <v>905</v>
      </c>
      <c r="B320" s="327" t="s">
        <v>514</v>
      </c>
      <c r="C320" s="328"/>
      <c r="D320" s="317"/>
      <c r="E320" s="332">
        <f>G308</f>
        <v>1859.4168182501</v>
      </c>
      <c r="F320" s="333">
        <f>费率表!$H$12</f>
        <v>0.064</v>
      </c>
      <c r="G320" s="329">
        <f t="shared" si="33"/>
        <v>119.002676368006</v>
      </c>
    </row>
    <row r="321" customHeight="1" spans="1:14">
      <c r="A321" s="314" t="s">
        <v>10</v>
      </c>
      <c r="B321" s="327" t="s">
        <v>770</v>
      </c>
      <c r="C321" s="328"/>
      <c r="D321" s="317"/>
      <c r="E321" s="326">
        <f>G307</f>
        <v>1978.41949461811</v>
      </c>
      <c r="F321" s="334">
        <f>费率表!$H$13</f>
        <v>0.095</v>
      </c>
      <c r="G321" s="329">
        <f t="shared" si="33"/>
        <v>187.94985198872</v>
      </c>
    </row>
    <row r="322" customHeight="1" spans="1:14">
      <c r="A322" s="314" t="s">
        <v>12</v>
      </c>
      <c r="B322" s="327" t="s">
        <v>771</v>
      </c>
      <c r="C322" s="328"/>
      <c r="D322" s="317"/>
      <c r="E322" s="326">
        <f>G307+G321</f>
        <v>2166.36934660683</v>
      </c>
      <c r="F322" s="334">
        <f>费率表!$H$14</f>
        <v>0.07</v>
      </c>
      <c r="G322" s="329">
        <f t="shared" si="33"/>
        <v>151.645854262478</v>
      </c>
    </row>
    <row r="323" customHeight="1" spans="1:14">
      <c r="A323" s="314" t="s">
        <v>15</v>
      </c>
      <c r="B323" s="327" t="s">
        <v>772</v>
      </c>
      <c r="C323" s="328"/>
      <c r="D323" s="317"/>
      <c r="E323" s="326">
        <f>G307+G321++G322</f>
        <v>2318.0152008693</v>
      </c>
      <c r="F323" s="334">
        <f>费率表!$H$15</f>
        <v>0.09</v>
      </c>
      <c r="G323" s="329">
        <f t="shared" si="33"/>
        <v>208.621368078237</v>
      </c>
    </row>
    <row r="324" customHeight="1" spans="1:14">
      <c r="A324" s="314"/>
      <c r="B324" s="327" t="s">
        <v>907</v>
      </c>
      <c r="C324" s="328"/>
      <c r="D324" s="317"/>
      <c r="E324" s="326">
        <f>G307+G321+G322+G323</f>
        <v>2526.63656894754</v>
      </c>
      <c r="F324" s="334">
        <f>费率表!$I$19</f>
        <v>0.03</v>
      </c>
      <c r="G324" s="329">
        <f t="shared" si="33"/>
        <v>75.7990970684262</v>
      </c>
    </row>
    <row r="325" customHeight="1" spans="1:14">
      <c r="A325" s="335"/>
      <c r="B325" s="336" t="s">
        <v>39</v>
      </c>
      <c r="C325" s="337"/>
      <c r="D325" s="338"/>
      <c r="E325" s="339"/>
      <c r="F325" s="338"/>
      <c r="G325" s="340">
        <f>G307+G321+G322+G323+G324</f>
        <v>2602.43566601597</v>
      </c>
    </row>
    <row r="327" customHeight="1" spans="1:14">
      <c r="A327" s="164" t="s">
        <v>868</v>
      </c>
      <c r="B327" s="164"/>
      <c r="C327" s="164"/>
      <c r="D327" s="164"/>
      <c r="E327" s="164"/>
      <c r="F327" s="164"/>
      <c r="G327" s="164"/>
      <c r="H327" s="164" t="s">
        <v>868</v>
      </c>
      <c r="I327" s="164"/>
      <c r="J327" s="164"/>
      <c r="K327" s="164"/>
      <c r="L327" s="164"/>
      <c r="M327" s="164"/>
      <c r="N327" s="164"/>
    </row>
    <row r="328" customHeight="1" spans="1:14">
      <c r="A328" s="165" t="s">
        <v>869</v>
      </c>
      <c r="B328" s="129"/>
      <c r="C328" s="129"/>
      <c r="D328" s="129" t="s">
        <v>870</v>
      </c>
      <c r="E328" s="130" t="s">
        <v>1135</v>
      </c>
      <c r="F328" s="131"/>
      <c r="G328" s="132"/>
      <c r="H328" s="165" t="s">
        <v>869</v>
      </c>
      <c r="I328" s="129"/>
      <c r="J328" s="129"/>
      <c r="K328" s="129" t="s">
        <v>870</v>
      </c>
      <c r="L328" s="130" t="s">
        <v>1136</v>
      </c>
      <c r="M328" s="131"/>
      <c r="N328" s="132"/>
    </row>
    <row r="329" customHeight="1" spans="1:14">
      <c r="A329" s="144" t="s">
        <v>507</v>
      </c>
      <c r="B329" s="166"/>
      <c r="C329" s="167" t="s">
        <v>1137</v>
      </c>
      <c r="D329" s="167"/>
      <c r="E329" s="167"/>
      <c r="F329" s="61" t="s">
        <v>873</v>
      </c>
      <c r="G329" s="138" t="s">
        <v>1138</v>
      </c>
      <c r="H329" s="144" t="s">
        <v>507</v>
      </c>
      <c r="I329" s="166"/>
      <c r="J329" s="167" t="s">
        <v>1137</v>
      </c>
      <c r="K329" s="167"/>
      <c r="L329" s="167"/>
      <c r="M329" s="61" t="s">
        <v>873</v>
      </c>
      <c r="N329" s="138" t="s">
        <v>1138</v>
      </c>
    </row>
    <row r="330" customHeight="1" spans="1:14">
      <c r="A330" s="168" t="s">
        <v>1139</v>
      </c>
      <c r="B330" s="167"/>
      <c r="C330" s="167"/>
      <c r="D330" s="167"/>
      <c r="E330" s="167"/>
      <c r="F330" s="167"/>
      <c r="G330" s="169"/>
      <c r="H330" s="168" t="s">
        <v>1139</v>
      </c>
      <c r="I330" s="167"/>
      <c r="J330" s="167"/>
      <c r="K330" s="167"/>
      <c r="L330" s="167"/>
      <c r="M330" s="167"/>
      <c r="N330" s="169"/>
    </row>
    <row r="331" customHeight="1" spans="1:14">
      <c r="A331" s="141" t="s">
        <v>1140</v>
      </c>
      <c r="B331" s="142"/>
      <c r="C331" s="170"/>
      <c r="D331" s="170"/>
      <c r="E331" s="170"/>
      <c r="F331" s="170"/>
      <c r="G331" s="171"/>
      <c r="H331" s="141" t="s">
        <v>1140</v>
      </c>
      <c r="I331" s="142"/>
      <c r="J331" s="170"/>
      <c r="K331" s="170"/>
      <c r="L331" s="170"/>
      <c r="M331" s="170"/>
      <c r="N331" s="171"/>
    </row>
    <row r="332" customHeight="1" spans="1:14">
      <c r="A332" s="144" t="s">
        <v>34</v>
      </c>
      <c r="B332" s="61" t="s">
        <v>761</v>
      </c>
      <c r="C332" s="61"/>
      <c r="D332" s="61" t="s">
        <v>60</v>
      </c>
      <c r="E332" s="147" t="s">
        <v>877</v>
      </c>
      <c r="F332" s="61" t="s">
        <v>878</v>
      </c>
      <c r="G332" s="138" t="s">
        <v>879</v>
      </c>
      <c r="H332" s="144" t="s">
        <v>34</v>
      </c>
      <c r="I332" s="61" t="s">
        <v>761</v>
      </c>
      <c r="J332" s="61"/>
      <c r="K332" s="61" t="s">
        <v>60</v>
      </c>
      <c r="L332" s="147" t="s">
        <v>877</v>
      </c>
      <c r="M332" s="61" t="s">
        <v>878</v>
      </c>
      <c r="N332" s="138" t="s">
        <v>879</v>
      </c>
    </row>
    <row r="333" customHeight="1" spans="1:14">
      <c r="A333" s="144" t="s">
        <v>8</v>
      </c>
      <c r="B333" s="153" t="s">
        <v>880</v>
      </c>
      <c r="C333" s="153"/>
      <c r="D333" s="61"/>
      <c r="E333" s="147"/>
      <c r="F333" s="147"/>
      <c r="G333" s="150">
        <f>G334+G344</f>
        <v>21105.8154928121</v>
      </c>
      <c r="H333" s="144" t="s">
        <v>8</v>
      </c>
      <c r="I333" s="153" t="s">
        <v>880</v>
      </c>
      <c r="J333" s="153"/>
      <c r="K333" s="61"/>
      <c r="L333" s="147"/>
      <c r="M333" s="147"/>
      <c r="N333" s="150">
        <f>N334+N344</f>
        <v>4068.50299421213</v>
      </c>
    </row>
    <row r="334" customHeight="1" spans="1:14">
      <c r="A334" s="144" t="s">
        <v>881</v>
      </c>
      <c r="B334" s="153" t="s">
        <v>882</v>
      </c>
      <c r="C334" s="153"/>
      <c r="D334" s="61"/>
      <c r="E334" s="147"/>
      <c r="F334" s="147"/>
      <c r="G334" s="150">
        <f>G335+G338+G342</f>
        <v>20139.1369206223</v>
      </c>
      <c r="H334" s="144" t="s">
        <v>881</v>
      </c>
      <c r="I334" s="153" t="s">
        <v>882</v>
      </c>
      <c r="J334" s="153"/>
      <c r="K334" s="61"/>
      <c r="L334" s="147"/>
      <c r="M334" s="147"/>
      <c r="N334" s="150">
        <f>N335+N338+N342</f>
        <v>3882.15934562226</v>
      </c>
    </row>
    <row r="335" customHeight="1" spans="1:14">
      <c r="A335" s="144" t="s">
        <v>17</v>
      </c>
      <c r="B335" s="153" t="s">
        <v>510</v>
      </c>
      <c r="C335" s="153"/>
      <c r="D335" s="61"/>
      <c r="E335" s="147"/>
      <c r="F335" s="147"/>
      <c r="G335" s="150">
        <f>SUM(G336:G337)</f>
        <v>3799.485</v>
      </c>
      <c r="H335" s="144" t="s">
        <v>17</v>
      </c>
      <c r="I335" s="153" t="s">
        <v>510</v>
      </c>
      <c r="J335" s="153"/>
      <c r="K335" s="61"/>
      <c r="L335" s="147"/>
      <c r="M335" s="147"/>
      <c r="N335" s="150">
        <f>SUM(N336:N337)</f>
        <v>3799.485</v>
      </c>
    </row>
    <row r="336" customHeight="1" spans="1:14">
      <c r="A336" s="144"/>
      <c r="B336" s="153" t="s">
        <v>704</v>
      </c>
      <c r="C336" s="153"/>
      <c r="D336" s="61" t="s">
        <v>705</v>
      </c>
      <c r="E336" s="147">
        <v>196.6</v>
      </c>
      <c r="F336" s="147">
        <f>主要材料预算!$D$19</f>
        <v>8.1</v>
      </c>
      <c r="G336" s="150">
        <f t="shared" ref="G336:G340" si="34">E336*F336</f>
        <v>1592.46</v>
      </c>
      <c r="H336" s="144"/>
      <c r="I336" s="153" t="s">
        <v>704</v>
      </c>
      <c r="J336" s="153"/>
      <c r="K336" s="61" t="s">
        <v>705</v>
      </c>
      <c r="L336" s="147">
        <v>196.6</v>
      </c>
      <c r="M336" s="147">
        <f>主要材料预算!$D$19</f>
        <v>8.1</v>
      </c>
      <c r="N336" s="150">
        <f t="shared" ref="N336:N340" si="35">L336*M336</f>
        <v>1592.46</v>
      </c>
    </row>
    <row r="337" customHeight="1" spans="1:14">
      <c r="A337" s="144"/>
      <c r="B337" s="153" t="s">
        <v>706</v>
      </c>
      <c r="C337" s="153"/>
      <c r="D337" s="61" t="s">
        <v>705</v>
      </c>
      <c r="E337" s="151">
        <v>382.5</v>
      </c>
      <c r="F337" s="147">
        <f>主要材料预算!$D$20</f>
        <v>5.77</v>
      </c>
      <c r="G337" s="150">
        <f t="shared" si="34"/>
        <v>2207.025</v>
      </c>
      <c r="H337" s="144"/>
      <c r="I337" s="153" t="s">
        <v>706</v>
      </c>
      <c r="J337" s="153"/>
      <c r="K337" s="61" t="s">
        <v>705</v>
      </c>
      <c r="L337" s="151">
        <v>382.5</v>
      </c>
      <c r="M337" s="147">
        <f>主要材料预算!$D$20</f>
        <v>5.77</v>
      </c>
      <c r="N337" s="150">
        <f t="shared" si="35"/>
        <v>2207.025</v>
      </c>
    </row>
    <row r="338" customHeight="1" spans="1:14">
      <c r="A338" s="144" t="s">
        <v>19</v>
      </c>
      <c r="B338" s="148" t="s">
        <v>511</v>
      </c>
      <c r="C338" s="149"/>
      <c r="D338" s="61"/>
      <c r="E338" s="147"/>
      <c r="F338" s="147"/>
      <c r="G338" s="150">
        <f>SUM(G339:G341)</f>
        <v>16275.975</v>
      </c>
      <c r="H338" s="144" t="s">
        <v>19</v>
      </c>
      <c r="I338" s="148" t="s">
        <v>511</v>
      </c>
      <c r="J338" s="149"/>
      <c r="K338" s="61"/>
      <c r="L338" s="147"/>
      <c r="M338" s="147"/>
      <c r="N338" s="150">
        <f>SUM(N339:N341)</f>
        <v>18.997425</v>
      </c>
    </row>
    <row r="339" customHeight="1" spans="1:14">
      <c r="A339" s="144"/>
      <c r="B339" s="148" t="s">
        <v>1141</v>
      </c>
      <c r="C339" s="149"/>
      <c r="D339" s="61" t="s">
        <v>1142</v>
      </c>
      <c r="E339" s="147">
        <v>850</v>
      </c>
      <c r="F339" s="147">
        <v>9.5</v>
      </c>
      <c r="G339" s="150">
        <f t="shared" si="34"/>
        <v>8075</v>
      </c>
      <c r="H339" s="144"/>
      <c r="I339" s="148" t="s">
        <v>1141</v>
      </c>
      <c r="J339" s="149"/>
      <c r="K339" s="61" t="s">
        <v>1142</v>
      </c>
      <c r="L339" s="147">
        <v>850</v>
      </c>
      <c r="M339" s="147"/>
      <c r="N339" s="150">
        <f t="shared" si="35"/>
        <v>0</v>
      </c>
    </row>
    <row r="340" customHeight="1" spans="1:14">
      <c r="A340" s="144"/>
      <c r="B340" s="148" t="s">
        <v>688</v>
      </c>
      <c r="C340" s="149"/>
      <c r="D340" s="61" t="s">
        <v>70</v>
      </c>
      <c r="E340" s="147">
        <v>116</v>
      </c>
      <c r="F340" s="147">
        <v>70</v>
      </c>
      <c r="G340" s="150">
        <f t="shared" si="34"/>
        <v>8120</v>
      </c>
      <c r="H340" s="144"/>
      <c r="I340" s="148" t="s">
        <v>688</v>
      </c>
      <c r="J340" s="149"/>
      <c r="K340" s="61" t="s">
        <v>70</v>
      </c>
      <c r="L340" s="147">
        <v>116</v>
      </c>
      <c r="M340" s="147"/>
      <c r="N340" s="150">
        <f t="shared" si="35"/>
        <v>0</v>
      </c>
    </row>
    <row r="341" customHeight="1" spans="1:14">
      <c r="A341" s="144"/>
      <c r="B341" s="148" t="s">
        <v>893</v>
      </c>
      <c r="C341" s="149"/>
      <c r="D341" s="61" t="s">
        <v>894</v>
      </c>
      <c r="E341" s="147">
        <f>SUM(G339:G340)</f>
        <v>16195</v>
      </c>
      <c r="F341" s="147">
        <v>0.5</v>
      </c>
      <c r="G341" s="150">
        <f>E341*F341/100</f>
        <v>80.975</v>
      </c>
      <c r="H341" s="144"/>
      <c r="I341" s="148" t="s">
        <v>893</v>
      </c>
      <c r="J341" s="149"/>
      <c r="K341" s="61" t="s">
        <v>894</v>
      </c>
      <c r="L341" s="379">
        <f>N335</f>
        <v>3799.485</v>
      </c>
      <c r="M341" s="147">
        <v>0.5</v>
      </c>
      <c r="N341" s="150">
        <f>L341*M341/100</f>
        <v>18.997425</v>
      </c>
    </row>
    <row r="342" customHeight="1" spans="1:14">
      <c r="A342" s="144" t="s">
        <v>21</v>
      </c>
      <c r="B342" s="153" t="s">
        <v>895</v>
      </c>
      <c r="C342" s="153"/>
      <c r="D342" s="153"/>
      <c r="E342" s="147"/>
      <c r="F342" s="147"/>
      <c r="G342" s="150">
        <f>SUM(G343:G343)</f>
        <v>63.6769206222576</v>
      </c>
      <c r="H342" s="144" t="s">
        <v>21</v>
      </c>
      <c r="I342" s="153" t="s">
        <v>895</v>
      </c>
      <c r="J342" s="153"/>
      <c r="K342" s="153"/>
      <c r="L342" s="147"/>
      <c r="M342" s="147"/>
      <c r="N342" s="150">
        <f>SUM(N343:N343)</f>
        <v>63.6769206222576</v>
      </c>
    </row>
    <row r="343" customHeight="1" spans="1:14">
      <c r="A343" s="144"/>
      <c r="B343" s="148" t="s">
        <v>834</v>
      </c>
      <c r="C343" s="149"/>
      <c r="D343" s="61" t="s">
        <v>896</v>
      </c>
      <c r="E343" s="147">
        <v>78.3</v>
      </c>
      <c r="F343" s="147">
        <f>施工机械台时费!$E$36</f>
        <v>0.813242919824491</v>
      </c>
      <c r="G343" s="150">
        <f t="shared" ref="G343:G346" si="36">E343*F343</f>
        <v>63.6769206222576</v>
      </c>
      <c r="H343" s="144"/>
      <c r="I343" s="148" t="s">
        <v>834</v>
      </c>
      <c r="J343" s="149"/>
      <c r="K343" s="61" t="s">
        <v>896</v>
      </c>
      <c r="L343" s="147">
        <v>78.3</v>
      </c>
      <c r="M343" s="147">
        <f>施工机械台时费!$E$36</f>
        <v>0.813242919824491</v>
      </c>
      <c r="N343" s="150">
        <f t="shared" ref="N343:N346" si="37">L343*M343</f>
        <v>63.6769206222576</v>
      </c>
    </row>
    <row r="344" customHeight="1" spans="1:14">
      <c r="A344" s="144" t="s">
        <v>905</v>
      </c>
      <c r="B344" s="153" t="s">
        <v>514</v>
      </c>
      <c r="C344" s="153"/>
      <c r="D344" s="61"/>
      <c r="E344" s="154">
        <f>G334</f>
        <v>20139.1369206223</v>
      </c>
      <c r="F344" s="155">
        <f>费率表!$F$4</f>
        <v>0.048</v>
      </c>
      <c r="G344" s="150">
        <f t="shared" si="36"/>
        <v>966.678572189868</v>
      </c>
      <c r="H344" s="144" t="s">
        <v>905</v>
      </c>
      <c r="I344" s="153" t="s">
        <v>514</v>
      </c>
      <c r="J344" s="153"/>
      <c r="K344" s="61"/>
      <c r="L344" s="154">
        <f>N334</f>
        <v>3882.15934562226</v>
      </c>
      <c r="M344" s="155">
        <f>费率表!$F$4</f>
        <v>0.048</v>
      </c>
      <c r="N344" s="150">
        <f t="shared" si="37"/>
        <v>186.343648589868</v>
      </c>
    </row>
    <row r="345" customHeight="1" spans="1:14">
      <c r="A345" s="144" t="s">
        <v>10</v>
      </c>
      <c r="B345" s="153" t="s">
        <v>770</v>
      </c>
      <c r="C345" s="153"/>
      <c r="D345" s="61"/>
      <c r="E345" s="147">
        <f>G333</f>
        <v>21105.8154928121</v>
      </c>
      <c r="F345" s="156">
        <f>费率表!$F$5</f>
        <v>0.085</v>
      </c>
      <c r="G345" s="150">
        <f t="shared" si="36"/>
        <v>1793.99431688903</v>
      </c>
      <c r="H345" s="144" t="s">
        <v>10</v>
      </c>
      <c r="I345" s="153" t="s">
        <v>770</v>
      </c>
      <c r="J345" s="153"/>
      <c r="K345" s="61"/>
      <c r="L345" s="147">
        <f>N333</f>
        <v>4068.50299421213</v>
      </c>
      <c r="M345" s="156">
        <f>费率表!$F$5</f>
        <v>0.085</v>
      </c>
      <c r="N345" s="150">
        <f t="shared" si="37"/>
        <v>345.822754508031</v>
      </c>
    </row>
    <row r="346" customHeight="1" spans="1:14">
      <c r="A346" s="144" t="s">
        <v>12</v>
      </c>
      <c r="B346" s="153" t="s">
        <v>771</v>
      </c>
      <c r="C346" s="153"/>
      <c r="D346" s="61"/>
      <c r="E346" s="147">
        <f>G333+G345</f>
        <v>22899.8098097012</v>
      </c>
      <c r="F346" s="156">
        <f>费率表!$F$6</f>
        <v>0.07</v>
      </c>
      <c r="G346" s="150">
        <f t="shared" si="36"/>
        <v>1602.98668667908</v>
      </c>
      <c r="H346" s="144" t="s">
        <v>12</v>
      </c>
      <c r="I346" s="153" t="s">
        <v>771</v>
      </c>
      <c r="J346" s="153"/>
      <c r="K346" s="61"/>
      <c r="L346" s="147">
        <f>N333+N345</f>
        <v>4414.32574872016</v>
      </c>
      <c r="M346" s="156">
        <f>费率表!$F$6</f>
        <v>0.07</v>
      </c>
      <c r="N346" s="150">
        <f t="shared" si="37"/>
        <v>309.002802410411</v>
      </c>
    </row>
    <row r="347" customHeight="1" spans="1:14">
      <c r="A347" s="144" t="s">
        <v>15</v>
      </c>
      <c r="B347" s="148" t="s">
        <v>517</v>
      </c>
      <c r="C347" s="149"/>
      <c r="D347" s="61"/>
      <c r="E347" s="147"/>
      <c r="F347" s="157"/>
      <c r="G347" s="150">
        <f>SUM(G348:G348)</f>
        <v>5581.13352</v>
      </c>
      <c r="H347" s="144" t="s">
        <v>15</v>
      </c>
      <c r="I347" s="148" t="s">
        <v>517</v>
      </c>
      <c r="J347" s="149"/>
      <c r="K347" s="61"/>
      <c r="L347" s="147"/>
      <c r="M347" s="157"/>
      <c r="N347" s="150">
        <f>SUM(N348:N348)</f>
        <v>0</v>
      </c>
    </row>
    <row r="348" customHeight="1" spans="1:14">
      <c r="A348" s="144"/>
      <c r="B348" s="148" t="s">
        <v>688</v>
      </c>
      <c r="C348" s="149"/>
      <c r="D348" s="61" t="s">
        <v>70</v>
      </c>
      <c r="E348" s="147">
        <f>E340</f>
        <v>116</v>
      </c>
      <c r="F348" s="357">
        <f>主要材料预算!$N$10</f>
        <v>48.11322</v>
      </c>
      <c r="G348" s="150">
        <f t="shared" ref="G348:G350" si="38">E348*F348</f>
        <v>5581.13352</v>
      </c>
      <c r="H348" s="144"/>
      <c r="I348" s="148" t="s">
        <v>688</v>
      </c>
      <c r="J348" s="149"/>
      <c r="K348" s="61" t="s">
        <v>70</v>
      </c>
      <c r="L348" s="147">
        <f>L340</f>
        <v>116</v>
      </c>
      <c r="M348" s="147"/>
      <c r="N348" s="150">
        <f t="shared" ref="N348:N350" si="39">L348*M348</f>
        <v>0</v>
      </c>
    </row>
    <row r="349" customHeight="1" spans="1:14">
      <c r="A349" s="144" t="s">
        <v>906</v>
      </c>
      <c r="B349" s="153" t="s">
        <v>772</v>
      </c>
      <c r="C349" s="153"/>
      <c r="D349" s="61"/>
      <c r="E349" s="147">
        <f>G333+G345+G346+G347</f>
        <v>30083.9300163802</v>
      </c>
      <c r="F349" s="156">
        <f>费率表!$F$7</f>
        <v>0.09</v>
      </c>
      <c r="G349" s="150">
        <f t="shared" si="38"/>
        <v>2707.55370147422</v>
      </c>
      <c r="H349" s="144" t="s">
        <v>906</v>
      </c>
      <c r="I349" s="153" t="s">
        <v>772</v>
      </c>
      <c r="J349" s="153"/>
      <c r="K349" s="61"/>
      <c r="L349" s="147">
        <f>N333+N345+N346+N347</f>
        <v>4723.32855113057</v>
      </c>
      <c r="M349" s="156">
        <f>费率表!$F$7</f>
        <v>0.09</v>
      </c>
      <c r="N349" s="150">
        <f t="shared" si="39"/>
        <v>425.099569601751</v>
      </c>
    </row>
    <row r="350" customHeight="1" spans="1:14">
      <c r="A350" s="144"/>
      <c r="B350" s="153" t="s">
        <v>907</v>
      </c>
      <c r="C350" s="153"/>
      <c r="D350" s="61"/>
      <c r="E350" s="147">
        <f>G333+G345+G346+G347+G349</f>
        <v>32791.4837178544</v>
      </c>
      <c r="F350" s="156">
        <f>费率表!$B$19</f>
        <v>0.03</v>
      </c>
      <c r="G350" s="150">
        <f t="shared" si="38"/>
        <v>983.744511535633</v>
      </c>
      <c r="H350" s="144"/>
      <c r="I350" s="153" t="s">
        <v>907</v>
      </c>
      <c r="J350" s="153"/>
      <c r="K350" s="61"/>
      <c r="L350" s="147">
        <f>N333+N345+N346+N347+N349</f>
        <v>5148.42812073232</v>
      </c>
      <c r="M350" s="156">
        <f>费率表!$B$19</f>
        <v>0.03</v>
      </c>
      <c r="N350" s="150">
        <f t="shared" si="39"/>
        <v>154.45284362197</v>
      </c>
    </row>
    <row r="351" customHeight="1" spans="1:14">
      <c r="A351" s="158"/>
      <c r="B351" s="161" t="s">
        <v>39</v>
      </c>
      <c r="C351" s="161"/>
      <c r="D351" s="161"/>
      <c r="E351" s="162"/>
      <c r="F351" s="161"/>
      <c r="G351" s="163">
        <f>G333+G345+G346+G347+G349+G350</f>
        <v>33775.2282293901</v>
      </c>
      <c r="H351" s="158"/>
      <c r="I351" s="161" t="s">
        <v>39</v>
      </c>
      <c r="J351" s="161"/>
      <c r="K351" s="161"/>
      <c r="L351" s="162"/>
      <c r="M351" s="161"/>
      <c r="N351" s="163">
        <f>N333+N345+N346+N347+N349+N350</f>
        <v>5302.88096435429</v>
      </c>
    </row>
    <row r="353" customHeight="1" spans="1:7">
      <c r="A353" s="352" t="s">
        <v>868</v>
      </c>
      <c r="B353" s="352"/>
      <c r="C353" s="352"/>
      <c r="D353" s="352"/>
      <c r="E353" s="352"/>
      <c r="F353" s="352"/>
      <c r="G353" s="352"/>
    </row>
    <row r="354" customHeight="1" spans="1:7">
      <c r="A354" s="165" t="s">
        <v>869</v>
      </c>
      <c r="B354" s="129"/>
      <c r="C354" s="129"/>
      <c r="D354" s="129" t="s">
        <v>870</v>
      </c>
      <c r="E354" s="130" t="s">
        <v>1143</v>
      </c>
      <c r="F354" s="131"/>
      <c r="G354" s="132"/>
    </row>
    <row r="355" customHeight="1" spans="1:7">
      <c r="A355" s="144" t="s">
        <v>507</v>
      </c>
      <c r="B355" s="166"/>
      <c r="C355" s="167" t="s">
        <v>1144</v>
      </c>
      <c r="D355" s="167"/>
      <c r="E355" s="167"/>
      <c r="F355" s="61" t="s">
        <v>873</v>
      </c>
      <c r="G355" s="138" t="s">
        <v>1138</v>
      </c>
    </row>
    <row r="356" customHeight="1" spans="1:7">
      <c r="A356" s="168" t="s">
        <v>1145</v>
      </c>
      <c r="B356" s="167"/>
      <c r="C356" s="167"/>
      <c r="D356" s="167"/>
      <c r="E356" s="167"/>
      <c r="F356" s="167"/>
      <c r="G356" s="169"/>
    </row>
    <row r="357" customHeight="1" spans="1:7">
      <c r="A357" s="141" t="s">
        <v>1140</v>
      </c>
      <c r="B357" s="142"/>
      <c r="C357" s="170"/>
      <c r="D357" s="170"/>
      <c r="E357" s="170"/>
      <c r="F357" s="170"/>
      <c r="G357" s="171"/>
    </row>
    <row r="358" customHeight="1" spans="1:7">
      <c r="A358" s="314" t="s">
        <v>34</v>
      </c>
      <c r="B358" s="317" t="s">
        <v>761</v>
      </c>
      <c r="C358" s="317"/>
      <c r="D358" s="317" t="s">
        <v>60</v>
      </c>
      <c r="E358" s="326" t="s">
        <v>877</v>
      </c>
      <c r="F358" s="317" t="s">
        <v>878</v>
      </c>
      <c r="G358" s="318" t="s">
        <v>879</v>
      </c>
    </row>
    <row r="359" customHeight="1" spans="1:7">
      <c r="A359" s="314" t="s">
        <v>8</v>
      </c>
      <c r="B359" s="327" t="s">
        <v>880</v>
      </c>
      <c r="C359" s="328"/>
      <c r="D359" s="317"/>
      <c r="E359" s="326"/>
      <c r="F359" s="326"/>
      <c r="G359" s="329">
        <f>G360+G370</f>
        <v>15706.5795599553</v>
      </c>
    </row>
    <row r="360" customHeight="1" spans="1:7">
      <c r="A360" s="314" t="s">
        <v>881</v>
      </c>
      <c r="B360" s="327" t="s">
        <v>882</v>
      </c>
      <c r="C360" s="328"/>
      <c r="D360" s="317"/>
      <c r="E360" s="326"/>
      <c r="F360" s="326"/>
      <c r="G360" s="329">
        <f>G361+G364+G368</f>
        <v>14761.8228946949</v>
      </c>
    </row>
    <row r="361" customHeight="1" spans="1:7">
      <c r="A361" s="314" t="s">
        <v>17</v>
      </c>
      <c r="B361" s="327" t="s">
        <v>510</v>
      </c>
      <c r="C361" s="328"/>
      <c r="D361" s="317"/>
      <c r="E361" s="326"/>
      <c r="F361" s="326"/>
      <c r="G361" s="329">
        <f>SUM(G362:G363)</f>
        <v>2696.186</v>
      </c>
    </row>
    <row r="362" customHeight="1" spans="1:7">
      <c r="A362" s="314"/>
      <c r="B362" s="327" t="s">
        <v>704</v>
      </c>
      <c r="C362" s="328"/>
      <c r="D362" s="317" t="s">
        <v>705</v>
      </c>
      <c r="E362" s="326">
        <v>125</v>
      </c>
      <c r="F362" s="326">
        <f>主要材料预算!$D$19</f>
        <v>8.1</v>
      </c>
      <c r="G362" s="329">
        <f t="shared" ref="G362:G366" si="40">E362*F362</f>
        <v>1012.5</v>
      </c>
    </row>
    <row r="363" customHeight="1" spans="1:7">
      <c r="A363" s="314"/>
      <c r="B363" s="327" t="s">
        <v>706</v>
      </c>
      <c r="C363" s="328"/>
      <c r="D363" s="317" t="s">
        <v>705</v>
      </c>
      <c r="E363" s="326">
        <v>291.8</v>
      </c>
      <c r="F363" s="326">
        <f>主要材料预算!$D$20</f>
        <v>5.77</v>
      </c>
      <c r="G363" s="329">
        <f t="shared" si="40"/>
        <v>1683.686</v>
      </c>
    </row>
    <row r="364" customHeight="1" spans="1:7">
      <c r="A364" s="314" t="s">
        <v>19</v>
      </c>
      <c r="B364" s="327" t="s">
        <v>511</v>
      </c>
      <c r="C364" s="328"/>
      <c r="D364" s="317"/>
      <c r="E364" s="326"/>
      <c r="F364" s="326"/>
      <c r="G364" s="329">
        <f>SUM(G365:G367)</f>
        <v>12004.725</v>
      </c>
    </row>
    <row r="365" customHeight="1" spans="1:7">
      <c r="A365" s="314"/>
      <c r="B365" s="148" t="s">
        <v>1141</v>
      </c>
      <c r="C365" s="149"/>
      <c r="D365" s="317" t="s">
        <v>1146</v>
      </c>
      <c r="E365" s="326">
        <v>850</v>
      </c>
      <c r="F365" s="326">
        <f>基础材料!$D$71</f>
        <v>4.5</v>
      </c>
      <c r="G365" s="329">
        <f t="shared" si="40"/>
        <v>3825</v>
      </c>
    </row>
    <row r="366" customHeight="1" spans="1:7">
      <c r="A366" s="314"/>
      <c r="B366" s="327" t="s">
        <v>688</v>
      </c>
      <c r="C366" s="328"/>
      <c r="D366" s="317" t="s">
        <v>70</v>
      </c>
      <c r="E366" s="326">
        <v>116</v>
      </c>
      <c r="F366" s="326">
        <f>主要材料预算!$M$10</f>
        <v>70</v>
      </c>
      <c r="G366" s="329">
        <f t="shared" si="40"/>
        <v>8120</v>
      </c>
    </row>
    <row r="367" customHeight="1" spans="1:7">
      <c r="A367" s="314"/>
      <c r="B367" s="327" t="s">
        <v>893</v>
      </c>
      <c r="C367" s="328"/>
      <c r="D367" s="317" t="s">
        <v>894</v>
      </c>
      <c r="E367" s="147">
        <f>SUM(G365:G366)</f>
        <v>11945</v>
      </c>
      <c r="F367" s="326">
        <v>0.5</v>
      </c>
      <c r="G367" s="329">
        <f>E367*F367/100</f>
        <v>59.725</v>
      </c>
    </row>
    <row r="368" customHeight="1" spans="1:7">
      <c r="A368" s="314" t="s">
        <v>21</v>
      </c>
      <c r="B368" s="327" t="s">
        <v>895</v>
      </c>
      <c r="C368" s="328"/>
      <c r="D368" s="317"/>
      <c r="E368" s="147"/>
      <c r="F368" s="326"/>
      <c r="G368" s="329">
        <f>SUM(G369:G369)</f>
        <v>60.9118946948544</v>
      </c>
    </row>
    <row r="369" customHeight="1" spans="1:14">
      <c r="A369" s="314"/>
      <c r="B369" s="327" t="s">
        <v>901</v>
      </c>
      <c r="C369" s="328"/>
      <c r="D369" s="317" t="s">
        <v>896</v>
      </c>
      <c r="E369" s="147">
        <v>74.9</v>
      </c>
      <c r="F369" s="326">
        <f>施工机械台时费!$E$36</f>
        <v>0.813242919824491</v>
      </c>
      <c r="G369" s="329">
        <f t="shared" ref="G369:G372" si="41">E369*F369</f>
        <v>60.9118946948544</v>
      </c>
    </row>
    <row r="370" customHeight="1" spans="1:14">
      <c r="A370" s="314" t="s">
        <v>905</v>
      </c>
      <c r="B370" s="327" t="s">
        <v>514</v>
      </c>
      <c r="C370" s="328"/>
      <c r="D370" s="317"/>
      <c r="E370" s="332">
        <f>G360</f>
        <v>14761.8228946949</v>
      </c>
      <c r="F370" s="333">
        <f>费率表!$E$12</f>
        <v>0.064</v>
      </c>
      <c r="G370" s="329">
        <f t="shared" si="41"/>
        <v>944.756665260471</v>
      </c>
    </row>
    <row r="371" customHeight="1" spans="1:14">
      <c r="A371" s="314" t="s">
        <v>10</v>
      </c>
      <c r="B371" s="327" t="s">
        <v>770</v>
      </c>
      <c r="C371" s="328"/>
      <c r="D371" s="317"/>
      <c r="E371" s="326">
        <f>G359</f>
        <v>15706.5795599553</v>
      </c>
      <c r="F371" s="334">
        <f>费率表!$E$13</f>
        <v>0.085</v>
      </c>
      <c r="G371" s="329">
        <f t="shared" si="41"/>
        <v>1335.0592625962</v>
      </c>
    </row>
    <row r="372" customHeight="1" spans="1:14">
      <c r="A372" s="314" t="s">
        <v>12</v>
      </c>
      <c r="B372" s="327" t="s">
        <v>771</v>
      </c>
      <c r="C372" s="328"/>
      <c r="D372" s="317"/>
      <c r="E372" s="326">
        <f>G359+G371</f>
        <v>17041.6388225515</v>
      </c>
      <c r="F372" s="334">
        <f>费率表!$E$14</f>
        <v>0.07</v>
      </c>
      <c r="G372" s="329">
        <f t="shared" si="41"/>
        <v>1192.91471757861</v>
      </c>
    </row>
    <row r="373" customHeight="1" spans="1:14">
      <c r="A373" s="314" t="s">
        <v>15</v>
      </c>
      <c r="B373" s="327" t="s">
        <v>517</v>
      </c>
      <c r="C373" s="328"/>
      <c r="D373" s="317"/>
      <c r="E373" s="326"/>
      <c r="F373" s="349"/>
      <c r="G373" s="329">
        <f>SUM(G374:G374)</f>
        <v>5581.13352</v>
      </c>
    </row>
    <row r="374" customHeight="1" spans="1:14">
      <c r="A374" s="314"/>
      <c r="B374" s="327" t="s">
        <v>688</v>
      </c>
      <c r="C374" s="328"/>
      <c r="D374" s="317" t="s">
        <v>70</v>
      </c>
      <c r="E374" s="326">
        <f>E366</f>
        <v>116</v>
      </c>
      <c r="F374" s="357">
        <f>主要材料预算!$N$10</f>
        <v>48.11322</v>
      </c>
      <c r="G374" s="329">
        <f t="shared" ref="G374:G376" si="42">E374*F374</f>
        <v>5581.13352</v>
      </c>
    </row>
    <row r="375" customHeight="1" spans="1:14">
      <c r="A375" s="314" t="s">
        <v>906</v>
      </c>
      <c r="B375" s="327" t="s">
        <v>772</v>
      </c>
      <c r="C375" s="328"/>
      <c r="D375" s="317"/>
      <c r="E375" s="326">
        <f>G359+G371++G372+G373</f>
        <v>23815.6870601301</v>
      </c>
      <c r="F375" s="334">
        <f>费率表!$E$15</f>
        <v>0.09</v>
      </c>
      <c r="G375" s="329">
        <f t="shared" si="42"/>
        <v>2143.41183541171</v>
      </c>
    </row>
    <row r="376" customHeight="1" spans="1:14">
      <c r="A376" s="314"/>
      <c r="B376" s="327" t="s">
        <v>907</v>
      </c>
      <c r="C376" s="328"/>
      <c r="D376" s="317"/>
      <c r="E376" s="326">
        <f>G359+G371+G372+G373+G375</f>
        <v>25959.0988955418</v>
      </c>
      <c r="F376" s="334">
        <f>费率表!$I$19</f>
        <v>0.03</v>
      </c>
      <c r="G376" s="329">
        <f t="shared" si="42"/>
        <v>778.772966866254</v>
      </c>
    </row>
    <row r="377" customHeight="1" spans="1:14">
      <c r="A377" s="335"/>
      <c r="B377" s="336" t="s">
        <v>39</v>
      </c>
      <c r="C377" s="337"/>
      <c r="D377" s="338"/>
      <c r="E377" s="339"/>
      <c r="F377" s="338"/>
      <c r="G377" s="340">
        <f>G359+G371+G372+G373+G375+G376</f>
        <v>26737.8718624081</v>
      </c>
    </row>
    <row r="380" customHeight="1" spans="1:14">
      <c r="A380" s="352" t="s">
        <v>868</v>
      </c>
      <c r="B380" s="352"/>
      <c r="C380" s="352"/>
      <c r="D380" s="352"/>
      <c r="E380" s="352"/>
      <c r="F380" s="352"/>
      <c r="G380" s="352"/>
      <c r="H380" s="352" t="s">
        <v>868</v>
      </c>
      <c r="I380" s="352"/>
      <c r="J380" s="352"/>
      <c r="K380" s="352"/>
      <c r="L380" s="352"/>
      <c r="M380" s="352"/>
      <c r="N380" s="352"/>
    </row>
    <row r="381" customHeight="1" spans="1:14">
      <c r="A381" s="309" t="s">
        <v>869</v>
      </c>
      <c r="B381" s="310"/>
      <c r="C381" s="310" t="s">
        <v>131</v>
      </c>
      <c r="D381" s="310" t="s">
        <v>870</v>
      </c>
      <c r="E381" s="311" t="s">
        <v>1147</v>
      </c>
      <c r="F381" s="312"/>
      <c r="G381" s="313"/>
      <c r="H381" s="309" t="s">
        <v>869</v>
      </c>
      <c r="I381" s="310"/>
      <c r="J381" s="310" t="s">
        <v>131</v>
      </c>
      <c r="K381" s="310" t="s">
        <v>870</v>
      </c>
      <c r="L381" s="311" t="s">
        <v>1148</v>
      </c>
      <c r="M381" s="312"/>
      <c r="N381" s="313"/>
    </row>
    <row r="382" customHeight="1" spans="1:14">
      <c r="A382" s="314" t="s">
        <v>507</v>
      </c>
      <c r="B382" s="315"/>
      <c r="C382" s="316" t="s">
        <v>1149</v>
      </c>
      <c r="D382" s="316"/>
      <c r="E382" s="316"/>
      <c r="F382" s="317" t="s">
        <v>873</v>
      </c>
      <c r="G382" s="318" t="s">
        <v>874</v>
      </c>
      <c r="H382" s="314" t="s">
        <v>507</v>
      </c>
      <c r="I382" s="315"/>
      <c r="J382" s="316" t="s">
        <v>1150</v>
      </c>
      <c r="K382" s="316"/>
      <c r="L382" s="316"/>
      <c r="M382" s="317" t="s">
        <v>873</v>
      </c>
      <c r="N382" s="318" t="s">
        <v>874</v>
      </c>
    </row>
    <row r="383" customHeight="1" spans="1:14">
      <c r="A383" s="319" t="s">
        <v>1151</v>
      </c>
      <c r="B383" s="320"/>
      <c r="C383" s="320"/>
      <c r="D383" s="320"/>
      <c r="E383" s="320"/>
      <c r="F383" s="320"/>
      <c r="G383" s="321"/>
      <c r="H383" s="319" t="s">
        <v>1151</v>
      </c>
      <c r="I383" s="320"/>
      <c r="J383" s="320"/>
      <c r="K383" s="320"/>
      <c r="L383" s="320"/>
      <c r="M383" s="320"/>
      <c r="N383" s="321"/>
    </row>
    <row r="384" customHeight="1" spans="1:14">
      <c r="A384" s="322" t="s">
        <v>1152</v>
      </c>
      <c r="B384" s="323"/>
      <c r="C384" s="324"/>
      <c r="D384" s="324"/>
      <c r="E384" s="324"/>
      <c r="F384" s="324"/>
      <c r="G384" s="325"/>
      <c r="H384" s="322" t="s">
        <v>1152</v>
      </c>
      <c r="I384" s="323"/>
      <c r="J384" s="324"/>
      <c r="K384" s="324"/>
      <c r="L384" s="324"/>
      <c r="M384" s="324"/>
      <c r="N384" s="325"/>
    </row>
    <row r="385" customHeight="1" spans="1:14">
      <c r="A385" s="314" t="s">
        <v>34</v>
      </c>
      <c r="B385" s="317" t="s">
        <v>761</v>
      </c>
      <c r="C385" s="317"/>
      <c r="D385" s="317" t="s">
        <v>60</v>
      </c>
      <c r="E385" s="326" t="s">
        <v>877</v>
      </c>
      <c r="F385" s="317" t="s">
        <v>878</v>
      </c>
      <c r="G385" s="318" t="s">
        <v>879</v>
      </c>
      <c r="H385" s="314" t="s">
        <v>34</v>
      </c>
      <c r="I385" s="317" t="s">
        <v>761</v>
      </c>
      <c r="J385" s="317"/>
      <c r="K385" s="317" t="s">
        <v>60</v>
      </c>
      <c r="L385" s="326" t="s">
        <v>877</v>
      </c>
      <c r="M385" s="317" t="s">
        <v>878</v>
      </c>
      <c r="N385" s="318" t="s">
        <v>879</v>
      </c>
    </row>
    <row r="386" customHeight="1" spans="1:14">
      <c r="A386" s="314" t="s">
        <v>8</v>
      </c>
      <c r="B386" s="327" t="s">
        <v>880</v>
      </c>
      <c r="C386" s="328"/>
      <c r="D386" s="317"/>
      <c r="E386" s="326"/>
      <c r="F386" s="326"/>
      <c r="G386" s="329">
        <f>G387+G397</f>
        <v>17295.4076002617</v>
      </c>
      <c r="H386" s="314" t="s">
        <v>8</v>
      </c>
      <c r="I386" s="327" t="s">
        <v>880</v>
      </c>
      <c r="J386" s="328"/>
      <c r="K386" s="317"/>
      <c r="L386" s="326"/>
      <c r="M386" s="326"/>
      <c r="N386" s="329">
        <f>N387+N397</f>
        <v>1921.20876026167</v>
      </c>
    </row>
    <row r="387" customHeight="1" spans="1:14">
      <c r="A387" s="314" t="s">
        <v>881</v>
      </c>
      <c r="B387" s="327" t="s">
        <v>882</v>
      </c>
      <c r="C387" s="328"/>
      <c r="D387" s="317"/>
      <c r="E387" s="326"/>
      <c r="F387" s="326"/>
      <c r="G387" s="329">
        <f>G388+G391+G395</f>
        <v>16255.082331073</v>
      </c>
      <c r="H387" s="314" t="s">
        <v>881</v>
      </c>
      <c r="I387" s="327" t="s">
        <v>882</v>
      </c>
      <c r="J387" s="328"/>
      <c r="K387" s="317"/>
      <c r="L387" s="326"/>
      <c r="M387" s="326"/>
      <c r="N387" s="329">
        <f>N388+N391+N395</f>
        <v>1805.647331073</v>
      </c>
    </row>
    <row r="388" customHeight="1" spans="1:14">
      <c r="A388" s="314" t="s">
        <v>17</v>
      </c>
      <c r="B388" s="327" t="s">
        <v>510</v>
      </c>
      <c r="C388" s="328"/>
      <c r="D388" s="317"/>
      <c r="E388" s="326"/>
      <c r="F388" s="326"/>
      <c r="G388" s="329">
        <f>SUM(G389:G390)</f>
        <v>1754.657</v>
      </c>
      <c r="H388" s="314" t="s">
        <v>17</v>
      </c>
      <c r="I388" s="327" t="s">
        <v>510</v>
      </c>
      <c r="J388" s="328"/>
      <c r="K388" s="317"/>
      <c r="L388" s="326"/>
      <c r="M388" s="326"/>
      <c r="N388" s="329">
        <f>SUM(N389:N390)</f>
        <v>1754.657</v>
      </c>
    </row>
    <row r="389" customHeight="1" spans="1:14">
      <c r="A389" s="314"/>
      <c r="B389" s="327" t="s">
        <v>704</v>
      </c>
      <c r="C389" s="328"/>
      <c r="D389" s="317" t="s">
        <v>705</v>
      </c>
      <c r="E389" s="326"/>
      <c r="F389" s="326"/>
      <c r="G389" s="329"/>
      <c r="H389" s="314"/>
      <c r="I389" s="327" t="s">
        <v>704</v>
      </c>
      <c r="J389" s="328"/>
      <c r="K389" s="317" t="s">
        <v>705</v>
      </c>
      <c r="L389" s="326"/>
      <c r="M389" s="326"/>
      <c r="N389" s="329"/>
    </row>
    <row r="390" customHeight="1" spans="1:14">
      <c r="A390" s="314"/>
      <c r="B390" s="327" t="s">
        <v>706</v>
      </c>
      <c r="C390" s="328"/>
      <c r="D390" s="317" t="s">
        <v>705</v>
      </c>
      <c r="E390" s="326">
        <v>304.1</v>
      </c>
      <c r="F390" s="326">
        <f>主要材料预算!$D$20</f>
        <v>5.77</v>
      </c>
      <c r="G390" s="329">
        <f t="shared" ref="G390:G393" si="43">E390*F390</f>
        <v>1754.657</v>
      </c>
      <c r="H390" s="314"/>
      <c r="I390" s="327" t="s">
        <v>706</v>
      </c>
      <c r="J390" s="328"/>
      <c r="K390" s="317" t="s">
        <v>705</v>
      </c>
      <c r="L390" s="326">
        <v>304.1</v>
      </c>
      <c r="M390" s="326">
        <f>主要材料预算!$D$20</f>
        <v>5.77</v>
      </c>
      <c r="N390" s="329">
        <f t="shared" ref="N390:N393" si="44">L390*M390</f>
        <v>1754.657</v>
      </c>
    </row>
    <row r="391" customHeight="1" spans="1:14">
      <c r="A391" s="314" t="s">
        <v>19</v>
      </c>
      <c r="B391" s="327" t="s">
        <v>511</v>
      </c>
      <c r="C391" s="328"/>
      <c r="D391" s="317"/>
      <c r="E391" s="326"/>
      <c r="F391" s="326"/>
      <c r="G391" s="329">
        <f>SUM(G392:G394)</f>
        <v>14449.435</v>
      </c>
      <c r="H391" s="314" t="s">
        <v>19</v>
      </c>
      <c r="I391" s="327" t="s">
        <v>511</v>
      </c>
      <c r="J391" s="328"/>
      <c r="K391" s="317"/>
      <c r="L391" s="326"/>
      <c r="M391" s="326"/>
      <c r="N391" s="329">
        <f>SUM(N392:N394)</f>
        <v>0</v>
      </c>
    </row>
    <row r="392" customHeight="1" spans="1:14">
      <c r="A392" s="314"/>
      <c r="B392" s="327" t="s">
        <v>1153</v>
      </c>
      <c r="C392" s="328"/>
      <c r="D392" s="317" t="s">
        <v>695</v>
      </c>
      <c r="E392" s="326">
        <v>850</v>
      </c>
      <c r="F392" s="326">
        <v>8.5</v>
      </c>
      <c r="G392" s="329">
        <f t="shared" si="43"/>
        <v>7225</v>
      </c>
      <c r="H392" s="314"/>
      <c r="I392" s="327" t="s">
        <v>1154</v>
      </c>
      <c r="J392" s="328"/>
      <c r="K392" s="317" t="s">
        <v>695</v>
      </c>
      <c r="L392" s="326">
        <v>850</v>
      </c>
      <c r="M392" s="326"/>
      <c r="N392" s="329">
        <f t="shared" si="44"/>
        <v>0</v>
      </c>
    </row>
    <row r="393" customHeight="1" spans="1:14">
      <c r="A393" s="314"/>
      <c r="B393" s="327" t="s">
        <v>688</v>
      </c>
      <c r="C393" s="328"/>
      <c r="D393" s="317" t="s">
        <v>70</v>
      </c>
      <c r="E393" s="326">
        <v>103</v>
      </c>
      <c r="F393" s="326">
        <f>主要材料预算!$M$10</f>
        <v>70</v>
      </c>
      <c r="G393" s="329">
        <f t="shared" si="43"/>
        <v>7210</v>
      </c>
      <c r="H393" s="314"/>
      <c r="I393" s="327" t="s">
        <v>688</v>
      </c>
      <c r="J393" s="328"/>
      <c r="K393" s="317" t="s">
        <v>70</v>
      </c>
      <c r="L393" s="326">
        <v>103</v>
      </c>
      <c r="M393" s="326"/>
      <c r="N393" s="329">
        <f t="shared" si="44"/>
        <v>0</v>
      </c>
    </row>
    <row r="394" customHeight="1" spans="1:14">
      <c r="A394" s="314"/>
      <c r="B394" s="327" t="s">
        <v>893</v>
      </c>
      <c r="C394" s="328"/>
      <c r="D394" s="317" t="s">
        <v>894</v>
      </c>
      <c r="E394" s="147">
        <f>SUM(G392:G393)</f>
        <v>14435</v>
      </c>
      <c r="F394" s="330">
        <v>0.1</v>
      </c>
      <c r="G394" s="329">
        <f>E394*F394/100</f>
        <v>14.435</v>
      </c>
      <c r="H394" s="314"/>
      <c r="I394" s="327" t="s">
        <v>893</v>
      </c>
      <c r="J394" s="328"/>
      <c r="K394" s="317" t="s">
        <v>894</v>
      </c>
      <c r="L394" s="147">
        <f>SUM(N392:N393)</f>
        <v>0</v>
      </c>
      <c r="M394" s="330">
        <v>0.1</v>
      </c>
      <c r="N394" s="329">
        <f>L394*M394/100</f>
        <v>0</v>
      </c>
    </row>
    <row r="395" customHeight="1" spans="1:14">
      <c r="A395" s="314" t="s">
        <v>21</v>
      </c>
      <c r="B395" s="327" t="s">
        <v>895</v>
      </c>
      <c r="C395" s="328"/>
      <c r="D395" s="317"/>
      <c r="E395" s="147"/>
      <c r="F395" s="326"/>
      <c r="G395" s="329">
        <f>SUM(G396:G396)</f>
        <v>50.9903310729956</v>
      </c>
      <c r="H395" s="314" t="s">
        <v>21</v>
      </c>
      <c r="I395" s="327" t="s">
        <v>895</v>
      </c>
      <c r="J395" s="328"/>
      <c r="K395" s="317"/>
      <c r="L395" s="147"/>
      <c r="M395" s="326"/>
      <c r="N395" s="329">
        <f>SUM(N396:N396)</f>
        <v>50.9903310729956</v>
      </c>
    </row>
    <row r="396" customHeight="1" spans="1:14">
      <c r="A396" s="314"/>
      <c r="B396" s="327" t="s">
        <v>901</v>
      </c>
      <c r="C396" s="328"/>
      <c r="D396" s="317" t="s">
        <v>896</v>
      </c>
      <c r="E396" s="147">
        <v>62.7</v>
      </c>
      <c r="F396" s="326">
        <f>施工机械台时费!$E$36</f>
        <v>0.813242919824491</v>
      </c>
      <c r="G396" s="329">
        <f t="shared" ref="G396:G399" si="45">E396*F396</f>
        <v>50.9903310729956</v>
      </c>
      <c r="H396" s="314"/>
      <c r="I396" s="327" t="s">
        <v>901</v>
      </c>
      <c r="J396" s="328"/>
      <c r="K396" s="317" t="s">
        <v>896</v>
      </c>
      <c r="L396" s="147">
        <v>62.7</v>
      </c>
      <c r="M396" s="326">
        <f>施工机械台时费!$E$36</f>
        <v>0.813242919824491</v>
      </c>
      <c r="N396" s="329">
        <f t="shared" ref="N396:N399" si="46">L396*M396</f>
        <v>50.9903310729956</v>
      </c>
    </row>
    <row r="397" customHeight="1" spans="1:14">
      <c r="A397" s="314" t="s">
        <v>905</v>
      </c>
      <c r="B397" s="327" t="s">
        <v>514</v>
      </c>
      <c r="C397" s="328"/>
      <c r="D397" s="317"/>
      <c r="E397" s="332">
        <f>G387</f>
        <v>16255.082331073</v>
      </c>
      <c r="F397" s="333">
        <f>费率表!$E$12</f>
        <v>0.064</v>
      </c>
      <c r="G397" s="329">
        <f t="shared" si="45"/>
        <v>1040.32526918867</v>
      </c>
      <c r="H397" s="314" t="s">
        <v>905</v>
      </c>
      <c r="I397" s="327" t="s">
        <v>514</v>
      </c>
      <c r="J397" s="328"/>
      <c r="K397" s="317"/>
      <c r="L397" s="332">
        <f>N387</f>
        <v>1805.647331073</v>
      </c>
      <c r="M397" s="333">
        <f>费率表!$E$12</f>
        <v>0.064</v>
      </c>
      <c r="N397" s="329">
        <f t="shared" si="46"/>
        <v>115.561429188672</v>
      </c>
    </row>
    <row r="398" customHeight="1" spans="1:14">
      <c r="A398" s="314" t="s">
        <v>10</v>
      </c>
      <c r="B398" s="327" t="s">
        <v>770</v>
      </c>
      <c r="C398" s="328"/>
      <c r="D398" s="317"/>
      <c r="E398" s="326">
        <f>G386</f>
        <v>17295.4076002617</v>
      </c>
      <c r="F398" s="334">
        <f>费率表!$E$13</f>
        <v>0.085</v>
      </c>
      <c r="G398" s="329">
        <f t="shared" si="45"/>
        <v>1470.10964602224</v>
      </c>
      <c r="H398" s="314" t="s">
        <v>10</v>
      </c>
      <c r="I398" s="327" t="s">
        <v>770</v>
      </c>
      <c r="J398" s="328"/>
      <c r="K398" s="317"/>
      <c r="L398" s="326">
        <f>N386</f>
        <v>1921.20876026167</v>
      </c>
      <c r="M398" s="334">
        <f>费率表!$E$13</f>
        <v>0.085</v>
      </c>
      <c r="N398" s="329">
        <f t="shared" si="46"/>
        <v>163.302744622242</v>
      </c>
    </row>
    <row r="399" customHeight="1" spans="1:14">
      <c r="A399" s="314" t="s">
        <v>12</v>
      </c>
      <c r="B399" s="327" t="s">
        <v>771</v>
      </c>
      <c r="C399" s="328"/>
      <c r="D399" s="317"/>
      <c r="E399" s="326">
        <f>G386+G398</f>
        <v>18765.5172462839</v>
      </c>
      <c r="F399" s="334">
        <f>费率表!$E$14</f>
        <v>0.07</v>
      </c>
      <c r="G399" s="329">
        <f t="shared" si="45"/>
        <v>1313.58620723987</v>
      </c>
      <c r="H399" s="314" t="s">
        <v>12</v>
      </c>
      <c r="I399" s="327" t="s">
        <v>771</v>
      </c>
      <c r="J399" s="328"/>
      <c r="K399" s="317"/>
      <c r="L399" s="326">
        <f>N386+N398</f>
        <v>2084.51150488391</v>
      </c>
      <c r="M399" s="334">
        <f>费率表!$E$14</f>
        <v>0.07</v>
      </c>
      <c r="N399" s="329">
        <f t="shared" si="46"/>
        <v>145.915805341874</v>
      </c>
    </row>
    <row r="400" customHeight="1" spans="1:14">
      <c r="A400" s="314" t="s">
        <v>15</v>
      </c>
      <c r="B400" s="327" t="s">
        <v>517</v>
      </c>
      <c r="C400" s="328"/>
      <c r="D400" s="317"/>
      <c r="E400" s="326"/>
      <c r="F400" s="349"/>
      <c r="G400" s="329">
        <f>SUM(G401:G402)</f>
        <v>4955.66166</v>
      </c>
      <c r="H400" s="314" t="s">
        <v>15</v>
      </c>
      <c r="I400" s="327" t="s">
        <v>517</v>
      </c>
      <c r="J400" s="328"/>
      <c r="K400" s="317"/>
      <c r="L400" s="326"/>
      <c r="M400" s="349"/>
      <c r="N400" s="329">
        <f>SUM(N401:N402)</f>
        <v>0</v>
      </c>
    </row>
    <row r="401" customHeight="1" spans="1:15">
      <c r="A401" s="314"/>
      <c r="B401" s="327" t="s">
        <v>688</v>
      </c>
      <c r="C401" s="328"/>
      <c r="D401" s="317" t="s">
        <v>70</v>
      </c>
      <c r="E401" s="326">
        <f>E393</f>
        <v>103</v>
      </c>
      <c r="F401" s="357">
        <f>主要材料预算!$N$10</f>
        <v>48.11322</v>
      </c>
      <c r="G401" s="329">
        <f t="shared" ref="G401:G404" si="47">E401*F401</f>
        <v>4955.66166</v>
      </c>
      <c r="H401" s="314"/>
      <c r="I401" s="327" t="s">
        <v>688</v>
      </c>
      <c r="J401" s="328"/>
      <c r="K401" s="317" t="s">
        <v>70</v>
      </c>
      <c r="L401" s="326">
        <f>L393</f>
        <v>103</v>
      </c>
      <c r="M401" s="357"/>
      <c r="N401" s="329">
        <f t="shared" ref="N401:N404" si="48">L401*M401</f>
        <v>0</v>
      </c>
    </row>
    <row r="402" customHeight="1" spans="1:15">
      <c r="A402" s="314"/>
      <c r="B402" s="327"/>
      <c r="C402" s="328"/>
      <c r="D402" s="317"/>
      <c r="E402" s="326"/>
      <c r="F402" s="357"/>
      <c r="G402" s="329">
        <f t="shared" si="47"/>
        <v>0</v>
      </c>
      <c r="H402" s="314"/>
      <c r="I402" s="327"/>
      <c r="J402" s="328"/>
      <c r="K402" s="317"/>
      <c r="L402" s="326"/>
      <c r="M402" s="357"/>
      <c r="N402" s="329"/>
    </row>
    <row r="403" customHeight="1" spans="1:15">
      <c r="A403" s="314" t="s">
        <v>906</v>
      </c>
      <c r="B403" s="327" t="s">
        <v>772</v>
      </c>
      <c r="C403" s="328"/>
      <c r="D403" s="317"/>
      <c r="E403" s="326">
        <f>G386+G398++G399+G400</f>
        <v>25034.7651135238</v>
      </c>
      <c r="F403" s="334">
        <f>费率表!$E$15</f>
        <v>0.09</v>
      </c>
      <c r="G403" s="329">
        <f t="shared" si="47"/>
        <v>2253.12886021714</v>
      </c>
      <c r="H403" s="314" t="s">
        <v>906</v>
      </c>
      <c r="I403" s="327" t="s">
        <v>772</v>
      </c>
      <c r="J403" s="328"/>
      <c r="K403" s="317"/>
      <c r="L403" s="326">
        <f>N386+N398++N399+N400</f>
        <v>2230.42731022578</v>
      </c>
      <c r="M403" s="334">
        <f>费率表!$E$15</f>
        <v>0.09</v>
      </c>
      <c r="N403" s="329">
        <f t="shared" si="48"/>
        <v>200.73845792032</v>
      </c>
    </row>
    <row r="404" customHeight="1" spans="1:15">
      <c r="A404" s="314"/>
      <c r="B404" s="327" t="s">
        <v>907</v>
      </c>
      <c r="C404" s="328"/>
      <c r="D404" s="317"/>
      <c r="E404" s="326">
        <f>G386+G398+G399+G400+G403</f>
        <v>27287.8939737409</v>
      </c>
      <c r="F404" s="334">
        <f>费率表!$I$19</f>
        <v>0.03</v>
      </c>
      <c r="G404" s="329">
        <f t="shared" si="47"/>
        <v>818.636819212227</v>
      </c>
      <c r="H404" s="314"/>
      <c r="I404" s="327" t="s">
        <v>907</v>
      </c>
      <c r="J404" s="328"/>
      <c r="K404" s="317"/>
      <c r="L404" s="326">
        <f>N386+N398+N399+N400+N403</f>
        <v>2431.1657681461</v>
      </c>
      <c r="M404" s="334">
        <f>费率表!$I$19</f>
        <v>0.03</v>
      </c>
      <c r="N404" s="329">
        <f t="shared" si="48"/>
        <v>72.9349730443831</v>
      </c>
    </row>
    <row r="405" customHeight="1" spans="1:15">
      <c r="A405" s="335"/>
      <c r="B405" s="336" t="s">
        <v>39</v>
      </c>
      <c r="C405" s="337"/>
      <c r="D405" s="338"/>
      <c r="E405" s="339"/>
      <c r="F405" s="338"/>
      <c r="G405" s="340">
        <f>G386+G398+G399+G400+G403+G404</f>
        <v>28106.5307929531</v>
      </c>
      <c r="H405" s="335"/>
      <c r="I405" s="336" t="s">
        <v>39</v>
      </c>
      <c r="J405" s="337"/>
      <c r="K405" s="338"/>
      <c r="L405" s="339"/>
      <c r="M405" s="338"/>
      <c r="N405" s="340">
        <f>N386+N398+N399+N400+N403+N404</f>
        <v>2504.10074119049</v>
      </c>
    </row>
    <row r="407" customHeight="1" spans="1:15">
      <c r="A407" s="352" t="s">
        <v>868</v>
      </c>
      <c r="B407" s="352"/>
      <c r="C407" s="352"/>
      <c r="D407" s="352"/>
      <c r="E407" s="352"/>
      <c r="F407" s="352"/>
      <c r="G407" s="352"/>
      <c r="H407" s="352" t="s">
        <v>868</v>
      </c>
      <c r="I407" s="352"/>
      <c r="J407" s="352"/>
      <c r="K407" s="352"/>
      <c r="L407" s="352"/>
      <c r="M407" s="352"/>
      <c r="N407" s="352"/>
    </row>
    <row r="408" customHeight="1" spans="1:15">
      <c r="A408" s="309" t="s">
        <v>869</v>
      </c>
      <c r="B408" s="310"/>
      <c r="C408" s="310" t="s">
        <v>131</v>
      </c>
      <c r="D408" s="310" t="s">
        <v>870</v>
      </c>
      <c r="E408" s="311" t="s">
        <v>72</v>
      </c>
      <c r="F408" s="312"/>
      <c r="G408" s="313"/>
      <c r="H408" s="309" t="s">
        <v>869</v>
      </c>
      <c r="I408" s="310"/>
      <c r="J408" s="310" t="s">
        <v>131</v>
      </c>
      <c r="K408" s="310" t="s">
        <v>870</v>
      </c>
      <c r="L408" s="311" t="s">
        <v>1155</v>
      </c>
      <c r="M408" s="312"/>
      <c r="N408" s="313"/>
    </row>
    <row r="409" customHeight="1" spans="1:15">
      <c r="A409" s="314" t="s">
        <v>507</v>
      </c>
      <c r="B409" s="315"/>
      <c r="C409" s="316" t="s">
        <v>1150</v>
      </c>
      <c r="D409" s="316"/>
      <c r="E409" s="316"/>
      <c r="F409" s="317" t="s">
        <v>873</v>
      </c>
      <c r="G409" s="318" t="s">
        <v>874</v>
      </c>
      <c r="H409" s="314" t="s">
        <v>507</v>
      </c>
      <c r="I409" s="315"/>
      <c r="J409" s="316" t="s">
        <v>1150</v>
      </c>
      <c r="K409" s="316"/>
      <c r="L409" s="316"/>
      <c r="M409" s="317" t="s">
        <v>873</v>
      </c>
      <c r="N409" s="318" t="s">
        <v>874</v>
      </c>
      <c r="O409" s="380" t="s">
        <v>1156</v>
      </c>
    </row>
    <row r="410" customHeight="1" spans="1:15">
      <c r="A410" s="319" t="s">
        <v>1151</v>
      </c>
      <c r="B410" s="320"/>
      <c r="C410" s="320"/>
      <c r="D410" s="320"/>
      <c r="E410" s="320"/>
      <c r="F410" s="320"/>
      <c r="G410" s="321"/>
      <c r="H410" s="319" t="s">
        <v>1151</v>
      </c>
      <c r="I410" s="320"/>
      <c r="J410" s="320"/>
      <c r="K410" s="320"/>
      <c r="L410" s="320"/>
      <c r="M410" s="320"/>
      <c r="N410" s="321"/>
    </row>
    <row r="411" customHeight="1" spans="1:15">
      <c r="A411" s="322" t="s">
        <v>1157</v>
      </c>
      <c r="B411" s="323"/>
      <c r="C411" s="324"/>
      <c r="D411" s="324"/>
      <c r="E411" s="324"/>
      <c r="F411" s="324"/>
      <c r="G411" s="325"/>
      <c r="H411" s="322" t="s">
        <v>1157</v>
      </c>
      <c r="I411" s="323"/>
      <c r="J411" s="324"/>
      <c r="K411" s="324"/>
      <c r="L411" s="324"/>
      <c r="M411" s="324"/>
      <c r="N411" s="325"/>
    </row>
    <row r="412" customHeight="1" spans="1:15">
      <c r="A412" s="314" t="s">
        <v>34</v>
      </c>
      <c r="B412" s="317" t="s">
        <v>761</v>
      </c>
      <c r="C412" s="317"/>
      <c r="D412" s="317" t="s">
        <v>60</v>
      </c>
      <c r="E412" s="326" t="s">
        <v>877</v>
      </c>
      <c r="F412" s="317" t="s">
        <v>878</v>
      </c>
      <c r="G412" s="318" t="s">
        <v>879</v>
      </c>
      <c r="H412" s="314" t="s">
        <v>34</v>
      </c>
      <c r="I412" s="317" t="s">
        <v>761</v>
      </c>
      <c r="J412" s="317"/>
      <c r="K412" s="317" t="s">
        <v>60</v>
      </c>
      <c r="L412" s="326" t="s">
        <v>877</v>
      </c>
      <c r="M412" s="317" t="s">
        <v>878</v>
      </c>
      <c r="N412" s="318" t="s">
        <v>879</v>
      </c>
    </row>
    <row r="413" customHeight="1" spans="1:15">
      <c r="A413" s="314" t="s">
        <v>8</v>
      </c>
      <c r="B413" s="327" t="s">
        <v>880</v>
      </c>
      <c r="C413" s="328"/>
      <c r="D413" s="317"/>
      <c r="E413" s="326"/>
      <c r="F413" s="326"/>
      <c r="G413" s="329">
        <f>G414+G423</f>
        <v>9070.0186880351</v>
      </c>
      <c r="H413" s="314" t="s">
        <v>8</v>
      </c>
      <c r="I413" s="327" t="s">
        <v>880</v>
      </c>
      <c r="J413" s="328"/>
      <c r="K413" s="317"/>
      <c r="L413" s="326"/>
      <c r="M413" s="326"/>
      <c r="N413" s="329">
        <f>N414+N423</f>
        <v>1385.8871960191</v>
      </c>
    </row>
    <row r="414" customHeight="1" spans="1:15">
      <c r="A414" s="314" t="s">
        <v>881</v>
      </c>
      <c r="B414" s="327" t="s">
        <v>882</v>
      </c>
      <c r="C414" s="328"/>
      <c r="D414" s="317"/>
      <c r="E414" s="326"/>
      <c r="F414" s="326"/>
      <c r="G414" s="329">
        <f>G415+G418+G421</f>
        <v>8524.45365416833</v>
      </c>
      <c r="H414" s="314" t="s">
        <v>881</v>
      </c>
      <c r="I414" s="327" t="s">
        <v>882</v>
      </c>
      <c r="J414" s="328"/>
      <c r="K414" s="317"/>
      <c r="L414" s="326"/>
      <c r="M414" s="326"/>
      <c r="N414" s="329">
        <f>N415+N418+N421</f>
        <v>1302.52556016833</v>
      </c>
    </row>
    <row r="415" customHeight="1" spans="1:15">
      <c r="A415" s="314" t="s">
        <v>17</v>
      </c>
      <c r="B415" s="327" t="s">
        <v>510</v>
      </c>
      <c r="C415" s="328"/>
      <c r="D415" s="317"/>
      <c r="E415" s="326"/>
      <c r="F415" s="326"/>
      <c r="G415" s="329">
        <f>SUM(G416:G417)</f>
        <v>1245.953</v>
      </c>
      <c r="H415" s="314" t="s">
        <v>17</v>
      </c>
      <c r="I415" s="327" t="s">
        <v>510</v>
      </c>
      <c r="J415" s="328"/>
      <c r="K415" s="317"/>
      <c r="L415" s="326"/>
      <c r="M415" s="326"/>
      <c r="N415" s="329">
        <f>SUM(N416:N417)</f>
        <v>1245.953</v>
      </c>
    </row>
    <row r="416" customHeight="1" spans="1:15">
      <c r="A416" s="314"/>
      <c r="B416" s="327" t="s">
        <v>704</v>
      </c>
      <c r="C416" s="328"/>
      <c r="D416" s="317" t="s">
        <v>705</v>
      </c>
      <c r="E416" s="326">
        <v>4.3</v>
      </c>
      <c r="F416" s="326">
        <f>主要材料预算!$D$19</f>
        <v>8.1</v>
      </c>
      <c r="G416" s="329">
        <f t="shared" ref="G416:G419" si="49">E416*F416</f>
        <v>34.83</v>
      </c>
      <c r="H416" s="314"/>
      <c r="I416" s="327" t="s">
        <v>704</v>
      </c>
      <c r="J416" s="328"/>
      <c r="K416" s="317" t="s">
        <v>705</v>
      </c>
      <c r="L416" s="326">
        <v>4.3</v>
      </c>
      <c r="M416" s="326">
        <f>主要材料预算!$D$19</f>
        <v>8.1</v>
      </c>
      <c r="N416" s="329">
        <f t="shared" ref="N416:N419" si="50">L416*M416</f>
        <v>34.83</v>
      </c>
    </row>
    <row r="417" customHeight="1" spans="1:14">
      <c r="A417" s="314"/>
      <c r="B417" s="327" t="s">
        <v>706</v>
      </c>
      <c r="C417" s="328"/>
      <c r="D417" s="317" t="s">
        <v>705</v>
      </c>
      <c r="E417" s="330">
        <v>209.9</v>
      </c>
      <c r="F417" s="326">
        <f>主要材料预算!$D$20</f>
        <v>5.77</v>
      </c>
      <c r="G417" s="329">
        <f t="shared" si="49"/>
        <v>1211.123</v>
      </c>
      <c r="H417" s="314"/>
      <c r="I417" s="327" t="s">
        <v>706</v>
      </c>
      <c r="J417" s="328"/>
      <c r="K417" s="317" t="s">
        <v>705</v>
      </c>
      <c r="L417" s="330">
        <v>209.9</v>
      </c>
      <c r="M417" s="326">
        <f>主要材料预算!$D$20</f>
        <v>5.77</v>
      </c>
      <c r="N417" s="329">
        <f t="shared" si="50"/>
        <v>1211.123</v>
      </c>
    </row>
    <row r="418" customHeight="1" spans="1:14">
      <c r="A418" s="314" t="s">
        <v>19</v>
      </c>
      <c r="B418" s="327" t="s">
        <v>511</v>
      </c>
      <c r="C418" s="328"/>
      <c r="D418" s="317"/>
      <c r="E418" s="326"/>
      <c r="F418" s="326"/>
      <c r="G418" s="329">
        <f>SUM(G419:G420)</f>
        <v>7224.42</v>
      </c>
      <c r="H418" s="314" t="s">
        <v>19</v>
      </c>
      <c r="I418" s="327" t="s">
        <v>511</v>
      </c>
      <c r="J418" s="328"/>
      <c r="K418" s="317"/>
      <c r="L418" s="326"/>
      <c r="M418" s="326"/>
      <c r="N418" s="329">
        <f>SUM(N419:N420)</f>
        <v>2.491906</v>
      </c>
    </row>
    <row r="419" customHeight="1" spans="1:14">
      <c r="A419" s="314"/>
      <c r="B419" s="327" t="s">
        <v>688</v>
      </c>
      <c r="C419" s="328"/>
      <c r="D419" s="317" t="s">
        <v>70</v>
      </c>
      <c r="E419" s="326">
        <v>103</v>
      </c>
      <c r="F419" s="326">
        <f>主要材料预算!$M$10</f>
        <v>70</v>
      </c>
      <c r="G419" s="329">
        <f t="shared" si="49"/>
        <v>7210</v>
      </c>
      <c r="H419" s="314"/>
      <c r="I419" s="327" t="s">
        <v>688</v>
      </c>
      <c r="J419" s="328"/>
      <c r="K419" s="317" t="s">
        <v>70</v>
      </c>
      <c r="L419" s="326">
        <v>103</v>
      </c>
      <c r="M419" s="326"/>
      <c r="N419" s="329">
        <f t="shared" si="50"/>
        <v>0</v>
      </c>
    </row>
    <row r="420" customHeight="1" spans="1:14">
      <c r="A420" s="314"/>
      <c r="B420" s="327" t="s">
        <v>893</v>
      </c>
      <c r="C420" s="328"/>
      <c r="D420" s="317" t="s">
        <v>894</v>
      </c>
      <c r="E420" s="147">
        <f>SUM(G419:G419)</f>
        <v>7210</v>
      </c>
      <c r="F420" s="330">
        <v>0.2</v>
      </c>
      <c r="G420" s="329">
        <f>E420*F420/100</f>
        <v>14.42</v>
      </c>
      <c r="H420" s="314"/>
      <c r="I420" s="327" t="s">
        <v>893</v>
      </c>
      <c r="J420" s="328"/>
      <c r="K420" s="317" t="s">
        <v>894</v>
      </c>
      <c r="L420" s="379">
        <f>N415</f>
        <v>1245.953</v>
      </c>
      <c r="M420" s="330">
        <v>0.2</v>
      </c>
      <c r="N420" s="329">
        <f>L420*M420/100</f>
        <v>2.491906</v>
      </c>
    </row>
    <row r="421" customHeight="1" spans="1:14">
      <c r="A421" s="314" t="s">
        <v>21</v>
      </c>
      <c r="B421" s="327" t="s">
        <v>895</v>
      </c>
      <c r="C421" s="328"/>
      <c r="D421" s="317"/>
      <c r="E421" s="147"/>
      <c r="F421" s="326"/>
      <c r="G421" s="329">
        <f>SUM(G422:G422)</f>
        <v>54.0806541683287</v>
      </c>
      <c r="H421" s="314" t="s">
        <v>21</v>
      </c>
      <c r="I421" s="327" t="s">
        <v>895</v>
      </c>
      <c r="J421" s="328"/>
      <c r="K421" s="317"/>
      <c r="L421" s="147"/>
      <c r="M421" s="326"/>
      <c r="N421" s="329">
        <f>SUM(N422:N422)</f>
        <v>54.0806541683287</v>
      </c>
    </row>
    <row r="422" customHeight="1" spans="1:14">
      <c r="A422" s="314"/>
      <c r="B422" s="327" t="s">
        <v>901</v>
      </c>
      <c r="C422" s="328"/>
      <c r="D422" s="317" t="s">
        <v>896</v>
      </c>
      <c r="E422" s="147">
        <v>66.5</v>
      </c>
      <c r="F422" s="326">
        <f>施工机械台时费!$E$36</f>
        <v>0.813242919824491</v>
      </c>
      <c r="G422" s="329">
        <f t="shared" ref="G422:G425" si="51">E422*F422</f>
        <v>54.0806541683287</v>
      </c>
      <c r="H422" s="314"/>
      <c r="I422" s="327" t="s">
        <v>901</v>
      </c>
      <c r="J422" s="328"/>
      <c r="K422" s="317" t="s">
        <v>896</v>
      </c>
      <c r="L422" s="147">
        <v>66.5</v>
      </c>
      <c r="M422" s="326">
        <f>施工机械台时费!$E$36</f>
        <v>0.813242919824491</v>
      </c>
      <c r="N422" s="329">
        <f>L422*M422</f>
        <v>54.0806541683287</v>
      </c>
    </row>
    <row r="423" customHeight="1" spans="1:14">
      <c r="A423" s="314" t="s">
        <v>905</v>
      </c>
      <c r="B423" s="327" t="s">
        <v>514</v>
      </c>
      <c r="C423" s="328"/>
      <c r="D423" s="317"/>
      <c r="E423" s="332">
        <f>G414</f>
        <v>8524.45365416833</v>
      </c>
      <c r="F423" s="333">
        <f>费率表!$E$12</f>
        <v>0.064</v>
      </c>
      <c r="G423" s="329">
        <f t="shared" si="51"/>
        <v>545.565033866773</v>
      </c>
      <c r="H423" s="314" t="s">
        <v>905</v>
      </c>
      <c r="I423" s="327" t="s">
        <v>514</v>
      </c>
      <c r="J423" s="328"/>
      <c r="K423" s="317"/>
      <c r="L423" s="332">
        <f>N414</f>
        <v>1302.52556016833</v>
      </c>
      <c r="M423" s="333">
        <f>费率表!$E$12</f>
        <v>0.064</v>
      </c>
      <c r="N423" s="329">
        <f t="shared" ref="N422:N425" si="52">L423*M423</f>
        <v>83.361635850773</v>
      </c>
    </row>
    <row r="424" customHeight="1" spans="1:14">
      <c r="A424" s="314" t="s">
        <v>10</v>
      </c>
      <c r="B424" s="327" t="s">
        <v>770</v>
      </c>
      <c r="C424" s="328"/>
      <c r="D424" s="317"/>
      <c r="E424" s="326">
        <f>G413</f>
        <v>9070.0186880351</v>
      </c>
      <c r="F424" s="334">
        <f>费率表!$E$13</f>
        <v>0.085</v>
      </c>
      <c r="G424" s="329">
        <f t="shared" si="51"/>
        <v>770.951588482984</v>
      </c>
      <c r="H424" s="314" t="s">
        <v>10</v>
      </c>
      <c r="I424" s="327" t="s">
        <v>770</v>
      </c>
      <c r="J424" s="328"/>
      <c r="K424" s="317"/>
      <c r="L424" s="326">
        <f>N413</f>
        <v>1385.8871960191</v>
      </c>
      <c r="M424" s="334">
        <f>费率表!$E$13</f>
        <v>0.085</v>
      </c>
      <c r="N424" s="329">
        <f t="shared" si="52"/>
        <v>117.800411661624</v>
      </c>
    </row>
    <row r="425" customHeight="1" spans="1:14">
      <c r="A425" s="314" t="s">
        <v>12</v>
      </c>
      <c r="B425" s="327" t="s">
        <v>771</v>
      </c>
      <c r="C425" s="328"/>
      <c r="D425" s="317"/>
      <c r="E425" s="326">
        <f>G413+G424</f>
        <v>9840.97027651808</v>
      </c>
      <c r="F425" s="334">
        <f>费率表!$E$14</f>
        <v>0.07</v>
      </c>
      <c r="G425" s="329">
        <f t="shared" si="51"/>
        <v>688.867919356266</v>
      </c>
      <c r="H425" s="314" t="s">
        <v>12</v>
      </c>
      <c r="I425" s="327" t="s">
        <v>771</v>
      </c>
      <c r="J425" s="328"/>
      <c r="K425" s="317"/>
      <c r="L425" s="326">
        <f>N413+N424</f>
        <v>1503.68760768073</v>
      </c>
      <c r="M425" s="334">
        <f>费率表!$E$14</f>
        <v>0.07</v>
      </c>
      <c r="N425" s="329">
        <f t="shared" si="52"/>
        <v>105.258132537651</v>
      </c>
    </row>
    <row r="426" customHeight="1" spans="1:14">
      <c r="A426" s="314" t="s">
        <v>15</v>
      </c>
      <c r="B426" s="327" t="s">
        <v>517</v>
      </c>
      <c r="C426" s="328"/>
      <c r="D426" s="317"/>
      <c r="E426" s="326"/>
      <c r="F426" s="349"/>
      <c r="G426" s="329">
        <f>SUM(G428:G428)</f>
        <v>4955.66166</v>
      </c>
      <c r="H426" s="314" t="s">
        <v>15</v>
      </c>
      <c r="I426" s="327" t="s">
        <v>517</v>
      </c>
      <c r="J426" s="328"/>
      <c r="K426" s="317"/>
      <c r="L426" s="326"/>
      <c r="M426" s="349"/>
      <c r="N426" s="329">
        <f>SUM(N428:N428)</f>
        <v>0</v>
      </c>
    </row>
    <row r="427" customHeight="1" spans="1:14">
      <c r="A427" s="314"/>
      <c r="B427" s="327"/>
      <c r="C427" s="328"/>
      <c r="D427" s="317"/>
      <c r="E427" s="326"/>
      <c r="F427" s="349"/>
      <c r="G427" s="329"/>
      <c r="H427" s="314"/>
      <c r="I427" s="327" t="s">
        <v>694</v>
      </c>
      <c r="J427" s="328"/>
      <c r="K427" s="317" t="s">
        <v>70</v>
      </c>
      <c r="L427" s="326"/>
      <c r="M427" s="357">
        <f>主要材料预算!$N$13</f>
        <v>6.0616206482593</v>
      </c>
      <c r="N427" s="329">
        <f>L427*M427</f>
        <v>0</v>
      </c>
    </row>
    <row r="428" customHeight="1" spans="1:14">
      <c r="A428" s="314"/>
      <c r="B428" s="327" t="s">
        <v>688</v>
      </c>
      <c r="C428" s="328"/>
      <c r="D428" s="317" t="s">
        <v>70</v>
      </c>
      <c r="E428" s="326">
        <f>E419</f>
        <v>103</v>
      </c>
      <c r="F428" s="357">
        <f>主要材料预算!$N$10</f>
        <v>48.11322</v>
      </c>
      <c r="G428" s="329">
        <f t="shared" ref="G428:G430" si="53">E428*F428</f>
        <v>4955.66166</v>
      </c>
      <c r="H428" s="314"/>
      <c r="I428" s="327" t="s">
        <v>688</v>
      </c>
      <c r="J428" s="328"/>
      <c r="K428" s="317" t="s">
        <v>70</v>
      </c>
      <c r="L428" s="326">
        <f>L419</f>
        <v>103</v>
      </c>
      <c r="M428" s="357"/>
      <c r="N428" s="329">
        <f t="shared" ref="N428:N430" si="54">L428*M428</f>
        <v>0</v>
      </c>
    </row>
    <row r="429" customHeight="1" spans="1:14">
      <c r="A429" s="314" t="s">
        <v>906</v>
      </c>
      <c r="B429" s="327" t="s">
        <v>772</v>
      </c>
      <c r="C429" s="328"/>
      <c r="D429" s="317"/>
      <c r="E429" s="326">
        <f>G413+G424++G425+G426</f>
        <v>15485.4998558743</v>
      </c>
      <c r="F429" s="334">
        <f>费率表!$E$15</f>
        <v>0.09</v>
      </c>
      <c r="G429" s="329">
        <f t="shared" si="53"/>
        <v>1393.69498702869</v>
      </c>
      <c r="H429" s="314" t="s">
        <v>906</v>
      </c>
      <c r="I429" s="327" t="s">
        <v>772</v>
      </c>
      <c r="J429" s="328"/>
      <c r="K429" s="317"/>
      <c r="L429" s="326">
        <f>N413+N424++N425+N426</f>
        <v>1608.94574021838</v>
      </c>
      <c r="M429" s="334">
        <f>费率表!$E$15</f>
        <v>0.09</v>
      </c>
      <c r="N429" s="329">
        <f t="shared" si="54"/>
        <v>144.805116619654</v>
      </c>
    </row>
    <row r="430" customHeight="1" spans="1:14">
      <c r="A430" s="314"/>
      <c r="B430" s="327" t="s">
        <v>907</v>
      </c>
      <c r="C430" s="328"/>
      <c r="D430" s="317"/>
      <c r="E430" s="326">
        <f>G413+G424+G425+G426+G429</f>
        <v>16879.194842903</v>
      </c>
      <c r="F430" s="334">
        <f>费率表!$I$19</f>
        <v>0.03</v>
      </c>
      <c r="G430" s="329">
        <f t="shared" si="53"/>
        <v>506.375845287091</v>
      </c>
      <c r="H430" s="314"/>
      <c r="I430" s="327" t="s">
        <v>907</v>
      </c>
      <c r="J430" s="328"/>
      <c r="K430" s="317"/>
      <c r="L430" s="326">
        <f>N413+N424+N425+N426+N429</f>
        <v>1753.75085683803</v>
      </c>
      <c r="M430" s="334">
        <f>费率表!$I$19</f>
        <v>0.03</v>
      </c>
      <c r="N430" s="329">
        <f t="shared" si="54"/>
        <v>52.6125257051409</v>
      </c>
    </row>
    <row r="431" customHeight="1" spans="1:14">
      <c r="A431" s="335"/>
      <c r="B431" s="336" t="s">
        <v>39</v>
      </c>
      <c r="C431" s="337"/>
      <c r="D431" s="338"/>
      <c r="E431" s="339"/>
      <c r="F431" s="338"/>
      <c r="G431" s="340">
        <f>G413+G424+G425+G426+G429+G430</f>
        <v>17385.5706881901</v>
      </c>
      <c r="H431" s="335"/>
      <c r="I431" s="336" t="s">
        <v>39</v>
      </c>
      <c r="J431" s="337"/>
      <c r="K431" s="338"/>
      <c r="L431" s="339"/>
      <c r="M431" s="338"/>
      <c r="N431" s="340">
        <f>N413+N424+N425+N426+N429+N430</f>
        <v>1806.36338254317</v>
      </c>
    </row>
    <row r="433" customHeight="1" spans="1:7">
      <c r="A433" s="352" t="s">
        <v>868</v>
      </c>
      <c r="B433" s="352"/>
      <c r="C433" s="352"/>
      <c r="D433" s="352"/>
      <c r="E433" s="352"/>
      <c r="F433" s="352"/>
      <c r="G433" s="352"/>
    </row>
    <row r="434" customHeight="1" spans="1:7">
      <c r="A434" s="381" t="s">
        <v>869</v>
      </c>
      <c r="B434" s="382"/>
      <c r="C434" s="382" t="s">
        <v>137</v>
      </c>
      <c r="D434" s="382" t="s">
        <v>870</v>
      </c>
      <c r="E434" s="383" t="s">
        <v>1158</v>
      </c>
      <c r="F434" s="384"/>
      <c r="G434" s="385"/>
    </row>
    <row r="435" customHeight="1" spans="1:7">
      <c r="A435" s="386" t="s">
        <v>507</v>
      </c>
      <c r="B435" s="387"/>
      <c r="C435" s="388" t="s">
        <v>1159</v>
      </c>
      <c r="D435" s="388"/>
      <c r="E435" s="388"/>
      <c r="F435" s="389" t="s">
        <v>873</v>
      </c>
      <c r="G435" s="390" t="s">
        <v>1160</v>
      </c>
    </row>
    <row r="436" customHeight="1" spans="1:7">
      <c r="A436" s="391" t="s">
        <v>875</v>
      </c>
      <c r="B436" s="392"/>
      <c r="C436" s="392"/>
      <c r="D436" s="392"/>
      <c r="E436" s="392"/>
      <c r="F436" s="392"/>
      <c r="G436" s="393"/>
    </row>
    <row r="437" customHeight="1" spans="1:7">
      <c r="A437" s="322" t="s">
        <v>1161</v>
      </c>
      <c r="B437" s="323"/>
      <c r="C437" s="324"/>
      <c r="D437" s="324"/>
      <c r="E437" s="324"/>
      <c r="F437" s="324"/>
      <c r="G437" s="325"/>
    </row>
    <row r="438" customHeight="1" spans="1:7">
      <c r="A438" s="314" t="s">
        <v>34</v>
      </c>
      <c r="B438" s="317" t="s">
        <v>761</v>
      </c>
      <c r="C438" s="317"/>
      <c r="D438" s="317" t="s">
        <v>60</v>
      </c>
      <c r="E438" s="326" t="s">
        <v>877</v>
      </c>
      <c r="F438" s="317" t="s">
        <v>878</v>
      </c>
      <c r="G438" s="318" t="s">
        <v>879</v>
      </c>
    </row>
    <row r="439" customHeight="1" spans="1:7">
      <c r="A439" s="314" t="s">
        <v>8</v>
      </c>
      <c r="B439" s="327" t="s">
        <v>880</v>
      </c>
      <c r="C439" s="328"/>
      <c r="D439" s="317"/>
      <c r="E439" s="326"/>
      <c r="F439" s="326"/>
      <c r="G439" s="329">
        <f>G440+G448</f>
        <v>4657.98208849156</v>
      </c>
    </row>
    <row r="440" customHeight="1" spans="1:7">
      <c r="A440" s="314" t="s">
        <v>881</v>
      </c>
      <c r="B440" s="327" t="s">
        <v>882</v>
      </c>
      <c r="C440" s="328"/>
      <c r="D440" s="317"/>
      <c r="E440" s="326"/>
      <c r="F440" s="326"/>
      <c r="G440" s="329">
        <f>G441+G444+G446</f>
        <v>4377.80271474771</v>
      </c>
    </row>
    <row r="441" customHeight="1" spans="1:7">
      <c r="A441" s="314" t="s">
        <v>17</v>
      </c>
      <c r="B441" s="327" t="s">
        <v>510</v>
      </c>
      <c r="C441" s="328"/>
      <c r="D441" s="317"/>
      <c r="E441" s="326"/>
      <c r="F441" s="326"/>
      <c r="G441" s="329">
        <f>SUM(G442:G443)</f>
        <v>69.24</v>
      </c>
    </row>
    <row r="442" customHeight="1" spans="1:7">
      <c r="A442" s="314"/>
      <c r="B442" s="327" t="s">
        <v>704</v>
      </c>
      <c r="C442" s="328"/>
      <c r="D442" s="317" t="s">
        <v>705</v>
      </c>
      <c r="E442" s="326"/>
      <c r="F442" s="326"/>
      <c r="G442" s="329"/>
    </row>
    <row r="443" customHeight="1" spans="1:7">
      <c r="A443" s="314"/>
      <c r="B443" s="327" t="s">
        <v>706</v>
      </c>
      <c r="C443" s="328"/>
      <c r="D443" s="317" t="s">
        <v>705</v>
      </c>
      <c r="E443" s="331">
        <v>12</v>
      </c>
      <c r="F443" s="326">
        <f>主要材料预算!$D$20</f>
        <v>5.77</v>
      </c>
      <c r="G443" s="329">
        <f t="shared" ref="G443:G450" si="55">E443*F443</f>
        <v>69.24</v>
      </c>
    </row>
    <row r="444" customHeight="1" spans="1:7">
      <c r="A444" s="314" t="s">
        <v>19</v>
      </c>
      <c r="B444" s="327" t="s">
        <v>511</v>
      </c>
      <c r="C444" s="328"/>
      <c r="D444" s="317"/>
      <c r="E444" s="326"/>
      <c r="F444" s="326"/>
      <c r="G444" s="329">
        <f>SUM(G445:G445)</f>
        <v>208.466795940367</v>
      </c>
    </row>
    <row r="445" customHeight="1" spans="1:7">
      <c r="A445" s="314"/>
      <c r="B445" s="327" t="s">
        <v>1008</v>
      </c>
      <c r="C445" s="328"/>
      <c r="D445" s="317" t="s">
        <v>894</v>
      </c>
      <c r="E445" s="147">
        <f>G441+G446</f>
        <v>4169.33591880734</v>
      </c>
      <c r="F445" s="331">
        <v>5</v>
      </c>
      <c r="G445" s="329">
        <f>E445*F445/100</f>
        <v>208.466795940367</v>
      </c>
    </row>
    <row r="446" customHeight="1" spans="1:7">
      <c r="A446" s="314" t="s">
        <v>21</v>
      </c>
      <c r="B446" s="327" t="s">
        <v>895</v>
      </c>
      <c r="C446" s="328"/>
      <c r="D446" s="317"/>
      <c r="E446" s="147"/>
      <c r="F446" s="326"/>
      <c r="G446" s="329">
        <f>SUM(G447:G447)</f>
        <v>4100.09591880734</v>
      </c>
    </row>
    <row r="447" customHeight="1" spans="1:7">
      <c r="A447" s="314"/>
      <c r="B447" s="327" t="s">
        <v>1099</v>
      </c>
      <c r="C447" s="328"/>
      <c r="D447" s="317" t="s">
        <v>896</v>
      </c>
      <c r="E447" s="147">
        <v>33.35</v>
      </c>
      <c r="F447" s="326">
        <f>施工机械台时费!$E$6</f>
        <v>122.94140686079</v>
      </c>
      <c r="G447" s="329">
        <f t="shared" si="55"/>
        <v>4100.09591880734</v>
      </c>
    </row>
    <row r="448" customHeight="1" spans="1:7">
      <c r="A448" s="314" t="s">
        <v>905</v>
      </c>
      <c r="B448" s="327" t="s">
        <v>514</v>
      </c>
      <c r="C448" s="328"/>
      <c r="D448" s="317"/>
      <c r="E448" s="332">
        <f>G440</f>
        <v>4377.80271474771</v>
      </c>
      <c r="F448" s="333">
        <f>费率表!$J$12</f>
        <v>0.064</v>
      </c>
      <c r="G448" s="329">
        <f t="shared" si="55"/>
        <v>280.179373743853</v>
      </c>
    </row>
    <row r="449" customHeight="1" spans="1:7">
      <c r="A449" s="314" t="s">
        <v>10</v>
      </c>
      <c r="B449" s="327" t="s">
        <v>770</v>
      </c>
      <c r="C449" s="328"/>
      <c r="D449" s="317"/>
      <c r="E449" s="326">
        <f>G439</f>
        <v>4657.98208849156</v>
      </c>
      <c r="F449" s="333">
        <f>费率表!$J$13</f>
        <v>0.074</v>
      </c>
      <c r="G449" s="329">
        <f t="shared" si="55"/>
        <v>344.690674548375</v>
      </c>
    </row>
    <row r="450" customHeight="1" spans="1:7">
      <c r="A450" s="314" t="s">
        <v>12</v>
      </c>
      <c r="B450" s="327" t="s">
        <v>771</v>
      </c>
      <c r="C450" s="328"/>
      <c r="D450" s="317"/>
      <c r="E450" s="326">
        <f>G439+G449</f>
        <v>5002.67276303994</v>
      </c>
      <c r="F450" s="334">
        <f>费率表!$J$14</f>
        <v>0.07</v>
      </c>
      <c r="G450" s="329">
        <f t="shared" si="55"/>
        <v>350.187093412795</v>
      </c>
    </row>
    <row r="451" customHeight="1" spans="1:7">
      <c r="A451" s="314" t="s">
        <v>15</v>
      </c>
      <c r="B451" s="327" t="s">
        <v>517</v>
      </c>
      <c r="C451" s="328"/>
      <c r="D451" s="317"/>
      <c r="E451" s="326"/>
      <c r="F451" s="349"/>
      <c r="G451" s="329">
        <f>SUM(G452:G452)</f>
        <v>3012.11022442977</v>
      </c>
    </row>
    <row r="452" customHeight="1" spans="1:7">
      <c r="A452" s="314"/>
      <c r="B452" s="327" t="s">
        <v>694</v>
      </c>
      <c r="C452" s="328"/>
      <c r="D452" s="317" t="s">
        <v>70</v>
      </c>
      <c r="E452" s="326">
        <f>E447*施工机械台时费!$L$6</f>
        <v>496.915</v>
      </c>
      <c r="F452" s="357">
        <f>主要材料预算!$N$13</f>
        <v>6.0616206482593</v>
      </c>
      <c r="G452" s="329">
        <f t="shared" ref="G452:G454" si="56">E452*F452</f>
        <v>3012.11022442977</v>
      </c>
    </row>
    <row r="453" customHeight="1" spans="1:7">
      <c r="A453" s="314" t="s">
        <v>906</v>
      </c>
      <c r="B453" s="327" t="s">
        <v>772</v>
      </c>
      <c r="C453" s="328"/>
      <c r="D453" s="317"/>
      <c r="E453" s="326">
        <f>G439+G449++G450+G451</f>
        <v>8364.9700808825</v>
      </c>
      <c r="F453" s="334">
        <f>费率表!$J$15</f>
        <v>0.09</v>
      </c>
      <c r="G453" s="329">
        <f t="shared" si="56"/>
        <v>752.847307279425</v>
      </c>
    </row>
    <row r="454" customHeight="1" spans="1:7">
      <c r="A454" s="314"/>
      <c r="B454" s="327" t="s">
        <v>907</v>
      </c>
      <c r="C454" s="328"/>
      <c r="D454" s="317"/>
      <c r="E454" s="326">
        <f>G439+G449+G450+G451+G453</f>
        <v>9117.81738816193</v>
      </c>
      <c r="F454" s="334">
        <f>费率表!$I$19</f>
        <v>0.03</v>
      </c>
      <c r="G454" s="329">
        <f t="shared" si="56"/>
        <v>273.534521644858</v>
      </c>
    </row>
    <row r="455" customHeight="1" spans="1:7">
      <c r="A455" s="335"/>
      <c r="B455" s="336" t="s">
        <v>39</v>
      </c>
      <c r="C455" s="337"/>
      <c r="D455" s="338"/>
      <c r="E455" s="339"/>
      <c r="F455" s="338"/>
      <c r="G455" s="340">
        <f>G439+G449+G450+G451+G453+G454</f>
        <v>9391.35190980678</v>
      </c>
    </row>
    <row r="457" customHeight="1" spans="1:7">
      <c r="A457" s="352" t="s">
        <v>868</v>
      </c>
      <c r="B457" s="352"/>
      <c r="C457" s="352"/>
      <c r="D457" s="352"/>
      <c r="E457" s="352"/>
      <c r="F457" s="352"/>
      <c r="G457" s="352"/>
    </row>
    <row r="458" customHeight="1" spans="1:7">
      <c r="A458" s="381" t="s">
        <v>869</v>
      </c>
      <c r="B458" s="382"/>
      <c r="C458" s="382" t="s">
        <v>142</v>
      </c>
      <c r="D458" s="382" t="s">
        <v>870</v>
      </c>
      <c r="E458" s="383" t="s">
        <v>1162</v>
      </c>
      <c r="F458" s="384"/>
      <c r="G458" s="385"/>
    </row>
    <row r="459" customHeight="1" spans="1:7">
      <c r="A459" s="386" t="s">
        <v>507</v>
      </c>
      <c r="B459" s="387"/>
      <c r="C459" s="388" t="s">
        <v>1163</v>
      </c>
      <c r="D459" s="388"/>
      <c r="E459" s="388"/>
      <c r="F459" s="389" t="s">
        <v>873</v>
      </c>
      <c r="G459" s="390" t="s">
        <v>1160</v>
      </c>
    </row>
    <row r="460" customHeight="1" spans="1:7">
      <c r="A460" s="391" t="s">
        <v>875</v>
      </c>
      <c r="B460" s="392"/>
      <c r="C460" s="392"/>
      <c r="D460" s="392"/>
      <c r="E460" s="392"/>
      <c r="F460" s="392"/>
      <c r="G460" s="393"/>
    </row>
    <row r="461" customHeight="1" spans="1:7">
      <c r="A461" s="322" t="s">
        <v>1164</v>
      </c>
      <c r="B461" s="323"/>
      <c r="C461" s="324"/>
      <c r="D461" s="324"/>
      <c r="E461" s="324"/>
      <c r="F461" s="324"/>
      <c r="G461" s="325"/>
    </row>
    <row r="462" customHeight="1" spans="1:7">
      <c r="A462" s="314" t="s">
        <v>34</v>
      </c>
      <c r="B462" s="317" t="s">
        <v>761</v>
      </c>
      <c r="C462" s="317"/>
      <c r="D462" s="317" t="s">
        <v>60</v>
      </c>
      <c r="E462" s="326" t="s">
        <v>877</v>
      </c>
      <c r="F462" s="317" t="s">
        <v>878</v>
      </c>
      <c r="G462" s="318" t="s">
        <v>879</v>
      </c>
    </row>
    <row r="463" customHeight="1" spans="1:7">
      <c r="A463" s="314" t="s">
        <v>8</v>
      </c>
      <c r="B463" s="327" t="s">
        <v>880</v>
      </c>
      <c r="C463" s="328"/>
      <c r="D463" s="317"/>
      <c r="E463" s="326"/>
      <c r="F463" s="326"/>
      <c r="G463" s="329">
        <f>G464+G472</f>
        <v>1208.39589896682</v>
      </c>
    </row>
    <row r="464" customHeight="1" spans="1:7">
      <c r="A464" s="314" t="s">
        <v>881</v>
      </c>
      <c r="B464" s="327" t="s">
        <v>882</v>
      </c>
      <c r="C464" s="328"/>
      <c r="D464" s="317"/>
      <c r="E464" s="326"/>
      <c r="F464" s="326"/>
      <c r="G464" s="329">
        <f>G465+G468+G470</f>
        <v>1135.71043135979</v>
      </c>
    </row>
    <row r="465" customHeight="1" spans="1:7">
      <c r="A465" s="314" t="s">
        <v>17</v>
      </c>
      <c r="B465" s="327" t="s">
        <v>510</v>
      </c>
      <c r="C465" s="328"/>
      <c r="D465" s="317"/>
      <c r="E465" s="326"/>
      <c r="F465" s="326"/>
      <c r="G465" s="329">
        <f>SUM(G466:G467)</f>
        <v>623.16</v>
      </c>
    </row>
    <row r="466" customHeight="1" spans="1:7">
      <c r="A466" s="314"/>
      <c r="B466" s="327" t="s">
        <v>704</v>
      </c>
      <c r="C466" s="328"/>
      <c r="D466" s="317" t="s">
        <v>705</v>
      </c>
      <c r="E466" s="326"/>
      <c r="F466" s="326"/>
      <c r="G466" s="329"/>
    </row>
    <row r="467" customHeight="1" spans="1:7">
      <c r="A467" s="314"/>
      <c r="B467" s="327" t="s">
        <v>706</v>
      </c>
      <c r="C467" s="328"/>
      <c r="D467" s="317" t="s">
        <v>705</v>
      </c>
      <c r="E467" s="326">
        <v>108</v>
      </c>
      <c r="F467" s="326">
        <f>主要材料预算!$D$20</f>
        <v>5.77</v>
      </c>
      <c r="G467" s="329">
        <f t="shared" ref="G467:G474" si="57">E467*F467</f>
        <v>623.16</v>
      </c>
    </row>
    <row r="468" customHeight="1" spans="1:7">
      <c r="A468" s="314" t="s">
        <v>19</v>
      </c>
      <c r="B468" s="327" t="s">
        <v>511</v>
      </c>
      <c r="C468" s="328"/>
      <c r="D468" s="317"/>
      <c r="E468" s="326"/>
      <c r="F468" s="326"/>
      <c r="G468" s="329">
        <f>SUM(G469:G469)</f>
        <v>33.0789446027124</v>
      </c>
    </row>
    <row r="469" customHeight="1" spans="1:7">
      <c r="A469" s="314"/>
      <c r="B469" s="327" t="s">
        <v>1008</v>
      </c>
      <c r="C469" s="328"/>
      <c r="D469" s="317" t="s">
        <v>894</v>
      </c>
      <c r="E469" s="147">
        <f>G465+G470</f>
        <v>1102.63148675708</v>
      </c>
      <c r="F469" s="331">
        <v>3</v>
      </c>
      <c r="G469" s="329">
        <f>E469*F469/100</f>
        <v>33.0789446027124</v>
      </c>
    </row>
    <row r="470" customHeight="1" spans="1:7">
      <c r="A470" s="314" t="s">
        <v>21</v>
      </c>
      <c r="B470" s="327" t="s">
        <v>895</v>
      </c>
      <c r="C470" s="328"/>
      <c r="D470" s="317"/>
      <c r="E470" s="147"/>
      <c r="F470" s="326"/>
      <c r="G470" s="329">
        <f>SUM(G471:G471)</f>
        <v>479.47148675708</v>
      </c>
    </row>
    <row r="471" customHeight="1" spans="1:7">
      <c r="A471" s="314"/>
      <c r="B471" s="327" t="s">
        <v>1099</v>
      </c>
      <c r="C471" s="328"/>
      <c r="D471" s="317" t="s">
        <v>896</v>
      </c>
      <c r="E471" s="147">
        <v>3.9</v>
      </c>
      <c r="F471" s="326">
        <f>施工机械台时费!$E$6</f>
        <v>122.94140686079</v>
      </c>
      <c r="G471" s="329">
        <f t="shared" si="57"/>
        <v>479.47148675708</v>
      </c>
    </row>
    <row r="472" customHeight="1" spans="1:7">
      <c r="A472" s="314" t="s">
        <v>905</v>
      </c>
      <c r="B472" s="327" t="s">
        <v>514</v>
      </c>
      <c r="C472" s="328"/>
      <c r="D472" s="317"/>
      <c r="E472" s="332">
        <f>G464</f>
        <v>1135.71043135979</v>
      </c>
      <c r="F472" s="333">
        <f>费率表!$J$12</f>
        <v>0.064</v>
      </c>
      <c r="G472" s="329">
        <f t="shared" si="57"/>
        <v>72.6854676070267</v>
      </c>
    </row>
    <row r="473" customHeight="1" spans="1:7">
      <c r="A473" s="314" t="s">
        <v>10</v>
      </c>
      <c r="B473" s="327" t="s">
        <v>770</v>
      </c>
      <c r="C473" s="328"/>
      <c r="D473" s="317"/>
      <c r="E473" s="326">
        <f>G463</f>
        <v>1208.39589896682</v>
      </c>
      <c r="F473" s="333">
        <f>费率表!$J$13</f>
        <v>0.074</v>
      </c>
      <c r="G473" s="329">
        <f t="shared" si="57"/>
        <v>89.4212965235446</v>
      </c>
    </row>
    <row r="474" customHeight="1" spans="1:7">
      <c r="A474" s="314" t="s">
        <v>12</v>
      </c>
      <c r="B474" s="327" t="s">
        <v>771</v>
      </c>
      <c r="C474" s="328"/>
      <c r="D474" s="317"/>
      <c r="E474" s="326">
        <f>G463+G473</f>
        <v>1297.81719549036</v>
      </c>
      <c r="F474" s="334">
        <f>费率表!$J$14</f>
        <v>0.07</v>
      </c>
      <c r="G474" s="329">
        <f t="shared" si="57"/>
        <v>90.8472036843255</v>
      </c>
    </row>
    <row r="475" customHeight="1" spans="1:7">
      <c r="A475" s="314" t="s">
        <v>15</v>
      </c>
      <c r="B475" s="327" t="s">
        <v>517</v>
      </c>
      <c r="C475" s="328"/>
      <c r="D475" s="317"/>
      <c r="E475" s="326"/>
      <c r="F475" s="349"/>
      <c r="G475" s="329">
        <f>SUM(G476:G476)</f>
        <v>352.240775870348</v>
      </c>
    </row>
    <row r="476" customHeight="1" spans="1:7">
      <c r="A476" s="314"/>
      <c r="B476" s="327" t="s">
        <v>694</v>
      </c>
      <c r="C476" s="328"/>
      <c r="D476" s="317" t="s">
        <v>70</v>
      </c>
      <c r="E476" s="326">
        <f>E471*14.9</f>
        <v>58.11</v>
      </c>
      <c r="F476" s="357">
        <f>主要材料预算!$N$13</f>
        <v>6.0616206482593</v>
      </c>
      <c r="G476" s="329">
        <f t="shared" ref="G476:G478" si="58">E476*F476</f>
        <v>352.240775870348</v>
      </c>
    </row>
    <row r="477" customHeight="1" spans="1:7">
      <c r="A477" s="314" t="s">
        <v>906</v>
      </c>
      <c r="B477" s="327" t="s">
        <v>772</v>
      </c>
      <c r="C477" s="328"/>
      <c r="D477" s="317"/>
      <c r="E477" s="326">
        <f>G463+G473++G474+G475</f>
        <v>1740.90517504504</v>
      </c>
      <c r="F477" s="334">
        <f>费率表!$J$15</f>
        <v>0.09</v>
      </c>
      <c r="G477" s="329">
        <f t="shared" si="58"/>
        <v>156.681465754053</v>
      </c>
    </row>
    <row r="478" customHeight="1" spans="1:7">
      <c r="A478" s="314"/>
      <c r="B478" s="327" t="s">
        <v>907</v>
      </c>
      <c r="C478" s="328"/>
      <c r="D478" s="317"/>
      <c r="E478" s="326">
        <f>G463+G473+G474+G475+G477</f>
        <v>1897.58664079909</v>
      </c>
      <c r="F478" s="334">
        <f>费率表!$I$19</f>
        <v>0.03</v>
      </c>
      <c r="G478" s="329">
        <f t="shared" si="58"/>
        <v>56.9275992239727</v>
      </c>
    </row>
    <row r="479" customHeight="1" spans="1:7">
      <c r="A479" s="335"/>
      <c r="B479" s="336" t="s">
        <v>39</v>
      </c>
      <c r="C479" s="337"/>
      <c r="D479" s="338"/>
      <c r="E479" s="339"/>
      <c r="F479" s="338"/>
      <c r="G479" s="340">
        <f>G463+G473+G474+G475+G477+G478</f>
        <v>1954.51424002306</v>
      </c>
    </row>
    <row r="481" customHeight="1" spans="1:9">
      <c r="A481" s="352" t="s">
        <v>868</v>
      </c>
      <c r="B481" s="352"/>
      <c r="C481" s="352"/>
      <c r="D481" s="352"/>
      <c r="E481" s="352"/>
      <c r="F481" s="352"/>
      <c r="G481" s="352"/>
    </row>
    <row r="482" customHeight="1" spans="1:9">
      <c r="A482" s="381" t="s">
        <v>869</v>
      </c>
      <c r="B482" s="382"/>
      <c r="C482" s="382" t="s">
        <v>142</v>
      </c>
      <c r="D482" s="382" t="s">
        <v>870</v>
      </c>
      <c r="E482" s="383" t="s">
        <v>1165</v>
      </c>
      <c r="F482" s="384"/>
      <c r="G482" s="385"/>
    </row>
    <row r="483" customHeight="1" spans="1:9">
      <c r="A483" s="386" t="s">
        <v>507</v>
      </c>
      <c r="B483" s="387"/>
      <c r="C483" s="388" t="s">
        <v>1166</v>
      </c>
      <c r="D483" s="388"/>
      <c r="E483" s="388"/>
      <c r="F483" s="389" t="s">
        <v>873</v>
      </c>
      <c r="G483" s="390" t="s">
        <v>1160</v>
      </c>
    </row>
    <row r="484" customHeight="1" spans="1:9">
      <c r="A484" s="391" t="s">
        <v>875</v>
      </c>
      <c r="B484" s="392"/>
      <c r="C484" s="392"/>
      <c r="D484" s="392"/>
      <c r="E484" s="392"/>
      <c r="F484" s="392"/>
      <c r="G484" s="393"/>
    </row>
    <row r="485" customHeight="1" spans="1:9">
      <c r="A485" s="322" t="s">
        <v>1164</v>
      </c>
      <c r="B485" s="323"/>
      <c r="C485" s="324"/>
      <c r="D485" s="324"/>
      <c r="E485" s="324"/>
      <c r="F485" s="324"/>
      <c r="G485" s="325"/>
    </row>
    <row r="486" customHeight="1" spans="1:9">
      <c r="A486" s="314" t="s">
        <v>34</v>
      </c>
      <c r="B486" s="317" t="s">
        <v>761</v>
      </c>
      <c r="C486" s="317"/>
      <c r="D486" s="317" t="s">
        <v>60</v>
      </c>
      <c r="E486" s="326" t="s">
        <v>877</v>
      </c>
      <c r="F486" s="317" t="s">
        <v>878</v>
      </c>
      <c r="G486" s="318" t="s">
        <v>879</v>
      </c>
    </row>
    <row r="487" customHeight="1" spans="1:9">
      <c r="A487" s="314" t="s">
        <v>8</v>
      </c>
      <c r="B487" s="327" t="s">
        <v>880</v>
      </c>
      <c r="C487" s="328"/>
      <c r="D487" s="317"/>
      <c r="E487" s="326"/>
      <c r="F487" s="326"/>
      <c r="G487" s="329">
        <f>G488+G496</f>
        <v>588.871799989599</v>
      </c>
    </row>
    <row r="488" customHeight="1" spans="1:9">
      <c r="A488" s="314" t="s">
        <v>881</v>
      </c>
      <c r="B488" s="327" t="s">
        <v>882</v>
      </c>
      <c r="C488" s="328"/>
      <c r="D488" s="317"/>
      <c r="E488" s="326"/>
      <c r="F488" s="326"/>
      <c r="G488" s="329">
        <f>G489+G492+G494</f>
        <v>553.450939839848</v>
      </c>
    </row>
    <row r="489" customHeight="1" spans="1:9">
      <c r="A489" s="314" t="s">
        <v>17</v>
      </c>
      <c r="B489" s="327" t="s">
        <v>510</v>
      </c>
      <c r="C489" s="328"/>
      <c r="D489" s="317"/>
      <c r="E489" s="326"/>
      <c r="F489" s="326"/>
      <c r="G489" s="329">
        <f>SUM(G490:G491)</f>
        <v>186.948</v>
      </c>
    </row>
    <row r="490" customHeight="1" spans="1:9">
      <c r="A490" s="314"/>
      <c r="B490" s="327" t="s">
        <v>704</v>
      </c>
      <c r="C490" s="328"/>
      <c r="D490" s="317" t="s">
        <v>705</v>
      </c>
      <c r="E490" s="326"/>
      <c r="F490" s="326"/>
      <c r="G490" s="329"/>
    </row>
    <row r="491" customHeight="1" spans="1:9">
      <c r="A491" s="314"/>
      <c r="B491" s="327" t="s">
        <v>706</v>
      </c>
      <c r="C491" s="328"/>
      <c r="D491" s="317" t="s">
        <v>705</v>
      </c>
      <c r="E491" s="147">
        <v>32.4</v>
      </c>
      <c r="F491" s="326">
        <f>主要材料预算!$D$20</f>
        <v>5.77</v>
      </c>
      <c r="G491" s="329">
        <f t="shared" ref="G491:G498" si="59">E491*F491</f>
        <v>186.948</v>
      </c>
    </row>
    <row r="492" customHeight="1" spans="1:9">
      <c r="A492" s="314" t="s">
        <v>19</v>
      </c>
      <c r="B492" s="327" t="s">
        <v>511</v>
      </c>
      <c r="C492" s="328"/>
      <c r="D492" s="317"/>
      <c r="E492" s="326"/>
      <c r="F492" s="326"/>
      <c r="G492" s="329">
        <f>SUM(G493:G493)</f>
        <v>16.1199302865975</v>
      </c>
    </row>
    <row r="493" customHeight="1" spans="1:9">
      <c r="A493" s="314"/>
      <c r="B493" s="327" t="s">
        <v>1008</v>
      </c>
      <c r="C493" s="328"/>
      <c r="D493" s="317" t="s">
        <v>894</v>
      </c>
      <c r="E493" s="147">
        <f>G489+G494</f>
        <v>537.331009553251</v>
      </c>
      <c r="F493" s="331">
        <v>3</v>
      </c>
      <c r="G493" s="329">
        <f>E493*F493/100</f>
        <v>16.1199302865975</v>
      </c>
    </row>
    <row r="494" customHeight="1" spans="1:9">
      <c r="A494" s="314" t="s">
        <v>21</v>
      </c>
      <c r="B494" s="327" t="s">
        <v>895</v>
      </c>
      <c r="C494" s="328"/>
      <c r="D494" s="317"/>
      <c r="E494" s="147"/>
      <c r="F494" s="326"/>
      <c r="G494" s="329">
        <f>SUM(G495:G495)</f>
        <v>350.383009553251</v>
      </c>
      <c r="I494" s="92">
        <f>600/50</f>
        <v>12</v>
      </c>
    </row>
    <row r="495" customHeight="1" spans="1:9">
      <c r="A495" s="314"/>
      <c r="B495" s="327" t="s">
        <v>1099</v>
      </c>
      <c r="C495" s="328"/>
      <c r="D495" s="317" t="s">
        <v>896</v>
      </c>
      <c r="E495" s="147">
        <v>2.85</v>
      </c>
      <c r="F495" s="326">
        <f>施工机械台时费!$E$6</f>
        <v>122.94140686079</v>
      </c>
      <c r="G495" s="329">
        <f t="shared" si="59"/>
        <v>350.383009553251</v>
      </c>
    </row>
    <row r="496" customHeight="1" spans="1:9">
      <c r="A496" s="314" t="s">
        <v>905</v>
      </c>
      <c r="B496" s="327" t="s">
        <v>514</v>
      </c>
      <c r="C496" s="328"/>
      <c r="D496" s="317"/>
      <c r="E496" s="332">
        <f>G488</f>
        <v>553.450939839848</v>
      </c>
      <c r="F496" s="333">
        <f>费率表!$J$12</f>
        <v>0.064</v>
      </c>
      <c r="G496" s="329">
        <f t="shared" si="59"/>
        <v>35.4208601497503</v>
      </c>
    </row>
    <row r="497" customHeight="1" spans="1:7">
      <c r="A497" s="314" t="s">
        <v>10</v>
      </c>
      <c r="B497" s="327" t="s">
        <v>770</v>
      </c>
      <c r="C497" s="328"/>
      <c r="D497" s="317"/>
      <c r="E497" s="326">
        <f>G487</f>
        <v>588.871799989599</v>
      </c>
      <c r="F497" s="333">
        <f>费率表!$J$13</f>
        <v>0.074</v>
      </c>
      <c r="G497" s="329">
        <f t="shared" si="59"/>
        <v>43.5765131992303</v>
      </c>
    </row>
    <row r="498" customHeight="1" spans="1:7">
      <c r="A498" s="314" t="s">
        <v>12</v>
      </c>
      <c r="B498" s="327" t="s">
        <v>771</v>
      </c>
      <c r="C498" s="328"/>
      <c r="D498" s="317"/>
      <c r="E498" s="326">
        <f>G487+G497</f>
        <v>632.448313188829</v>
      </c>
      <c r="F498" s="334">
        <f>费率表!$J$14</f>
        <v>0.07</v>
      </c>
      <c r="G498" s="329">
        <f t="shared" si="59"/>
        <v>44.271381923218</v>
      </c>
    </row>
    <row r="499" customHeight="1" spans="1:7">
      <c r="A499" s="314" t="s">
        <v>15</v>
      </c>
      <c r="B499" s="327" t="s">
        <v>517</v>
      </c>
      <c r="C499" s="328"/>
      <c r="D499" s="317"/>
      <c r="E499" s="326"/>
      <c r="F499" s="349"/>
      <c r="G499" s="329">
        <f>SUM(G500:G500)</f>
        <v>257.406720828331</v>
      </c>
    </row>
    <row r="500" customHeight="1" spans="1:7">
      <c r="A500" s="314"/>
      <c r="B500" s="327" t="s">
        <v>694</v>
      </c>
      <c r="C500" s="328"/>
      <c r="D500" s="317" t="s">
        <v>70</v>
      </c>
      <c r="E500" s="326">
        <f>E495*14.9</f>
        <v>42.465</v>
      </c>
      <c r="F500" s="357">
        <f>主要材料预算!$N$13</f>
        <v>6.0616206482593</v>
      </c>
      <c r="G500" s="329">
        <f t="shared" ref="G500:G502" si="60">E500*F500</f>
        <v>257.406720828331</v>
      </c>
    </row>
    <row r="501" customHeight="1" spans="1:7">
      <c r="A501" s="314" t="s">
        <v>906</v>
      </c>
      <c r="B501" s="327" t="s">
        <v>772</v>
      </c>
      <c r="C501" s="328"/>
      <c r="D501" s="317"/>
      <c r="E501" s="326">
        <f>G487+G497++G498+G499</f>
        <v>934.126415940378</v>
      </c>
      <c r="F501" s="334">
        <f>费率表!$J$15</f>
        <v>0.09</v>
      </c>
      <c r="G501" s="329">
        <f t="shared" si="60"/>
        <v>84.071377434634</v>
      </c>
    </row>
    <row r="502" customHeight="1" spans="1:7">
      <c r="A502" s="314"/>
      <c r="B502" s="327" t="s">
        <v>907</v>
      </c>
      <c r="C502" s="328"/>
      <c r="D502" s="317"/>
      <c r="E502" s="326">
        <f>G487+G497+G498+G499+G501</f>
        <v>1018.19779337501</v>
      </c>
      <c r="F502" s="334">
        <f>费率表!$I$19</f>
        <v>0.03</v>
      </c>
      <c r="G502" s="329">
        <f t="shared" si="60"/>
        <v>30.5459338012504</v>
      </c>
    </row>
    <row r="503" customHeight="1" spans="1:7">
      <c r="A503" s="335"/>
      <c r="B503" s="336" t="s">
        <v>39</v>
      </c>
      <c r="C503" s="337"/>
      <c r="D503" s="338"/>
      <c r="E503" s="339"/>
      <c r="F503" s="338"/>
      <c r="G503" s="340">
        <f>G487+G497+G498+G499+G501+G502</f>
        <v>1048.74372717626</v>
      </c>
    </row>
    <row r="506" customHeight="1" spans="1:7">
      <c r="A506" s="394" t="s">
        <v>868</v>
      </c>
      <c r="B506" s="394"/>
      <c r="C506" s="394"/>
      <c r="D506" s="394"/>
      <c r="E506" s="394"/>
      <c r="F506" s="394"/>
      <c r="G506" s="394"/>
    </row>
    <row r="507" customHeight="1" spans="1:7">
      <c r="A507" s="381" t="s">
        <v>869</v>
      </c>
      <c r="B507" s="382"/>
      <c r="C507" s="382" t="s">
        <v>148</v>
      </c>
      <c r="D507" s="382" t="s">
        <v>870</v>
      </c>
      <c r="E507" s="383" t="s">
        <v>1167</v>
      </c>
      <c r="F507" s="384"/>
      <c r="G507" s="385"/>
    </row>
    <row r="508" customHeight="1" spans="1:7">
      <c r="A508" s="386" t="s">
        <v>507</v>
      </c>
      <c r="B508" s="387"/>
      <c r="C508" s="388" t="s">
        <v>1168</v>
      </c>
      <c r="D508" s="388"/>
      <c r="E508" s="388"/>
      <c r="F508" s="389" t="s">
        <v>873</v>
      </c>
      <c r="G508" s="390" t="s">
        <v>1160</v>
      </c>
    </row>
    <row r="509" customHeight="1" spans="1:7">
      <c r="A509" s="391" t="s">
        <v>875</v>
      </c>
      <c r="B509" s="392"/>
      <c r="C509" s="392"/>
      <c r="D509" s="392"/>
      <c r="E509" s="392"/>
      <c r="F509" s="392"/>
      <c r="G509" s="393"/>
    </row>
    <row r="510" customHeight="1" spans="1:7">
      <c r="A510" s="391" t="s">
        <v>1169</v>
      </c>
      <c r="B510" s="392"/>
      <c r="C510" s="392"/>
      <c r="D510" s="392"/>
      <c r="E510" s="392"/>
      <c r="F510" s="392"/>
      <c r="G510" s="393"/>
    </row>
    <row r="511" customHeight="1" spans="1:7">
      <c r="A511" s="314" t="s">
        <v>34</v>
      </c>
      <c r="B511" s="317" t="s">
        <v>761</v>
      </c>
      <c r="C511" s="317"/>
      <c r="D511" s="317" t="s">
        <v>60</v>
      </c>
      <c r="E511" s="326" t="s">
        <v>877</v>
      </c>
      <c r="F511" s="317" t="s">
        <v>878</v>
      </c>
      <c r="G511" s="318" t="s">
        <v>879</v>
      </c>
    </row>
    <row r="512" customHeight="1" spans="1:7">
      <c r="A512" s="314" t="s">
        <v>8</v>
      </c>
      <c r="B512" s="327" t="s">
        <v>880</v>
      </c>
      <c r="C512" s="328"/>
      <c r="D512" s="317"/>
      <c r="E512" s="326"/>
      <c r="F512" s="326"/>
      <c r="G512" s="329">
        <f>G513+G521</f>
        <v>2842.27212801678</v>
      </c>
    </row>
    <row r="513" customHeight="1" spans="1:7">
      <c r="A513" s="314" t="s">
        <v>881</v>
      </c>
      <c r="B513" s="327" t="s">
        <v>882</v>
      </c>
      <c r="C513" s="328"/>
      <c r="D513" s="317"/>
      <c r="E513" s="326"/>
      <c r="F513" s="326"/>
      <c r="G513" s="329">
        <f>G514++G517</f>
        <v>2671.30839099322</v>
      </c>
    </row>
    <row r="514" customHeight="1" spans="1:7">
      <c r="A514" s="314" t="s">
        <v>17</v>
      </c>
      <c r="B514" s="327" t="s">
        <v>510</v>
      </c>
      <c r="C514" s="328"/>
      <c r="D514" s="317"/>
      <c r="E514" s="326"/>
      <c r="F514" s="326"/>
      <c r="G514" s="329">
        <f>SUM(G515:G516)</f>
        <v>2215.68</v>
      </c>
    </row>
    <row r="515" customHeight="1" spans="1:7">
      <c r="A515" s="314"/>
      <c r="B515" s="327" t="s">
        <v>704</v>
      </c>
      <c r="C515" s="328"/>
      <c r="D515" s="317" t="s">
        <v>705</v>
      </c>
      <c r="E515" s="326"/>
      <c r="F515" s="326"/>
      <c r="G515" s="329"/>
    </row>
    <row r="516" customHeight="1" spans="1:7">
      <c r="A516" s="314"/>
      <c r="B516" s="327" t="s">
        <v>706</v>
      </c>
      <c r="C516" s="328"/>
      <c r="D516" s="317" t="s">
        <v>705</v>
      </c>
      <c r="E516" s="326">
        <v>384</v>
      </c>
      <c r="F516" s="326">
        <f>主要材料预算!$D$20</f>
        <v>5.77</v>
      </c>
      <c r="G516" s="329">
        <f t="shared" ref="G516:G519" si="61">E516*F516</f>
        <v>2215.68</v>
      </c>
    </row>
    <row r="517" customHeight="1" spans="1:7">
      <c r="A517" s="314" t="s">
        <v>21</v>
      </c>
      <c r="B517" s="327" t="s">
        <v>895</v>
      </c>
      <c r="C517" s="328"/>
      <c r="D517" s="317"/>
      <c r="E517" s="147"/>
      <c r="F517" s="326"/>
      <c r="G517" s="329">
        <f>SUM(G519:G519)</f>
        <v>455.628390993219</v>
      </c>
    </row>
    <row r="518" customHeight="1" spans="1:7">
      <c r="A518" s="314"/>
      <c r="B518" s="327" t="s">
        <v>1170</v>
      </c>
      <c r="C518" s="328"/>
      <c r="D518" s="317" t="s">
        <v>896</v>
      </c>
      <c r="E518" s="147">
        <v>5.57</v>
      </c>
      <c r="F518" s="326">
        <f>施工机械台时费!$E$6</f>
        <v>122.94140686079</v>
      </c>
      <c r="G518" s="329">
        <f t="shared" si="61"/>
        <v>684.783636214599</v>
      </c>
    </row>
    <row r="519" customHeight="1" spans="1:7">
      <c r="A519" s="314"/>
      <c r="B519" s="327" t="s">
        <v>807</v>
      </c>
      <c r="C519" s="328"/>
      <c r="D519" s="317" t="s">
        <v>896</v>
      </c>
      <c r="E519" s="147">
        <v>6.66</v>
      </c>
      <c r="F519" s="326">
        <f>施工机械台时费!$E$10</f>
        <v>68.4126713203031</v>
      </c>
      <c r="G519" s="329">
        <f t="shared" si="61"/>
        <v>455.628390993219</v>
      </c>
    </row>
    <row r="520" customHeight="1" spans="1:7">
      <c r="A520" s="314"/>
      <c r="B520" s="327" t="s">
        <v>902</v>
      </c>
      <c r="C520" s="328"/>
      <c r="D520" s="317" t="s">
        <v>894</v>
      </c>
      <c r="E520" s="147">
        <f>SUM(G518:G519)</f>
        <v>1140.41202720782</v>
      </c>
      <c r="F520" s="330">
        <v>5</v>
      </c>
      <c r="G520" s="329">
        <f>E520*F520/100</f>
        <v>57.0206013603909</v>
      </c>
    </row>
    <row r="521" customHeight="1" spans="1:7">
      <c r="A521" s="314" t="s">
        <v>905</v>
      </c>
      <c r="B521" s="327" t="s">
        <v>514</v>
      </c>
      <c r="C521" s="328"/>
      <c r="D521" s="317"/>
      <c r="E521" s="332">
        <f>G513</f>
        <v>2671.30839099322</v>
      </c>
      <c r="F521" s="333">
        <f>费率表!$J$12</f>
        <v>0.064</v>
      </c>
      <c r="G521" s="329">
        <f t="shared" ref="G521:G523" si="62">E521*F521</f>
        <v>170.963737023566</v>
      </c>
    </row>
    <row r="522" customHeight="1" spans="1:7">
      <c r="A522" s="314" t="s">
        <v>10</v>
      </c>
      <c r="B522" s="327" t="s">
        <v>770</v>
      </c>
      <c r="C522" s="328"/>
      <c r="D522" s="317"/>
      <c r="E522" s="326">
        <f>G512</f>
        <v>2842.27212801678</v>
      </c>
      <c r="F522" s="333">
        <f>费率表!$J$13</f>
        <v>0.074</v>
      </c>
      <c r="G522" s="329">
        <f t="shared" si="62"/>
        <v>210.328137473242</v>
      </c>
    </row>
    <row r="523" customHeight="1" spans="1:7">
      <c r="A523" s="314" t="s">
        <v>12</v>
      </c>
      <c r="B523" s="327" t="s">
        <v>771</v>
      </c>
      <c r="C523" s="328"/>
      <c r="D523" s="317"/>
      <c r="E523" s="326">
        <f>G512+G522</f>
        <v>3052.60026549003</v>
      </c>
      <c r="F523" s="334">
        <f>费率表!$J$14</f>
        <v>0.07</v>
      </c>
      <c r="G523" s="329">
        <f t="shared" si="62"/>
        <v>213.682018584302</v>
      </c>
    </row>
    <row r="524" customHeight="1" spans="1:7">
      <c r="A524" s="314" t="s">
        <v>15</v>
      </c>
      <c r="B524" s="327" t="s">
        <v>517</v>
      </c>
      <c r="C524" s="328"/>
      <c r="D524" s="317"/>
      <c r="E524" s="326"/>
      <c r="F524" s="349"/>
      <c r="G524" s="329">
        <f>SUM(G525:G525)</f>
        <v>902.738978283313</v>
      </c>
    </row>
    <row r="525" customHeight="1" spans="1:7">
      <c r="A525" s="314"/>
      <c r="B525" s="327" t="s">
        <v>694</v>
      </c>
      <c r="C525" s="328"/>
      <c r="D525" s="317" t="s">
        <v>70</v>
      </c>
      <c r="E525" s="326">
        <f>E518*施工机械台时费!$L$6+E519*施工机械台时费!$L$10</f>
        <v>148.927</v>
      </c>
      <c r="F525" s="357">
        <f>主要材料预算!$N$13</f>
        <v>6.0616206482593</v>
      </c>
      <c r="G525" s="329">
        <f t="shared" ref="G525:G527" si="63">E525*F525</f>
        <v>902.738978283313</v>
      </c>
    </row>
    <row r="526" customHeight="1" spans="1:7">
      <c r="A526" s="314" t="s">
        <v>906</v>
      </c>
      <c r="B526" s="327" t="s">
        <v>772</v>
      </c>
      <c r="C526" s="328"/>
      <c r="D526" s="317"/>
      <c r="E526" s="326">
        <f>G512+G522++G523+G524</f>
        <v>4169.02126235764</v>
      </c>
      <c r="F526" s="334">
        <f>费率表!$J$15</f>
        <v>0.09</v>
      </c>
      <c r="G526" s="329">
        <f t="shared" si="63"/>
        <v>375.211913612187</v>
      </c>
    </row>
    <row r="527" customHeight="1" spans="1:7">
      <c r="A527" s="314"/>
      <c r="B527" s="327" t="s">
        <v>907</v>
      </c>
      <c r="C527" s="328"/>
      <c r="D527" s="317"/>
      <c r="E527" s="326">
        <f>G512+G522+G523+G524+G526</f>
        <v>4544.23317596982</v>
      </c>
      <c r="F527" s="334">
        <f>费率表!$I$19</f>
        <v>0.03</v>
      </c>
      <c r="G527" s="329">
        <f t="shared" si="63"/>
        <v>136.326995279095</v>
      </c>
    </row>
    <row r="528" customHeight="1" spans="1:7">
      <c r="A528" s="335"/>
      <c r="B528" s="336" t="s">
        <v>39</v>
      </c>
      <c r="C528" s="337"/>
      <c r="D528" s="338"/>
      <c r="E528" s="339"/>
      <c r="F528" s="338"/>
      <c r="G528" s="340">
        <f>G512+G522+G523+G524+G526+G527</f>
        <v>4680.56017124892</v>
      </c>
    </row>
    <row r="530" customHeight="1" spans="1:7">
      <c r="A530" s="394" t="s">
        <v>868</v>
      </c>
      <c r="B530" s="394"/>
      <c r="C530" s="394"/>
      <c r="D530" s="394"/>
      <c r="E530" s="394"/>
      <c r="F530" s="394"/>
      <c r="G530" s="394"/>
    </row>
    <row r="531" customHeight="1" spans="1:7">
      <c r="A531" s="381" t="s">
        <v>869</v>
      </c>
      <c r="B531" s="382"/>
      <c r="C531" s="382" t="s">
        <v>148</v>
      </c>
      <c r="D531" s="382" t="s">
        <v>870</v>
      </c>
      <c r="E531" s="383" t="s">
        <v>1171</v>
      </c>
      <c r="F531" s="384"/>
      <c r="G531" s="385"/>
    </row>
    <row r="532" customHeight="1" spans="1:7">
      <c r="A532" s="386" t="s">
        <v>507</v>
      </c>
      <c r="B532" s="387"/>
      <c r="C532" s="388" t="s">
        <v>1172</v>
      </c>
      <c r="D532" s="388"/>
      <c r="E532" s="388"/>
      <c r="F532" s="389" t="s">
        <v>873</v>
      </c>
      <c r="G532" s="390" t="s">
        <v>1160</v>
      </c>
    </row>
    <row r="533" customHeight="1" spans="1:7">
      <c r="A533" s="391" t="s">
        <v>875</v>
      </c>
      <c r="B533" s="392"/>
      <c r="C533" s="392"/>
      <c r="D533" s="392"/>
      <c r="E533" s="392"/>
      <c r="F533" s="392"/>
      <c r="G533" s="393"/>
    </row>
    <row r="534" customHeight="1" spans="1:7">
      <c r="A534" s="391" t="s">
        <v>1169</v>
      </c>
      <c r="B534" s="392"/>
      <c r="C534" s="392"/>
      <c r="D534" s="392"/>
      <c r="E534" s="392"/>
      <c r="F534" s="392"/>
      <c r="G534" s="393"/>
    </row>
    <row r="535" customHeight="1" spans="1:7">
      <c r="A535" s="314" t="s">
        <v>34</v>
      </c>
      <c r="B535" s="317" t="s">
        <v>761</v>
      </c>
      <c r="C535" s="317"/>
      <c r="D535" s="317" t="s">
        <v>60</v>
      </c>
      <c r="E535" s="326" t="s">
        <v>877</v>
      </c>
      <c r="F535" s="317" t="s">
        <v>878</v>
      </c>
      <c r="G535" s="318" t="s">
        <v>879</v>
      </c>
    </row>
    <row r="536" customHeight="1" spans="1:7">
      <c r="A536" s="314" t="s">
        <v>8</v>
      </c>
      <c r="B536" s="327" t="s">
        <v>880</v>
      </c>
      <c r="C536" s="328"/>
      <c r="D536" s="317"/>
      <c r="E536" s="326"/>
      <c r="F536" s="326"/>
      <c r="G536" s="329">
        <f>G537+G545</f>
        <v>2372.61720801678</v>
      </c>
    </row>
    <row r="537" customHeight="1" spans="1:7">
      <c r="A537" s="314" t="s">
        <v>881</v>
      </c>
      <c r="B537" s="327" t="s">
        <v>882</v>
      </c>
      <c r="C537" s="328"/>
      <c r="D537" s="317"/>
      <c r="E537" s="326"/>
      <c r="F537" s="326"/>
      <c r="G537" s="329">
        <f>G538++G541</f>
        <v>2229.90339099322</v>
      </c>
    </row>
    <row r="538" customHeight="1" spans="1:7">
      <c r="A538" s="314" t="s">
        <v>17</v>
      </c>
      <c r="B538" s="327" t="s">
        <v>510</v>
      </c>
      <c r="C538" s="328"/>
      <c r="D538" s="317"/>
      <c r="E538" s="326"/>
      <c r="F538" s="326"/>
      <c r="G538" s="329">
        <f>SUM(G539:G540)</f>
        <v>1774.275</v>
      </c>
    </row>
    <row r="539" customHeight="1" spans="1:7">
      <c r="A539" s="314"/>
      <c r="B539" s="327" t="s">
        <v>704</v>
      </c>
      <c r="C539" s="328"/>
      <c r="D539" s="317" t="s">
        <v>705</v>
      </c>
      <c r="E539" s="326"/>
      <c r="F539" s="326"/>
      <c r="G539" s="329"/>
    </row>
    <row r="540" customHeight="1" spans="1:7">
      <c r="A540" s="314"/>
      <c r="B540" s="327" t="s">
        <v>706</v>
      </c>
      <c r="C540" s="328"/>
      <c r="D540" s="317" t="s">
        <v>705</v>
      </c>
      <c r="E540" s="326">
        <v>307.5</v>
      </c>
      <c r="F540" s="326">
        <f>主要材料预算!$D$20</f>
        <v>5.77</v>
      </c>
      <c r="G540" s="329">
        <f t="shared" ref="G540:G543" si="64">E540*F540</f>
        <v>1774.275</v>
      </c>
    </row>
    <row r="541" customHeight="1" spans="1:7">
      <c r="A541" s="314" t="s">
        <v>21</v>
      </c>
      <c r="B541" s="327" t="s">
        <v>895</v>
      </c>
      <c r="C541" s="328"/>
      <c r="D541" s="317"/>
      <c r="E541" s="147"/>
      <c r="F541" s="326"/>
      <c r="G541" s="329">
        <f>SUM(G543:G543)</f>
        <v>455.628390993219</v>
      </c>
    </row>
    <row r="542" customHeight="1" spans="1:7">
      <c r="A542" s="314"/>
      <c r="B542" s="327" t="s">
        <v>1170</v>
      </c>
      <c r="C542" s="328"/>
      <c r="D542" s="317" t="s">
        <v>896</v>
      </c>
      <c r="E542" s="147">
        <v>3.48</v>
      </c>
      <c r="F542" s="326">
        <f>施工机械台时费!$E$6</f>
        <v>122.94140686079</v>
      </c>
      <c r="G542" s="329">
        <f t="shared" si="64"/>
        <v>427.836095875548</v>
      </c>
    </row>
    <row r="543" customHeight="1" spans="1:7">
      <c r="A543" s="314"/>
      <c r="B543" s="327" t="s">
        <v>807</v>
      </c>
      <c r="C543" s="328"/>
      <c r="D543" s="317" t="s">
        <v>896</v>
      </c>
      <c r="E543" s="147">
        <v>6.66</v>
      </c>
      <c r="F543" s="326">
        <f>施工机械台时费!$E$10</f>
        <v>68.4126713203031</v>
      </c>
      <c r="G543" s="329">
        <f t="shared" si="64"/>
        <v>455.628390993219</v>
      </c>
    </row>
    <row r="544" customHeight="1" spans="1:7">
      <c r="A544" s="314"/>
      <c r="B544" s="327" t="s">
        <v>902</v>
      </c>
      <c r="C544" s="328"/>
      <c r="D544" s="317" t="s">
        <v>894</v>
      </c>
      <c r="E544" s="147">
        <f>SUM(G542:G543)</f>
        <v>883.464486868767</v>
      </c>
      <c r="F544" s="330">
        <v>5</v>
      </c>
      <c r="G544" s="329">
        <f>E544*F544/100</f>
        <v>44.1732243434384</v>
      </c>
    </row>
    <row r="545" customHeight="1" spans="1:7">
      <c r="A545" s="314" t="s">
        <v>905</v>
      </c>
      <c r="B545" s="327" t="s">
        <v>514</v>
      </c>
      <c r="C545" s="328"/>
      <c r="D545" s="317"/>
      <c r="E545" s="332">
        <f>G537</f>
        <v>2229.90339099322</v>
      </c>
      <c r="F545" s="333">
        <f>费率表!$J$12</f>
        <v>0.064</v>
      </c>
      <c r="G545" s="329">
        <f t="shared" ref="G545:G547" si="65">E545*F545</f>
        <v>142.713817023566</v>
      </c>
    </row>
    <row r="546" customHeight="1" spans="1:7">
      <c r="A546" s="314" t="s">
        <v>10</v>
      </c>
      <c r="B546" s="327" t="s">
        <v>770</v>
      </c>
      <c r="C546" s="328"/>
      <c r="D546" s="317"/>
      <c r="E546" s="326">
        <f>G536</f>
        <v>2372.61720801678</v>
      </c>
      <c r="F546" s="333">
        <f>费率表!$J$13</f>
        <v>0.074</v>
      </c>
      <c r="G546" s="329">
        <f t="shared" si="65"/>
        <v>175.573673393242</v>
      </c>
    </row>
    <row r="547" customHeight="1" spans="1:7">
      <c r="A547" s="314" t="s">
        <v>12</v>
      </c>
      <c r="B547" s="327" t="s">
        <v>771</v>
      </c>
      <c r="C547" s="328"/>
      <c r="D547" s="317"/>
      <c r="E547" s="326">
        <f>G536+G546</f>
        <v>2548.19088141003</v>
      </c>
      <c r="F547" s="334">
        <f>费率表!$J$14</f>
        <v>0.07</v>
      </c>
      <c r="G547" s="329">
        <f t="shared" si="65"/>
        <v>178.373361698702</v>
      </c>
    </row>
    <row r="548" customHeight="1" spans="1:7">
      <c r="A548" s="314" t="s">
        <v>15</v>
      </c>
      <c r="B548" s="327" t="s">
        <v>517</v>
      </c>
      <c r="C548" s="328"/>
      <c r="D548" s="317"/>
      <c r="E548" s="326"/>
      <c r="F548" s="349"/>
      <c r="G548" s="329">
        <f>SUM(G549:G549)</f>
        <v>713.97404967587</v>
      </c>
    </row>
    <row r="549" customHeight="1" spans="1:7">
      <c r="A549" s="314"/>
      <c r="B549" s="327" t="s">
        <v>694</v>
      </c>
      <c r="C549" s="328"/>
      <c r="D549" s="317" t="s">
        <v>70</v>
      </c>
      <c r="E549" s="326">
        <f>E542*施工机械台时费!$L$6+E543*施工机械台时费!$L$10</f>
        <v>117.786</v>
      </c>
      <c r="F549" s="357">
        <f>主要材料预算!$N$13</f>
        <v>6.0616206482593</v>
      </c>
      <c r="G549" s="329">
        <f t="shared" ref="G549:G551" si="66">E549*F549</f>
        <v>713.97404967587</v>
      </c>
    </row>
    <row r="550" customHeight="1" spans="1:7">
      <c r="A550" s="314" t="s">
        <v>906</v>
      </c>
      <c r="B550" s="327" t="s">
        <v>772</v>
      </c>
      <c r="C550" s="328"/>
      <c r="D550" s="317"/>
      <c r="E550" s="326">
        <f>G536+G546++G547+G548</f>
        <v>3440.53829278459</v>
      </c>
      <c r="F550" s="334">
        <f>费率表!$J$15</f>
        <v>0.09</v>
      </c>
      <c r="G550" s="329">
        <f t="shared" si="66"/>
        <v>309.648446350613</v>
      </c>
    </row>
    <row r="551" customHeight="1" spans="1:7">
      <c r="A551" s="314"/>
      <c r="B551" s="327" t="s">
        <v>907</v>
      </c>
      <c r="C551" s="328"/>
      <c r="D551" s="317"/>
      <c r="E551" s="326">
        <f>G536+G546+G547+G548+G550</f>
        <v>3750.18673913521</v>
      </c>
      <c r="F551" s="334">
        <f>费率表!$I$19</f>
        <v>0.03</v>
      </c>
      <c r="G551" s="329">
        <f t="shared" si="66"/>
        <v>112.505602174056</v>
      </c>
    </row>
    <row r="552" customHeight="1" spans="1:7">
      <c r="A552" s="335"/>
      <c r="B552" s="336" t="s">
        <v>39</v>
      </c>
      <c r="C552" s="337"/>
      <c r="D552" s="338"/>
      <c r="E552" s="339"/>
      <c r="F552" s="338"/>
      <c r="G552" s="340">
        <f>G536+G546+G547+G548+G550+G551</f>
        <v>3862.69234130926</v>
      </c>
    </row>
    <row r="555" customHeight="1" spans="1:7">
      <c r="A555" s="352" t="s">
        <v>868</v>
      </c>
      <c r="B555" s="352"/>
      <c r="C555" s="352"/>
      <c r="D555" s="352"/>
      <c r="E555" s="352"/>
      <c r="F555" s="352"/>
      <c r="G555" s="352"/>
    </row>
    <row r="556" customHeight="1" spans="1:7">
      <c r="A556" s="381" t="s">
        <v>869</v>
      </c>
      <c r="B556" s="382"/>
      <c r="C556" s="382" t="s">
        <v>148</v>
      </c>
      <c r="D556" s="382" t="s">
        <v>870</v>
      </c>
      <c r="E556" s="383" t="s">
        <v>1173</v>
      </c>
      <c r="F556" s="384"/>
      <c r="G556" s="385"/>
    </row>
    <row r="557" customHeight="1" spans="1:7">
      <c r="A557" s="386" t="s">
        <v>507</v>
      </c>
      <c r="B557" s="387"/>
      <c r="C557" s="388" t="s">
        <v>1174</v>
      </c>
      <c r="D557" s="388"/>
      <c r="E557" s="388"/>
      <c r="F557" s="389" t="s">
        <v>873</v>
      </c>
      <c r="G557" s="390" t="s">
        <v>1160</v>
      </c>
    </row>
    <row r="558" customHeight="1" spans="1:7">
      <c r="A558" s="391" t="s">
        <v>875</v>
      </c>
      <c r="B558" s="392"/>
      <c r="C558" s="392"/>
      <c r="D558" s="392"/>
      <c r="E558" s="392"/>
      <c r="F558" s="392"/>
      <c r="G558" s="393"/>
    </row>
    <row r="559" customHeight="1" spans="1:7">
      <c r="A559" s="391" t="s">
        <v>1164</v>
      </c>
      <c r="B559" s="392"/>
      <c r="C559" s="392"/>
      <c r="D559" s="392"/>
      <c r="E559" s="392"/>
      <c r="F559" s="392"/>
      <c r="G559" s="393"/>
    </row>
    <row r="560" customHeight="1" spans="1:7">
      <c r="A560" s="314" t="s">
        <v>34</v>
      </c>
      <c r="B560" s="317" t="s">
        <v>761</v>
      </c>
      <c r="C560" s="317"/>
      <c r="D560" s="317" t="s">
        <v>60</v>
      </c>
      <c r="E560" s="326" t="s">
        <v>877</v>
      </c>
      <c r="F560" s="317" t="s">
        <v>878</v>
      </c>
      <c r="G560" s="318" t="s">
        <v>879</v>
      </c>
    </row>
    <row r="561" customHeight="1" spans="1:7">
      <c r="A561" s="314" t="s">
        <v>8</v>
      </c>
      <c r="B561" s="327" t="s">
        <v>880</v>
      </c>
      <c r="C561" s="328"/>
      <c r="D561" s="317"/>
      <c r="E561" s="326"/>
      <c r="F561" s="326"/>
      <c r="G561" s="329">
        <f>G562+G568</f>
        <v>6057.52457016</v>
      </c>
    </row>
    <row r="562" customHeight="1" spans="1:7">
      <c r="A562" s="314" t="s">
        <v>881</v>
      </c>
      <c r="B562" s="327" t="s">
        <v>882</v>
      </c>
      <c r="C562" s="328"/>
      <c r="D562" s="317"/>
      <c r="E562" s="326"/>
      <c r="F562" s="326"/>
      <c r="G562" s="329">
        <f>G563+G566</f>
        <v>5693.16219</v>
      </c>
    </row>
    <row r="563" customHeight="1" spans="1:7">
      <c r="A563" s="314" t="s">
        <v>17</v>
      </c>
      <c r="B563" s="327" t="s">
        <v>510</v>
      </c>
      <c r="C563" s="328"/>
      <c r="D563" s="317"/>
      <c r="E563" s="326"/>
      <c r="F563" s="326"/>
      <c r="G563" s="329">
        <f>SUM(G564:G565)</f>
        <v>5664.838</v>
      </c>
    </row>
    <row r="564" customHeight="1" spans="1:7">
      <c r="A564" s="314"/>
      <c r="B564" s="327" t="s">
        <v>704</v>
      </c>
      <c r="C564" s="328"/>
      <c r="D564" s="317" t="s">
        <v>705</v>
      </c>
      <c r="E564" s="326">
        <v>19.5</v>
      </c>
      <c r="F564" s="326">
        <f>主要材料预算!$D$19</f>
        <v>8.1</v>
      </c>
      <c r="G564" s="329">
        <f t="shared" ref="G564:G572" si="67">E564*F564</f>
        <v>157.95</v>
      </c>
    </row>
    <row r="565" customHeight="1" spans="1:7">
      <c r="A565" s="314"/>
      <c r="B565" s="327" t="s">
        <v>706</v>
      </c>
      <c r="C565" s="328"/>
      <c r="D565" s="317" t="s">
        <v>705</v>
      </c>
      <c r="E565" s="326">
        <v>954.4</v>
      </c>
      <c r="F565" s="326">
        <f>主要材料预算!$D$20</f>
        <v>5.77</v>
      </c>
      <c r="G565" s="329">
        <f t="shared" si="67"/>
        <v>5506.888</v>
      </c>
    </row>
    <row r="566" customHeight="1" spans="1:7">
      <c r="A566" s="314" t="s">
        <v>19</v>
      </c>
      <c r="B566" s="327" t="s">
        <v>511</v>
      </c>
      <c r="C566" s="328"/>
      <c r="D566" s="317"/>
      <c r="E566" s="326"/>
      <c r="F566" s="326"/>
      <c r="G566" s="329">
        <f>SUM(G567:G567)</f>
        <v>28.32419</v>
      </c>
    </row>
    <row r="567" customHeight="1" spans="1:7">
      <c r="A567" s="314"/>
      <c r="B567" s="327" t="s">
        <v>1008</v>
      </c>
      <c r="C567" s="328"/>
      <c r="D567" s="317" t="s">
        <v>894</v>
      </c>
      <c r="E567" s="147">
        <f>G563</f>
        <v>5664.838</v>
      </c>
      <c r="F567" s="330">
        <v>0.5</v>
      </c>
      <c r="G567" s="329">
        <f>E567*F567/100</f>
        <v>28.32419</v>
      </c>
    </row>
    <row r="568" customHeight="1" spans="1:7">
      <c r="A568" s="314" t="s">
        <v>905</v>
      </c>
      <c r="B568" s="327" t="s">
        <v>514</v>
      </c>
      <c r="C568" s="328"/>
      <c r="D568" s="317"/>
      <c r="E568" s="332">
        <f>G562</f>
        <v>5693.16219</v>
      </c>
      <c r="F568" s="333">
        <f>费率表!$J$12</f>
        <v>0.064</v>
      </c>
      <c r="G568" s="329">
        <f t="shared" si="67"/>
        <v>364.36238016</v>
      </c>
    </row>
    <row r="569" customHeight="1" spans="1:7">
      <c r="A569" s="314" t="s">
        <v>10</v>
      </c>
      <c r="B569" s="327" t="s">
        <v>770</v>
      </c>
      <c r="C569" s="328"/>
      <c r="D569" s="317"/>
      <c r="E569" s="326">
        <f>G561</f>
        <v>6057.52457016</v>
      </c>
      <c r="F569" s="333">
        <f>费率表!$J$13</f>
        <v>0.074</v>
      </c>
      <c r="G569" s="329">
        <f t="shared" si="67"/>
        <v>448.25681819184</v>
      </c>
    </row>
    <row r="570" customHeight="1" spans="1:7">
      <c r="A570" s="314" t="s">
        <v>12</v>
      </c>
      <c r="B570" s="327" t="s">
        <v>771</v>
      </c>
      <c r="C570" s="328"/>
      <c r="D570" s="317"/>
      <c r="E570" s="326">
        <f>G561+G569</f>
        <v>6505.78138835184</v>
      </c>
      <c r="F570" s="334">
        <f>费率表!$J$14</f>
        <v>0.07</v>
      </c>
      <c r="G570" s="329">
        <f t="shared" si="67"/>
        <v>455.404697184629</v>
      </c>
    </row>
    <row r="571" customHeight="1" spans="1:7">
      <c r="A571" s="314" t="s">
        <v>15</v>
      </c>
      <c r="B571" s="327" t="s">
        <v>772</v>
      </c>
      <c r="C571" s="328"/>
      <c r="D571" s="317"/>
      <c r="E571" s="326">
        <f>G561+G569++G570</f>
        <v>6961.18608553647</v>
      </c>
      <c r="F571" s="334">
        <f>费率表!$J$15</f>
        <v>0.09</v>
      </c>
      <c r="G571" s="329">
        <f t="shared" si="67"/>
        <v>626.506747698282</v>
      </c>
    </row>
    <row r="572" customHeight="1" spans="1:7">
      <c r="A572" s="314"/>
      <c r="B572" s="327" t="s">
        <v>907</v>
      </c>
      <c r="C572" s="328"/>
      <c r="D572" s="317"/>
      <c r="E572" s="326">
        <f>G561+G569+G570+G571</f>
        <v>7587.69283323475</v>
      </c>
      <c r="F572" s="334">
        <f>费率表!$I$19</f>
        <v>0.03</v>
      </c>
      <c r="G572" s="329">
        <f t="shared" si="67"/>
        <v>227.630784997042</v>
      </c>
    </row>
    <row r="573" customHeight="1" spans="1:7">
      <c r="A573" s="335"/>
      <c r="B573" s="336" t="s">
        <v>39</v>
      </c>
      <c r="C573" s="337"/>
      <c r="D573" s="338"/>
      <c r="E573" s="339"/>
      <c r="F573" s="338"/>
      <c r="G573" s="340">
        <f>G561+G569+G570+G571+G572</f>
        <v>7815.32361823179</v>
      </c>
    </row>
    <row r="575" customHeight="1" spans="1:7">
      <c r="A575" s="352" t="s">
        <v>868</v>
      </c>
      <c r="B575" s="352"/>
      <c r="C575" s="352"/>
      <c r="D575" s="352"/>
      <c r="E575" s="352"/>
      <c r="F575" s="352"/>
      <c r="G575" s="352"/>
    </row>
    <row r="576" customHeight="1" spans="1:7">
      <c r="A576" s="381" t="s">
        <v>869</v>
      </c>
      <c r="B576" s="382"/>
      <c r="C576" s="382" t="s">
        <v>148</v>
      </c>
      <c r="D576" s="382" t="s">
        <v>870</v>
      </c>
      <c r="E576" s="383" t="s">
        <v>1175</v>
      </c>
      <c r="F576" s="384"/>
      <c r="G576" s="385"/>
    </row>
    <row r="577" customHeight="1" spans="1:7">
      <c r="A577" s="386" t="s">
        <v>507</v>
      </c>
      <c r="B577" s="387"/>
      <c r="C577" s="388" t="s">
        <v>1176</v>
      </c>
      <c r="D577" s="388"/>
      <c r="E577" s="388"/>
      <c r="F577" s="389" t="s">
        <v>873</v>
      </c>
      <c r="G577" s="390" t="s">
        <v>1160</v>
      </c>
    </row>
    <row r="578" customHeight="1" spans="1:7">
      <c r="A578" s="391" t="s">
        <v>875</v>
      </c>
      <c r="B578" s="392"/>
      <c r="C578" s="392"/>
      <c r="D578" s="392"/>
      <c r="E578" s="392"/>
      <c r="F578" s="392"/>
      <c r="G578" s="393"/>
    </row>
    <row r="579" customHeight="1" spans="1:7">
      <c r="A579" s="322" t="s">
        <v>1164</v>
      </c>
      <c r="B579" s="323"/>
      <c r="C579" s="324"/>
      <c r="D579" s="324"/>
      <c r="E579" s="324"/>
      <c r="F579" s="324"/>
      <c r="G579" s="325"/>
    </row>
    <row r="580" customHeight="1" spans="1:7">
      <c r="A580" s="314" t="s">
        <v>34</v>
      </c>
      <c r="B580" s="317" t="s">
        <v>761</v>
      </c>
      <c r="C580" s="317"/>
      <c r="D580" s="317" t="s">
        <v>60</v>
      </c>
      <c r="E580" s="326" t="s">
        <v>877</v>
      </c>
      <c r="F580" s="317" t="s">
        <v>878</v>
      </c>
      <c r="G580" s="318" t="s">
        <v>879</v>
      </c>
    </row>
    <row r="581" customHeight="1" spans="1:7">
      <c r="A581" s="314" t="s">
        <v>8</v>
      </c>
      <c r="B581" s="327" t="s">
        <v>880</v>
      </c>
      <c r="C581" s="328"/>
      <c r="D581" s="317"/>
      <c r="E581" s="326"/>
      <c r="F581" s="326"/>
      <c r="G581" s="329">
        <f>G582+G588</f>
        <v>5486.7664656</v>
      </c>
    </row>
    <row r="582" customHeight="1" spans="1:7">
      <c r="A582" s="314" t="s">
        <v>881</v>
      </c>
      <c r="B582" s="327" t="s">
        <v>882</v>
      </c>
      <c r="C582" s="328"/>
      <c r="D582" s="317"/>
      <c r="E582" s="326"/>
      <c r="F582" s="326"/>
      <c r="G582" s="329">
        <f>G583+G586</f>
        <v>5156.7354</v>
      </c>
    </row>
    <row r="583" customHeight="1" spans="1:7">
      <c r="A583" s="314" t="s">
        <v>17</v>
      </c>
      <c r="B583" s="327" t="s">
        <v>510</v>
      </c>
      <c r="C583" s="328"/>
      <c r="D583" s="317"/>
      <c r="E583" s="326"/>
      <c r="F583" s="326"/>
      <c r="G583" s="329">
        <f>SUM(G584:G585)</f>
        <v>5131.08</v>
      </c>
    </row>
    <row r="584" customHeight="1" spans="1:7">
      <c r="A584" s="314"/>
      <c r="B584" s="327" t="s">
        <v>704</v>
      </c>
      <c r="C584" s="328"/>
      <c r="D584" s="317" t="s">
        <v>705</v>
      </c>
      <c r="E584" s="326">
        <v>18</v>
      </c>
      <c r="F584" s="326">
        <f>主要材料预算!$D$19</f>
        <v>8.1</v>
      </c>
      <c r="G584" s="329">
        <f t="shared" ref="G584:G592" si="68">E584*F584</f>
        <v>145.8</v>
      </c>
    </row>
    <row r="585" customHeight="1" spans="1:7">
      <c r="A585" s="314"/>
      <c r="B585" s="327" t="s">
        <v>706</v>
      </c>
      <c r="C585" s="328"/>
      <c r="D585" s="317" t="s">
        <v>705</v>
      </c>
      <c r="E585" s="326">
        <v>864</v>
      </c>
      <c r="F585" s="326">
        <f>主要材料预算!$D$20</f>
        <v>5.77</v>
      </c>
      <c r="G585" s="329">
        <f t="shared" si="68"/>
        <v>4985.28</v>
      </c>
    </row>
    <row r="586" customHeight="1" spans="1:7">
      <c r="A586" s="314" t="s">
        <v>19</v>
      </c>
      <c r="B586" s="327" t="s">
        <v>511</v>
      </c>
      <c r="C586" s="328"/>
      <c r="D586" s="317"/>
      <c r="E586" s="326"/>
      <c r="F586" s="326"/>
      <c r="G586" s="329">
        <f>SUM(G587:G587)</f>
        <v>25.6554</v>
      </c>
    </row>
    <row r="587" customHeight="1" spans="1:7">
      <c r="A587" s="314"/>
      <c r="B587" s="327" t="s">
        <v>1008</v>
      </c>
      <c r="C587" s="328"/>
      <c r="D587" s="317" t="s">
        <v>894</v>
      </c>
      <c r="E587" s="147">
        <f>G583</f>
        <v>5131.08</v>
      </c>
      <c r="F587" s="330">
        <v>0.5</v>
      </c>
      <c r="G587" s="329">
        <f>E587*F587/100</f>
        <v>25.6554</v>
      </c>
    </row>
    <row r="588" customHeight="1" spans="1:7">
      <c r="A588" s="314" t="s">
        <v>905</v>
      </c>
      <c r="B588" s="327" t="s">
        <v>514</v>
      </c>
      <c r="C588" s="328"/>
      <c r="D588" s="317"/>
      <c r="E588" s="332">
        <f>G582</f>
        <v>5156.7354</v>
      </c>
      <c r="F588" s="333">
        <f>费率表!$J$12</f>
        <v>0.064</v>
      </c>
      <c r="G588" s="329">
        <f t="shared" si="68"/>
        <v>330.0310656</v>
      </c>
    </row>
    <row r="589" customHeight="1" spans="1:7">
      <c r="A589" s="314" t="s">
        <v>10</v>
      </c>
      <c r="B589" s="327" t="s">
        <v>770</v>
      </c>
      <c r="C589" s="328"/>
      <c r="D589" s="317"/>
      <c r="E589" s="326">
        <f>G581</f>
        <v>5486.7664656</v>
      </c>
      <c r="F589" s="333">
        <f>费率表!$J$13</f>
        <v>0.074</v>
      </c>
      <c r="G589" s="329">
        <f t="shared" si="68"/>
        <v>406.0207184544</v>
      </c>
    </row>
    <row r="590" customHeight="1" spans="1:7">
      <c r="A590" s="314" t="s">
        <v>12</v>
      </c>
      <c r="B590" s="327" t="s">
        <v>771</v>
      </c>
      <c r="C590" s="328"/>
      <c r="D590" s="317"/>
      <c r="E590" s="326">
        <f>G581+G589</f>
        <v>5892.7871840544</v>
      </c>
      <c r="F590" s="334">
        <f>费率表!$J$14</f>
        <v>0.07</v>
      </c>
      <c r="G590" s="329">
        <f t="shared" si="68"/>
        <v>412.495102883808</v>
      </c>
    </row>
    <row r="591" customHeight="1" spans="1:7">
      <c r="A591" s="314" t="s">
        <v>15</v>
      </c>
      <c r="B591" s="327" t="s">
        <v>772</v>
      </c>
      <c r="C591" s="328"/>
      <c r="D591" s="317"/>
      <c r="E591" s="326">
        <f>G581+G589++G590</f>
        <v>6305.28228693821</v>
      </c>
      <c r="F591" s="334">
        <f>费率表!$J$15</f>
        <v>0.09</v>
      </c>
      <c r="G591" s="329">
        <f t="shared" si="68"/>
        <v>567.475405824439</v>
      </c>
    </row>
    <row r="592" customHeight="1" spans="1:7">
      <c r="A592" s="314"/>
      <c r="B592" s="327" t="s">
        <v>907</v>
      </c>
      <c r="C592" s="328"/>
      <c r="D592" s="317"/>
      <c r="E592" s="326">
        <f>G581+G589+G590+G591</f>
        <v>6872.75769276265</v>
      </c>
      <c r="F592" s="334">
        <f>费率表!$I$19</f>
        <v>0.03</v>
      </c>
      <c r="G592" s="329">
        <f t="shared" si="68"/>
        <v>206.182730782879</v>
      </c>
    </row>
    <row r="593" customHeight="1" spans="1:7">
      <c r="A593" s="335"/>
      <c r="B593" s="336" t="s">
        <v>39</v>
      </c>
      <c r="C593" s="337"/>
      <c r="D593" s="338"/>
      <c r="E593" s="339"/>
      <c r="F593" s="338"/>
      <c r="G593" s="340">
        <f>G581+G589+G590+G591+G592</f>
        <v>7078.94042354552</v>
      </c>
    </row>
    <row r="595" customHeight="1" spans="1:7">
      <c r="A595" s="395" t="s">
        <v>868</v>
      </c>
      <c r="B595" s="395"/>
      <c r="C595" s="395"/>
      <c r="D595" s="395"/>
      <c r="E595" s="395"/>
      <c r="F595" s="395"/>
      <c r="G595" s="395"/>
    </row>
    <row r="596" customHeight="1" spans="1:7">
      <c r="A596" s="396" t="s">
        <v>869</v>
      </c>
      <c r="B596" s="397"/>
      <c r="C596" s="310" t="s">
        <v>154</v>
      </c>
      <c r="D596" s="310" t="s">
        <v>870</v>
      </c>
      <c r="E596" s="311" t="s">
        <v>1177</v>
      </c>
      <c r="F596" s="312"/>
      <c r="G596" s="313"/>
    </row>
    <row r="597" customHeight="1" spans="1:7">
      <c r="A597" s="398" t="s">
        <v>507</v>
      </c>
      <c r="B597" s="399"/>
      <c r="C597" s="400" t="s">
        <v>1178</v>
      </c>
      <c r="D597" s="320"/>
      <c r="E597" s="401"/>
      <c r="F597" s="317" t="s">
        <v>873</v>
      </c>
      <c r="G597" s="318" t="s">
        <v>1043</v>
      </c>
    </row>
    <row r="598" customHeight="1" spans="1:7">
      <c r="A598" s="319" t="s">
        <v>1179</v>
      </c>
      <c r="B598" s="320"/>
      <c r="C598" s="320"/>
      <c r="D598" s="320"/>
      <c r="E598" s="320"/>
      <c r="F598" s="320"/>
      <c r="G598" s="321"/>
    </row>
    <row r="599" customHeight="1" spans="1:7">
      <c r="A599" s="322" t="s">
        <v>1180</v>
      </c>
      <c r="B599" s="323"/>
      <c r="C599" s="324"/>
      <c r="D599" s="324"/>
      <c r="E599" s="324"/>
      <c r="F599" s="324"/>
      <c r="G599" s="325"/>
    </row>
    <row r="600" customHeight="1" spans="1:7">
      <c r="A600" s="314" t="s">
        <v>34</v>
      </c>
      <c r="B600" s="317" t="s">
        <v>761</v>
      </c>
      <c r="C600" s="317"/>
      <c r="D600" s="317" t="s">
        <v>60</v>
      </c>
      <c r="E600" s="326" t="s">
        <v>877</v>
      </c>
      <c r="F600" s="317" t="s">
        <v>878</v>
      </c>
      <c r="G600" s="318" t="s">
        <v>879</v>
      </c>
    </row>
    <row r="601" customHeight="1" spans="1:7">
      <c r="A601" s="314" t="s">
        <v>8</v>
      </c>
      <c r="B601" s="327" t="s">
        <v>880</v>
      </c>
      <c r="C601" s="328"/>
      <c r="D601" s="317"/>
      <c r="E601" s="326"/>
      <c r="F601" s="326"/>
      <c r="G601" s="329">
        <f>G602+G609</f>
        <v>2077.243476</v>
      </c>
    </row>
    <row r="602" customHeight="1" spans="1:7">
      <c r="A602" s="314" t="s">
        <v>881</v>
      </c>
      <c r="B602" s="327" t="s">
        <v>882</v>
      </c>
      <c r="C602" s="328"/>
      <c r="D602" s="317"/>
      <c r="E602" s="326"/>
      <c r="F602" s="326"/>
      <c r="G602" s="329">
        <f>G603+G606</f>
        <v>1952.2965</v>
      </c>
    </row>
    <row r="603" customHeight="1" spans="1:7">
      <c r="A603" s="314" t="s">
        <v>17</v>
      </c>
      <c r="B603" s="327" t="s">
        <v>510</v>
      </c>
      <c r="C603" s="328"/>
      <c r="D603" s="317"/>
      <c r="E603" s="326"/>
      <c r="F603" s="326"/>
      <c r="G603" s="329">
        <f>SUM(G604:G605)</f>
        <v>50.82</v>
      </c>
    </row>
    <row r="604" customHeight="1" spans="1:7">
      <c r="A604" s="314"/>
      <c r="B604" s="327" t="s">
        <v>704</v>
      </c>
      <c r="C604" s="328"/>
      <c r="D604" s="317" t="s">
        <v>705</v>
      </c>
      <c r="E604" s="326">
        <v>2</v>
      </c>
      <c r="F604" s="326">
        <f>主要材料预算!$D$19</f>
        <v>8.1</v>
      </c>
      <c r="G604" s="329">
        <f t="shared" ref="G604:G607" si="69">E604*F604</f>
        <v>16.2</v>
      </c>
    </row>
    <row r="605" customHeight="1" spans="1:7">
      <c r="A605" s="314"/>
      <c r="B605" s="327" t="s">
        <v>706</v>
      </c>
      <c r="C605" s="328"/>
      <c r="D605" s="317" t="s">
        <v>705</v>
      </c>
      <c r="E605" s="326">
        <v>6</v>
      </c>
      <c r="F605" s="326">
        <f>主要材料预算!$D$20</f>
        <v>5.77</v>
      </c>
      <c r="G605" s="329">
        <f t="shared" si="69"/>
        <v>34.62</v>
      </c>
    </row>
    <row r="606" customHeight="1" spans="1:7">
      <c r="A606" s="314" t="s">
        <v>19</v>
      </c>
      <c r="B606" s="327" t="s">
        <v>511</v>
      </c>
      <c r="C606" s="328"/>
      <c r="D606" s="317"/>
      <c r="E606" s="326"/>
      <c r="F606" s="326"/>
      <c r="G606" s="329">
        <f>SUM(G607:G608)</f>
        <v>1901.4765</v>
      </c>
    </row>
    <row r="607" customHeight="1" spans="1:7">
      <c r="A607" s="314"/>
      <c r="B607" s="327" t="s">
        <v>1181</v>
      </c>
      <c r="C607" s="328"/>
      <c r="D607" s="317" t="s">
        <v>1146</v>
      </c>
      <c r="E607" s="326">
        <v>105</v>
      </c>
      <c r="F607" s="326">
        <f>基础材料!$D$81</f>
        <v>17.93</v>
      </c>
      <c r="G607" s="329">
        <f t="shared" si="69"/>
        <v>1882.65</v>
      </c>
    </row>
    <row r="608" customHeight="1" spans="1:7">
      <c r="A608" s="314"/>
      <c r="B608" s="327" t="s">
        <v>893</v>
      </c>
      <c r="C608" s="328"/>
      <c r="D608" s="317" t="s">
        <v>894</v>
      </c>
      <c r="E608" s="147">
        <f>G607</f>
        <v>1882.65</v>
      </c>
      <c r="F608" s="331">
        <v>1</v>
      </c>
      <c r="G608" s="329">
        <f>E608*F608/100</f>
        <v>18.8265</v>
      </c>
    </row>
    <row r="609" customHeight="1" spans="1:7">
      <c r="A609" s="314" t="s">
        <v>905</v>
      </c>
      <c r="B609" s="327" t="s">
        <v>514</v>
      </c>
      <c r="C609" s="328"/>
      <c r="D609" s="317"/>
      <c r="E609" s="332">
        <f>G602</f>
        <v>1952.2965</v>
      </c>
      <c r="F609" s="333">
        <f>费率表!$J$12</f>
        <v>0.064</v>
      </c>
      <c r="G609" s="329">
        <f t="shared" ref="G609:G613" si="70">E609*F609</f>
        <v>124.946976</v>
      </c>
    </row>
    <row r="610" customHeight="1" spans="1:7">
      <c r="A610" s="314" t="s">
        <v>10</v>
      </c>
      <c r="B610" s="327" t="s">
        <v>770</v>
      </c>
      <c r="C610" s="328"/>
      <c r="D610" s="317"/>
      <c r="E610" s="326">
        <f>G601</f>
        <v>2077.243476</v>
      </c>
      <c r="F610" s="333">
        <f>费率表!$J$13</f>
        <v>0.074</v>
      </c>
      <c r="G610" s="329">
        <f t="shared" si="70"/>
        <v>153.716017224</v>
      </c>
    </row>
    <row r="611" customHeight="1" spans="1:7">
      <c r="A611" s="314" t="s">
        <v>12</v>
      </c>
      <c r="B611" s="327" t="s">
        <v>771</v>
      </c>
      <c r="C611" s="328"/>
      <c r="D611" s="317"/>
      <c r="E611" s="326">
        <f>G601+G610</f>
        <v>2230.959493224</v>
      </c>
      <c r="F611" s="334">
        <f>费率表!$J$14</f>
        <v>0.07</v>
      </c>
      <c r="G611" s="329">
        <f t="shared" si="70"/>
        <v>156.16716452568</v>
      </c>
    </row>
    <row r="612" customHeight="1" spans="1:7">
      <c r="A612" s="314" t="s">
        <v>15</v>
      </c>
      <c r="B612" s="327" t="s">
        <v>772</v>
      </c>
      <c r="C612" s="328"/>
      <c r="D612" s="317"/>
      <c r="E612" s="326">
        <f>G601+G610++G611</f>
        <v>2387.12665774968</v>
      </c>
      <c r="F612" s="334">
        <f>费率表!$J$15</f>
        <v>0.09</v>
      </c>
      <c r="G612" s="329">
        <f t="shared" si="70"/>
        <v>214.841399197471</v>
      </c>
    </row>
    <row r="613" customHeight="1" spans="1:7">
      <c r="A613" s="314"/>
      <c r="B613" s="327" t="s">
        <v>907</v>
      </c>
      <c r="C613" s="328"/>
      <c r="D613" s="317"/>
      <c r="E613" s="326">
        <f>G601+G610+G611+G612</f>
        <v>2601.96805694715</v>
      </c>
      <c r="F613" s="334">
        <f>费率表!$I$19</f>
        <v>0.03</v>
      </c>
      <c r="G613" s="329">
        <f t="shared" si="70"/>
        <v>78.0590417084145</v>
      </c>
    </row>
    <row r="614" customHeight="1" spans="1:7">
      <c r="A614" s="335"/>
      <c r="B614" s="336" t="s">
        <v>39</v>
      </c>
      <c r="C614" s="337"/>
      <c r="D614" s="338"/>
      <c r="E614" s="339"/>
      <c r="F614" s="338"/>
      <c r="G614" s="340">
        <f>G601+G610+G611+G612+G613</f>
        <v>2680.02709865557</v>
      </c>
    </row>
    <row r="615" customHeight="1" spans="1:7">
      <c r="A615" s="92"/>
      <c r="C615" s="92"/>
      <c r="D615" s="92"/>
      <c r="E615" s="92"/>
      <c r="F615" s="92"/>
    </row>
    <row r="616" customHeight="1" spans="1:7">
      <c r="A616" s="402" t="s">
        <v>868</v>
      </c>
      <c r="B616" s="402"/>
      <c r="C616" s="402"/>
      <c r="D616" s="402"/>
      <c r="E616" s="402"/>
      <c r="F616" s="402"/>
      <c r="G616" s="402"/>
    </row>
    <row r="617" customHeight="1" spans="1:7">
      <c r="A617" s="403" t="s">
        <v>869</v>
      </c>
      <c r="B617" s="404"/>
      <c r="C617" s="404" t="s">
        <v>160</v>
      </c>
      <c r="D617" s="404" t="s">
        <v>870</v>
      </c>
      <c r="E617" s="405" t="s">
        <v>1182</v>
      </c>
      <c r="F617" s="406"/>
      <c r="G617" s="407"/>
    </row>
    <row r="618" customHeight="1" spans="1:7">
      <c r="A618" s="408" t="s">
        <v>507</v>
      </c>
      <c r="B618" s="409"/>
      <c r="C618" s="410" t="s">
        <v>1183</v>
      </c>
      <c r="D618" s="410"/>
      <c r="E618" s="410"/>
      <c r="F618" s="411" t="s">
        <v>873</v>
      </c>
      <c r="G618" s="412" t="s">
        <v>1043</v>
      </c>
    </row>
    <row r="619" customHeight="1" spans="1:7">
      <c r="A619" s="413" t="s">
        <v>1184</v>
      </c>
      <c r="B619" s="414"/>
      <c r="C619" s="414"/>
      <c r="D619" s="414"/>
      <c r="E619" s="414"/>
      <c r="F619" s="414"/>
      <c r="G619" s="415"/>
    </row>
    <row r="620" customHeight="1" spans="1:7">
      <c r="A620" s="416" t="s">
        <v>1185</v>
      </c>
      <c r="B620" s="417"/>
      <c r="C620" s="324"/>
      <c r="D620" s="324"/>
      <c r="E620" s="324"/>
      <c r="F620" s="324"/>
      <c r="G620" s="325"/>
    </row>
    <row r="621" customHeight="1" spans="1:7">
      <c r="A621" s="314" t="s">
        <v>34</v>
      </c>
      <c r="B621" s="317" t="s">
        <v>761</v>
      </c>
      <c r="C621" s="317"/>
      <c r="D621" s="317" t="s">
        <v>60</v>
      </c>
      <c r="E621" s="326" t="s">
        <v>877</v>
      </c>
      <c r="F621" s="317" t="s">
        <v>878</v>
      </c>
      <c r="G621" s="318" t="s">
        <v>879</v>
      </c>
    </row>
    <row r="622" customHeight="1" spans="1:7">
      <c r="A622" s="314" t="s">
        <v>8</v>
      </c>
      <c r="B622" s="327" t="s">
        <v>880</v>
      </c>
      <c r="C622" s="328"/>
      <c r="D622" s="317"/>
      <c r="E622" s="326"/>
      <c r="F622" s="326"/>
      <c r="G622" s="329">
        <f>G623+G630</f>
        <v>375.2379008</v>
      </c>
    </row>
    <row r="623" customHeight="1" spans="1:7">
      <c r="A623" s="314" t="s">
        <v>881</v>
      </c>
      <c r="B623" s="327" t="s">
        <v>882</v>
      </c>
      <c r="C623" s="328"/>
      <c r="D623" s="317"/>
      <c r="E623" s="326"/>
      <c r="F623" s="326"/>
      <c r="G623" s="329">
        <f>G624+G627</f>
        <v>352.6672</v>
      </c>
    </row>
    <row r="624" customHeight="1" spans="1:7">
      <c r="A624" s="314" t="s">
        <v>17</v>
      </c>
      <c r="B624" s="327" t="s">
        <v>510</v>
      </c>
      <c r="C624" s="328"/>
      <c r="D624" s="317"/>
      <c r="E624" s="326"/>
      <c r="F624" s="326"/>
      <c r="G624" s="329">
        <f>SUM(G625:G626)</f>
        <v>82</v>
      </c>
    </row>
    <row r="625" customHeight="1" spans="1:7">
      <c r="A625" s="314"/>
      <c r="B625" s="327" t="s">
        <v>704</v>
      </c>
      <c r="C625" s="328"/>
      <c r="D625" s="317" t="s">
        <v>705</v>
      </c>
      <c r="E625" s="326">
        <v>3</v>
      </c>
      <c r="F625" s="326">
        <f>主要材料预算!$D$19</f>
        <v>8.1</v>
      </c>
      <c r="G625" s="329">
        <f t="shared" ref="G625:G628" si="71">E625*F625</f>
        <v>24.3</v>
      </c>
    </row>
    <row r="626" customHeight="1" spans="1:7">
      <c r="A626" s="314"/>
      <c r="B626" s="327" t="s">
        <v>706</v>
      </c>
      <c r="C626" s="328"/>
      <c r="D626" s="317" t="s">
        <v>705</v>
      </c>
      <c r="E626" s="326">
        <v>10</v>
      </c>
      <c r="F626" s="326">
        <f>主要材料预算!$D$20</f>
        <v>5.77</v>
      </c>
      <c r="G626" s="329">
        <f t="shared" si="71"/>
        <v>57.7</v>
      </c>
    </row>
    <row r="627" customHeight="1" spans="1:7">
      <c r="A627" s="314" t="s">
        <v>19</v>
      </c>
      <c r="B627" s="327" t="s">
        <v>511</v>
      </c>
      <c r="C627" s="328"/>
      <c r="D627" s="317"/>
      <c r="E627" s="326"/>
      <c r="F627" s="326"/>
      <c r="G627" s="329">
        <f>SUM(G628:G629)</f>
        <v>270.6672</v>
      </c>
    </row>
    <row r="628" customHeight="1" spans="1:7">
      <c r="A628" s="314"/>
      <c r="B628" s="418" t="s">
        <v>1186</v>
      </c>
      <c r="C628" s="419"/>
      <c r="D628" s="317" t="s">
        <v>1146</v>
      </c>
      <c r="E628" s="326">
        <v>107</v>
      </c>
      <c r="F628" s="326">
        <f>基础材料!$D$85</f>
        <v>2.48</v>
      </c>
      <c r="G628" s="329">
        <f t="shared" si="71"/>
        <v>265.36</v>
      </c>
    </row>
    <row r="629" customHeight="1" spans="1:7">
      <c r="A629" s="314"/>
      <c r="B629" s="327" t="s">
        <v>893</v>
      </c>
      <c r="C629" s="328"/>
      <c r="D629" s="317" t="s">
        <v>894</v>
      </c>
      <c r="E629" s="147">
        <f>G628</f>
        <v>265.36</v>
      </c>
      <c r="F629" s="331">
        <v>2</v>
      </c>
      <c r="G629" s="329">
        <f>E629*F629/100</f>
        <v>5.3072</v>
      </c>
    </row>
    <row r="630" customHeight="1" spans="1:7">
      <c r="A630" s="314" t="s">
        <v>905</v>
      </c>
      <c r="B630" s="327" t="s">
        <v>514</v>
      </c>
      <c r="C630" s="328"/>
      <c r="D630" s="317"/>
      <c r="E630" s="332">
        <f>G623</f>
        <v>352.6672</v>
      </c>
      <c r="F630" s="333">
        <f>费率表!$J$12</f>
        <v>0.064</v>
      </c>
      <c r="G630" s="329">
        <f t="shared" ref="G630:G634" si="72">E630*F630</f>
        <v>22.5707008</v>
      </c>
    </row>
    <row r="631" customHeight="1" spans="1:7">
      <c r="A631" s="314" t="s">
        <v>10</v>
      </c>
      <c r="B631" s="327" t="s">
        <v>770</v>
      </c>
      <c r="C631" s="328"/>
      <c r="D631" s="317"/>
      <c r="E631" s="326">
        <f>G622</f>
        <v>375.2379008</v>
      </c>
      <c r="F631" s="333">
        <f>费率表!$J$13</f>
        <v>0.074</v>
      </c>
      <c r="G631" s="329">
        <f t="shared" si="72"/>
        <v>27.7676046592</v>
      </c>
    </row>
    <row r="632" customHeight="1" spans="1:7">
      <c r="A632" s="314" t="s">
        <v>12</v>
      </c>
      <c r="B632" s="327" t="s">
        <v>771</v>
      </c>
      <c r="C632" s="328"/>
      <c r="D632" s="317"/>
      <c r="E632" s="326">
        <f>G622+G631</f>
        <v>403.0055054592</v>
      </c>
      <c r="F632" s="334">
        <f>费率表!$J$14</f>
        <v>0.07</v>
      </c>
      <c r="G632" s="329">
        <f t="shared" si="72"/>
        <v>28.210385382144</v>
      </c>
    </row>
    <row r="633" customHeight="1" spans="1:7">
      <c r="A633" s="314" t="s">
        <v>15</v>
      </c>
      <c r="B633" s="327" t="s">
        <v>772</v>
      </c>
      <c r="C633" s="328"/>
      <c r="D633" s="317"/>
      <c r="E633" s="326">
        <f>G622+G631++G632</f>
        <v>431.215890841344</v>
      </c>
      <c r="F633" s="334">
        <f>费率表!$J$15</f>
        <v>0.09</v>
      </c>
      <c r="G633" s="329">
        <f t="shared" si="72"/>
        <v>38.809430175721</v>
      </c>
    </row>
    <row r="634" customHeight="1" spans="1:7">
      <c r="A634" s="314"/>
      <c r="B634" s="327" t="s">
        <v>907</v>
      </c>
      <c r="C634" s="328"/>
      <c r="D634" s="317"/>
      <c r="E634" s="326">
        <f>G622+G631+G632+G633</f>
        <v>470.025321017065</v>
      </c>
      <c r="F634" s="334">
        <f>费率表!$I$19</f>
        <v>0.03</v>
      </c>
      <c r="G634" s="329">
        <f t="shared" si="72"/>
        <v>14.100759630512</v>
      </c>
    </row>
    <row r="635" customHeight="1" spans="1:7">
      <c r="A635" s="335"/>
      <c r="B635" s="336" t="s">
        <v>39</v>
      </c>
      <c r="C635" s="337"/>
      <c r="D635" s="338"/>
      <c r="E635" s="339"/>
      <c r="F635" s="338"/>
      <c r="G635" s="340">
        <f>G622+G631+G632+G633+G634</f>
        <v>484.126080647577</v>
      </c>
    </row>
    <row r="636" customHeight="1" spans="1:7">
      <c r="A636" s="92"/>
      <c r="C636" s="92"/>
      <c r="D636" s="92"/>
      <c r="E636" s="92"/>
      <c r="F636" s="92"/>
    </row>
    <row r="637" customHeight="1" spans="1:7">
      <c r="A637" s="402" t="s">
        <v>868</v>
      </c>
      <c r="B637" s="402"/>
      <c r="C637" s="402"/>
      <c r="D637" s="402"/>
      <c r="E637" s="402"/>
      <c r="F637" s="402"/>
      <c r="G637" s="402"/>
    </row>
    <row r="638" customHeight="1" spans="1:7">
      <c r="A638" s="403" t="s">
        <v>869</v>
      </c>
      <c r="B638" s="404"/>
      <c r="C638" s="404" t="s">
        <v>160</v>
      </c>
      <c r="D638" s="404" t="s">
        <v>870</v>
      </c>
      <c r="E638" s="405" t="s">
        <v>1187</v>
      </c>
      <c r="F638" s="406"/>
      <c r="G638" s="407"/>
    </row>
    <row r="639" customHeight="1" spans="1:7">
      <c r="A639" s="408" t="s">
        <v>507</v>
      </c>
      <c r="B639" s="409"/>
      <c r="C639" s="410" t="s">
        <v>1188</v>
      </c>
      <c r="D639" s="410"/>
      <c r="E639" s="410"/>
      <c r="F639" s="411" t="s">
        <v>873</v>
      </c>
      <c r="G639" s="412" t="s">
        <v>1043</v>
      </c>
    </row>
    <row r="640" customHeight="1" spans="1:7">
      <c r="A640" s="413" t="s">
        <v>1189</v>
      </c>
      <c r="B640" s="414"/>
      <c r="C640" s="414"/>
      <c r="D640" s="414"/>
      <c r="E640" s="414"/>
      <c r="F640" s="414"/>
      <c r="G640" s="415"/>
    </row>
    <row r="641" customHeight="1" spans="1:7">
      <c r="A641" s="416" t="s">
        <v>1185</v>
      </c>
      <c r="B641" s="417"/>
      <c r="C641" s="324"/>
      <c r="D641" s="324"/>
      <c r="E641" s="324"/>
      <c r="F641" s="324"/>
      <c r="G641" s="325"/>
    </row>
    <row r="642" customHeight="1" spans="1:7">
      <c r="A642" s="314" t="s">
        <v>34</v>
      </c>
      <c r="B642" s="317" t="s">
        <v>761</v>
      </c>
      <c r="C642" s="317"/>
      <c r="D642" s="317" t="s">
        <v>60</v>
      </c>
      <c r="E642" s="326" t="s">
        <v>877</v>
      </c>
      <c r="F642" s="317" t="s">
        <v>878</v>
      </c>
      <c r="G642" s="318" t="s">
        <v>879</v>
      </c>
    </row>
    <row r="643" customHeight="1" spans="1:7">
      <c r="A643" s="314" t="s">
        <v>8</v>
      </c>
      <c r="B643" s="327" t="s">
        <v>880</v>
      </c>
      <c r="C643" s="328"/>
      <c r="D643" s="317"/>
      <c r="E643" s="326"/>
      <c r="F643" s="326"/>
      <c r="G643" s="329">
        <f>G644+G651</f>
        <v>387.5164608</v>
      </c>
    </row>
    <row r="644" customHeight="1" spans="1:7">
      <c r="A644" s="314" t="s">
        <v>881</v>
      </c>
      <c r="B644" s="327" t="s">
        <v>882</v>
      </c>
      <c r="C644" s="328"/>
      <c r="D644" s="317"/>
      <c r="E644" s="326"/>
      <c r="F644" s="326"/>
      <c r="G644" s="329">
        <f>G645+G648</f>
        <v>364.2072</v>
      </c>
    </row>
    <row r="645" customHeight="1" spans="1:7">
      <c r="A645" s="314" t="s">
        <v>17</v>
      </c>
      <c r="B645" s="327" t="s">
        <v>510</v>
      </c>
      <c r="C645" s="328"/>
      <c r="D645" s="317"/>
      <c r="E645" s="326"/>
      <c r="F645" s="326"/>
      <c r="G645" s="329">
        <f>SUM(G646:G647)</f>
        <v>93.54</v>
      </c>
    </row>
    <row r="646" customHeight="1" spans="1:7">
      <c r="A646" s="314"/>
      <c r="B646" s="327" t="s">
        <v>704</v>
      </c>
      <c r="C646" s="328"/>
      <c r="D646" s="317" t="s">
        <v>705</v>
      </c>
      <c r="E646" s="326">
        <v>3</v>
      </c>
      <c r="F646" s="326">
        <f>主要材料预算!$D$19</f>
        <v>8.1</v>
      </c>
      <c r="G646" s="329">
        <f t="shared" ref="G646:G649" si="73">E646*F646</f>
        <v>24.3</v>
      </c>
    </row>
    <row r="647" customHeight="1" spans="1:7">
      <c r="A647" s="314"/>
      <c r="B647" s="327" t="s">
        <v>706</v>
      </c>
      <c r="C647" s="328"/>
      <c r="D647" s="317" t="s">
        <v>705</v>
      </c>
      <c r="E647" s="326">
        <v>12</v>
      </c>
      <c r="F647" s="326">
        <f>主要材料预算!$D$20</f>
        <v>5.77</v>
      </c>
      <c r="G647" s="329">
        <f t="shared" si="73"/>
        <v>69.24</v>
      </c>
    </row>
    <row r="648" customHeight="1" spans="1:7">
      <c r="A648" s="314" t="s">
        <v>19</v>
      </c>
      <c r="B648" s="327" t="s">
        <v>511</v>
      </c>
      <c r="C648" s="328"/>
      <c r="D648" s="317"/>
      <c r="E648" s="326"/>
      <c r="F648" s="326"/>
      <c r="G648" s="329">
        <f>SUM(G649:G650)</f>
        <v>270.6672</v>
      </c>
    </row>
    <row r="649" customHeight="1" spans="1:7">
      <c r="A649" s="314"/>
      <c r="B649" s="418" t="s">
        <v>1190</v>
      </c>
      <c r="C649" s="419"/>
      <c r="D649" s="317" t="s">
        <v>1146</v>
      </c>
      <c r="E649" s="326">
        <v>107</v>
      </c>
      <c r="F649" s="326">
        <f>基础材料!$D$85</f>
        <v>2.48</v>
      </c>
      <c r="G649" s="329">
        <f t="shared" si="73"/>
        <v>265.36</v>
      </c>
    </row>
    <row r="650" customHeight="1" spans="1:7">
      <c r="A650" s="314"/>
      <c r="B650" s="327" t="s">
        <v>893</v>
      </c>
      <c r="C650" s="328"/>
      <c r="D650" s="317" t="s">
        <v>894</v>
      </c>
      <c r="E650" s="147">
        <f>G649</f>
        <v>265.36</v>
      </c>
      <c r="F650" s="331">
        <v>2</v>
      </c>
      <c r="G650" s="329">
        <f>E650*F650/100</f>
        <v>5.3072</v>
      </c>
    </row>
    <row r="651" customHeight="1" spans="1:7">
      <c r="A651" s="314" t="s">
        <v>905</v>
      </c>
      <c r="B651" s="327" t="s">
        <v>514</v>
      </c>
      <c r="C651" s="328"/>
      <c r="D651" s="317"/>
      <c r="E651" s="332">
        <f>G644</f>
        <v>364.2072</v>
      </c>
      <c r="F651" s="333">
        <f>费率表!$J$12</f>
        <v>0.064</v>
      </c>
      <c r="G651" s="329">
        <f t="shared" ref="G651:G655" si="74">E651*F651</f>
        <v>23.3092608</v>
      </c>
    </row>
    <row r="652" customHeight="1" spans="1:7">
      <c r="A652" s="314" t="s">
        <v>10</v>
      </c>
      <c r="B652" s="327" t="s">
        <v>770</v>
      </c>
      <c r="C652" s="328"/>
      <c r="D652" s="317"/>
      <c r="E652" s="326">
        <f>G643</f>
        <v>387.5164608</v>
      </c>
      <c r="F652" s="333">
        <f>费率表!$J$13</f>
        <v>0.074</v>
      </c>
      <c r="G652" s="329">
        <f t="shared" si="74"/>
        <v>28.6762180992</v>
      </c>
    </row>
    <row r="653" customHeight="1" spans="1:7">
      <c r="A653" s="314" t="s">
        <v>12</v>
      </c>
      <c r="B653" s="327" t="s">
        <v>771</v>
      </c>
      <c r="C653" s="328"/>
      <c r="D653" s="317"/>
      <c r="E653" s="326">
        <f>G643+G652</f>
        <v>416.1926788992</v>
      </c>
      <c r="F653" s="334">
        <f>费率表!$J$14</f>
        <v>0.07</v>
      </c>
      <c r="G653" s="329">
        <f t="shared" si="74"/>
        <v>29.133487522944</v>
      </c>
    </row>
    <row r="654" customHeight="1" spans="1:7">
      <c r="A654" s="314" t="s">
        <v>15</v>
      </c>
      <c r="B654" s="327" t="s">
        <v>772</v>
      </c>
      <c r="C654" s="328"/>
      <c r="D654" s="317"/>
      <c r="E654" s="326">
        <f>G643+G652++G653</f>
        <v>445.326166422144</v>
      </c>
      <c r="F654" s="334">
        <f>费率表!$J$15</f>
        <v>0.09</v>
      </c>
      <c r="G654" s="329">
        <f t="shared" si="74"/>
        <v>40.079354977993</v>
      </c>
    </row>
    <row r="655" customHeight="1" spans="1:7">
      <c r="A655" s="314"/>
      <c r="B655" s="327" t="s">
        <v>907</v>
      </c>
      <c r="C655" s="328"/>
      <c r="D655" s="317"/>
      <c r="E655" s="326">
        <f>G643+G652+G653+G654</f>
        <v>485.405521400137</v>
      </c>
      <c r="F655" s="334">
        <f>费率表!$I$19</f>
        <v>0.03</v>
      </c>
      <c r="G655" s="329">
        <f t="shared" si="74"/>
        <v>14.5621656420041</v>
      </c>
    </row>
    <row r="656" customHeight="1" spans="1:7">
      <c r="A656" s="335"/>
      <c r="B656" s="336" t="s">
        <v>39</v>
      </c>
      <c r="C656" s="337"/>
      <c r="D656" s="338"/>
      <c r="E656" s="339"/>
      <c r="F656" s="338"/>
      <c r="G656" s="340">
        <f>G643+G652+G653+G654+G655</f>
        <v>499.967687042141</v>
      </c>
    </row>
    <row r="657" customHeight="1" spans="1:7">
      <c r="A657" s="92"/>
      <c r="C657" s="92"/>
      <c r="D657" s="92"/>
      <c r="E657" s="92"/>
      <c r="F657" s="92"/>
    </row>
    <row r="658" customHeight="1" spans="1:7">
      <c r="A658" s="352" t="s">
        <v>868</v>
      </c>
      <c r="B658" s="352"/>
      <c r="C658" s="352"/>
      <c r="D658" s="352"/>
      <c r="E658" s="352"/>
      <c r="F658" s="352"/>
      <c r="G658" s="352"/>
    </row>
    <row r="659" customHeight="1" spans="1:7">
      <c r="A659" s="309" t="s">
        <v>869</v>
      </c>
      <c r="B659" s="310"/>
      <c r="C659" s="310" t="s">
        <v>160</v>
      </c>
      <c r="D659" s="310" t="s">
        <v>870</v>
      </c>
      <c r="E659" s="311" t="s">
        <v>1191</v>
      </c>
      <c r="F659" s="312"/>
      <c r="G659" s="313"/>
    </row>
    <row r="660" customHeight="1" spans="1:7">
      <c r="A660" s="314" t="s">
        <v>507</v>
      </c>
      <c r="B660" s="315"/>
      <c r="C660" s="316" t="s">
        <v>1192</v>
      </c>
      <c r="D660" s="316"/>
      <c r="E660" s="316"/>
      <c r="F660" s="317" t="s">
        <v>873</v>
      </c>
      <c r="G660" s="318" t="s">
        <v>1043</v>
      </c>
    </row>
    <row r="661" customHeight="1" spans="1:7">
      <c r="A661" s="319" t="s">
        <v>1193</v>
      </c>
      <c r="B661" s="320"/>
      <c r="C661" s="320"/>
      <c r="D661" s="320"/>
      <c r="E661" s="320"/>
      <c r="F661" s="320"/>
      <c r="G661" s="321"/>
    </row>
    <row r="662" customHeight="1" spans="1:7">
      <c r="A662" s="322" t="s">
        <v>1180</v>
      </c>
      <c r="B662" s="323"/>
      <c r="C662" s="324"/>
      <c r="D662" s="324"/>
      <c r="E662" s="324"/>
      <c r="F662" s="324"/>
      <c r="G662" s="325"/>
    </row>
    <row r="663" customHeight="1" spans="1:7">
      <c r="A663" s="314" t="s">
        <v>34</v>
      </c>
      <c r="B663" s="317" t="s">
        <v>761</v>
      </c>
      <c r="C663" s="317"/>
      <c r="D663" s="317" t="s">
        <v>60</v>
      </c>
      <c r="E663" s="326" t="s">
        <v>877</v>
      </c>
      <c r="F663" s="317" t="s">
        <v>878</v>
      </c>
      <c r="G663" s="318" t="s">
        <v>879</v>
      </c>
    </row>
    <row r="664" customHeight="1" spans="1:7">
      <c r="A664" s="314" t="s">
        <v>8</v>
      </c>
      <c r="B664" s="327" t="s">
        <v>880</v>
      </c>
      <c r="C664" s="328"/>
      <c r="D664" s="317"/>
      <c r="E664" s="326"/>
      <c r="F664" s="326"/>
      <c r="G664" s="329">
        <f>G665+G672</f>
        <v>680.81636</v>
      </c>
    </row>
    <row r="665" customHeight="1" spans="1:7">
      <c r="A665" s="314" t="s">
        <v>881</v>
      </c>
      <c r="B665" s="327" t="s">
        <v>882</v>
      </c>
      <c r="C665" s="328"/>
      <c r="D665" s="317"/>
      <c r="E665" s="326"/>
      <c r="F665" s="326"/>
      <c r="G665" s="329">
        <f>G666+G669</f>
        <v>639.865</v>
      </c>
    </row>
    <row r="666" customHeight="1" spans="1:7">
      <c r="A666" s="314" t="s">
        <v>17</v>
      </c>
      <c r="B666" s="327" t="s">
        <v>510</v>
      </c>
      <c r="C666" s="328"/>
      <c r="D666" s="317"/>
      <c r="E666" s="326"/>
      <c r="F666" s="326"/>
      <c r="G666" s="329">
        <f>SUM(G667:G668)</f>
        <v>56.59</v>
      </c>
    </row>
    <row r="667" customHeight="1" spans="1:7">
      <c r="A667" s="314"/>
      <c r="B667" s="327" t="s">
        <v>704</v>
      </c>
      <c r="C667" s="328"/>
      <c r="D667" s="317" t="s">
        <v>705</v>
      </c>
      <c r="E667" s="326">
        <v>2</v>
      </c>
      <c r="F667" s="326">
        <f>主要材料预算!$D$19</f>
        <v>8.1</v>
      </c>
      <c r="G667" s="329">
        <f t="shared" ref="G667:G670" si="75">E667*F667</f>
        <v>16.2</v>
      </c>
    </row>
    <row r="668" customHeight="1" spans="1:7">
      <c r="A668" s="314"/>
      <c r="B668" s="327" t="s">
        <v>706</v>
      </c>
      <c r="C668" s="328"/>
      <c r="D668" s="317" t="s">
        <v>705</v>
      </c>
      <c r="E668" s="326">
        <v>7</v>
      </c>
      <c r="F668" s="326">
        <f>主要材料预算!$D$20</f>
        <v>5.77</v>
      </c>
      <c r="G668" s="329">
        <f t="shared" si="75"/>
        <v>40.39</v>
      </c>
    </row>
    <row r="669" customHeight="1" spans="1:7">
      <c r="A669" s="314" t="s">
        <v>19</v>
      </c>
      <c r="B669" s="327" t="s">
        <v>511</v>
      </c>
      <c r="C669" s="328"/>
      <c r="D669" s="317"/>
      <c r="E669" s="326"/>
      <c r="F669" s="326"/>
      <c r="G669" s="329">
        <f>SUM(G670:G671)</f>
        <v>583.275</v>
      </c>
    </row>
    <row r="670" customHeight="1" spans="1:7">
      <c r="A670" s="314"/>
      <c r="B670" s="327" t="s">
        <v>1181</v>
      </c>
      <c r="C670" s="328"/>
      <c r="D670" s="317" t="s">
        <v>1146</v>
      </c>
      <c r="E670" s="326">
        <v>105</v>
      </c>
      <c r="F670" s="326">
        <v>5.5</v>
      </c>
      <c r="G670" s="329">
        <f t="shared" si="75"/>
        <v>577.5</v>
      </c>
    </row>
    <row r="671" customHeight="1" spans="1:7">
      <c r="A671" s="314"/>
      <c r="B671" s="327" t="s">
        <v>893</v>
      </c>
      <c r="C671" s="328"/>
      <c r="D671" s="317" t="s">
        <v>894</v>
      </c>
      <c r="E671" s="147">
        <f>G670</f>
        <v>577.5</v>
      </c>
      <c r="F671" s="331">
        <v>1</v>
      </c>
      <c r="G671" s="329">
        <f>E671*F671/100</f>
        <v>5.775</v>
      </c>
    </row>
    <row r="672" customHeight="1" spans="1:7">
      <c r="A672" s="314" t="s">
        <v>905</v>
      </c>
      <c r="B672" s="327" t="s">
        <v>514</v>
      </c>
      <c r="C672" s="328"/>
      <c r="D672" s="317"/>
      <c r="E672" s="332">
        <f>G665</f>
        <v>639.865</v>
      </c>
      <c r="F672" s="333">
        <f>费率表!$J$12</f>
        <v>0.064</v>
      </c>
      <c r="G672" s="329">
        <f t="shared" ref="G672:G676" si="76">E672*F672</f>
        <v>40.95136</v>
      </c>
    </row>
    <row r="673" customHeight="1" spans="1:7">
      <c r="A673" s="314" t="s">
        <v>10</v>
      </c>
      <c r="B673" s="327" t="s">
        <v>770</v>
      </c>
      <c r="C673" s="328"/>
      <c r="D673" s="317"/>
      <c r="E673" s="326">
        <f>G664</f>
        <v>680.81636</v>
      </c>
      <c r="F673" s="333">
        <f>费率表!$J$13</f>
        <v>0.074</v>
      </c>
      <c r="G673" s="329">
        <f t="shared" si="76"/>
        <v>50.38041064</v>
      </c>
    </row>
    <row r="674" customHeight="1" spans="1:7">
      <c r="A674" s="314" t="s">
        <v>12</v>
      </c>
      <c r="B674" s="327" t="s">
        <v>771</v>
      </c>
      <c r="C674" s="328"/>
      <c r="D674" s="317"/>
      <c r="E674" s="326">
        <f>G664+G673</f>
        <v>731.19677064</v>
      </c>
      <c r="F674" s="334">
        <f>费率表!$J$14</f>
        <v>0.07</v>
      </c>
      <c r="G674" s="329">
        <f t="shared" si="76"/>
        <v>51.1837739448</v>
      </c>
    </row>
    <row r="675" customHeight="1" spans="1:7">
      <c r="A675" s="314" t="s">
        <v>15</v>
      </c>
      <c r="B675" s="327" t="s">
        <v>772</v>
      </c>
      <c r="C675" s="328"/>
      <c r="D675" s="317"/>
      <c r="E675" s="326">
        <f>G664+G673++G674</f>
        <v>782.3805445848</v>
      </c>
      <c r="F675" s="334">
        <f>费率表!$J$15</f>
        <v>0.09</v>
      </c>
      <c r="G675" s="329">
        <f t="shared" si="76"/>
        <v>70.414249012632</v>
      </c>
    </row>
    <row r="676" customHeight="1" spans="1:7">
      <c r="A676" s="314"/>
      <c r="B676" s="327" t="s">
        <v>907</v>
      </c>
      <c r="C676" s="328"/>
      <c r="D676" s="317"/>
      <c r="E676" s="326">
        <f>G664+G673+G674+G675</f>
        <v>852.794793597432</v>
      </c>
      <c r="F676" s="334">
        <f>费率表!$I$19</f>
        <v>0.03</v>
      </c>
      <c r="G676" s="329">
        <f t="shared" si="76"/>
        <v>25.583843807923</v>
      </c>
    </row>
    <row r="677" customHeight="1" spans="1:7">
      <c r="A677" s="335"/>
      <c r="B677" s="336" t="s">
        <v>39</v>
      </c>
      <c r="C677" s="337"/>
      <c r="D677" s="338"/>
      <c r="E677" s="339"/>
      <c r="F677" s="338"/>
      <c r="G677" s="340">
        <f>G664+G673+G674+G675+G676</f>
        <v>878.378637405355</v>
      </c>
    </row>
    <row r="678" customHeight="1" spans="1:7">
      <c r="A678" s="227"/>
      <c r="B678" s="227"/>
      <c r="C678" s="227"/>
      <c r="D678" s="227"/>
      <c r="E678" s="228"/>
      <c r="F678" s="227"/>
      <c r="G678" s="228"/>
    </row>
    <row r="679" customHeight="1" spans="1:7">
      <c r="A679" s="352" t="s">
        <v>868</v>
      </c>
      <c r="B679" s="352"/>
      <c r="C679" s="352"/>
      <c r="D679" s="352"/>
      <c r="E679" s="352"/>
      <c r="F679" s="352"/>
      <c r="G679" s="352"/>
    </row>
    <row r="680" customHeight="1" spans="1:7">
      <c r="A680" s="309" t="s">
        <v>869</v>
      </c>
      <c r="B680" s="310"/>
      <c r="C680" s="310" t="s">
        <v>160</v>
      </c>
      <c r="D680" s="310" t="s">
        <v>870</v>
      </c>
      <c r="E680" s="311" t="s">
        <v>1194</v>
      </c>
      <c r="F680" s="312"/>
      <c r="G680" s="313"/>
    </row>
    <row r="681" customHeight="1" spans="1:7">
      <c r="A681" s="314" t="s">
        <v>507</v>
      </c>
      <c r="B681" s="315"/>
      <c r="C681" s="316" t="s">
        <v>1195</v>
      </c>
      <c r="D681" s="316"/>
      <c r="E681" s="316"/>
      <c r="F681" s="317" t="s">
        <v>873</v>
      </c>
      <c r="G681" s="318" t="s">
        <v>1043</v>
      </c>
    </row>
    <row r="682" customHeight="1" spans="1:7">
      <c r="A682" s="420" t="s">
        <v>1196</v>
      </c>
      <c r="B682" s="421"/>
      <c r="C682" s="421"/>
      <c r="D682" s="421"/>
      <c r="E682" s="421"/>
      <c r="F682" s="421"/>
      <c r="G682" s="422"/>
    </row>
    <row r="683" customHeight="1" spans="1:7">
      <c r="A683" s="420" t="s">
        <v>1094</v>
      </c>
      <c r="B683" s="421"/>
      <c r="C683" s="421"/>
      <c r="D683" s="421"/>
      <c r="E683" s="421"/>
      <c r="F683" s="421"/>
      <c r="G683" s="422"/>
    </row>
    <row r="684" customHeight="1" spans="1:7">
      <c r="A684" s="314" t="s">
        <v>34</v>
      </c>
      <c r="B684" s="317" t="s">
        <v>761</v>
      </c>
      <c r="C684" s="317"/>
      <c r="D684" s="317" t="s">
        <v>60</v>
      </c>
      <c r="E684" s="326" t="s">
        <v>877</v>
      </c>
      <c r="F684" s="317" t="s">
        <v>878</v>
      </c>
      <c r="G684" s="318" t="s">
        <v>879</v>
      </c>
    </row>
    <row r="685" customHeight="1" spans="1:7">
      <c r="A685" s="314" t="s">
        <v>8</v>
      </c>
      <c r="B685" s="327" t="s">
        <v>880</v>
      </c>
      <c r="C685" s="328"/>
      <c r="D685" s="317"/>
      <c r="E685" s="326"/>
      <c r="F685" s="326"/>
      <c r="G685" s="329">
        <f>G686+G694</f>
        <v>846.3294336</v>
      </c>
    </row>
    <row r="686" customHeight="1" spans="1:7">
      <c r="A686" s="314" t="s">
        <v>881</v>
      </c>
      <c r="B686" s="327" t="s">
        <v>882</v>
      </c>
      <c r="C686" s="328"/>
      <c r="D686" s="317"/>
      <c r="E686" s="326"/>
      <c r="F686" s="326"/>
      <c r="G686" s="329">
        <f>G687+G690</f>
        <v>795.4224</v>
      </c>
    </row>
    <row r="687" customHeight="1" spans="1:7">
      <c r="A687" s="314" t="s">
        <v>17</v>
      </c>
      <c r="B687" s="327" t="s">
        <v>510</v>
      </c>
      <c r="C687" s="328"/>
      <c r="D687" s="317"/>
      <c r="E687" s="326"/>
      <c r="F687" s="326"/>
      <c r="G687" s="329">
        <f>SUM(G688:G689)</f>
        <v>219.48</v>
      </c>
    </row>
    <row r="688" customHeight="1" spans="1:7">
      <c r="A688" s="314"/>
      <c r="B688" s="327" t="s">
        <v>704</v>
      </c>
      <c r="C688" s="328"/>
      <c r="D688" s="317" t="s">
        <v>705</v>
      </c>
      <c r="E688" s="423">
        <v>10</v>
      </c>
      <c r="F688" s="326">
        <f>主要材料预算!$D$19</f>
        <v>8.1</v>
      </c>
      <c r="G688" s="329">
        <f t="shared" ref="G688:G692" si="77">E688*F688</f>
        <v>81</v>
      </c>
    </row>
    <row r="689" customHeight="1" spans="1:7">
      <c r="A689" s="314"/>
      <c r="B689" s="327" t="s">
        <v>706</v>
      </c>
      <c r="C689" s="328"/>
      <c r="D689" s="317" t="s">
        <v>705</v>
      </c>
      <c r="E689" s="423">
        <v>24</v>
      </c>
      <c r="F689" s="326">
        <f>主要材料预算!$D$20</f>
        <v>5.77</v>
      </c>
      <c r="G689" s="329">
        <f t="shared" si="77"/>
        <v>138.48</v>
      </c>
    </row>
    <row r="690" customHeight="1" spans="1:7">
      <c r="A690" s="314" t="s">
        <v>19</v>
      </c>
      <c r="B690" s="327" t="s">
        <v>511</v>
      </c>
      <c r="C690" s="328"/>
      <c r="D690" s="317"/>
      <c r="E690" s="326"/>
      <c r="F690" s="326"/>
      <c r="G690" s="329">
        <f>SUM(G691:G693)</f>
        <v>575.9424</v>
      </c>
    </row>
    <row r="691" customHeight="1" spans="1:7">
      <c r="A691" s="314"/>
      <c r="B691" s="424" t="s">
        <v>1197</v>
      </c>
      <c r="C691" s="425"/>
      <c r="D691" s="426" t="s">
        <v>1146</v>
      </c>
      <c r="E691" s="423">
        <v>106</v>
      </c>
      <c r="F691" s="423">
        <f>基础材料!$D$84</f>
        <v>5.32</v>
      </c>
      <c r="G691" s="427">
        <f t="shared" si="77"/>
        <v>563.92</v>
      </c>
    </row>
    <row r="692" customHeight="1" spans="1:7">
      <c r="A692" s="314"/>
      <c r="B692" s="428" t="s">
        <v>1198</v>
      </c>
      <c r="C692" s="429"/>
      <c r="D692" s="426" t="s">
        <v>1142</v>
      </c>
      <c r="E692" s="423">
        <v>2</v>
      </c>
      <c r="F692" s="423">
        <f>基础材料!D87</f>
        <v>5.78</v>
      </c>
      <c r="G692" s="427">
        <f t="shared" si="77"/>
        <v>11.56</v>
      </c>
    </row>
    <row r="693" customHeight="1" spans="1:7">
      <c r="A693" s="314"/>
      <c r="B693" s="327" t="s">
        <v>893</v>
      </c>
      <c r="C693" s="328"/>
      <c r="D693" s="317" t="s">
        <v>894</v>
      </c>
      <c r="E693" s="147">
        <f>G692</f>
        <v>11.56</v>
      </c>
      <c r="F693" s="331">
        <v>4</v>
      </c>
      <c r="G693" s="329">
        <f>E693*F693/100</f>
        <v>0.4624</v>
      </c>
    </row>
    <row r="694" customHeight="1" spans="1:7">
      <c r="A694" s="314" t="s">
        <v>905</v>
      </c>
      <c r="B694" s="327" t="s">
        <v>514</v>
      </c>
      <c r="C694" s="328"/>
      <c r="D694" s="317"/>
      <c r="E694" s="332">
        <f>G686</f>
        <v>795.4224</v>
      </c>
      <c r="F694" s="333">
        <f>费率表!$J$12</f>
        <v>0.064</v>
      </c>
      <c r="G694" s="329">
        <f t="shared" ref="G694:G698" si="78">E694*F694</f>
        <v>50.9070336</v>
      </c>
    </row>
    <row r="695" customHeight="1" spans="1:7">
      <c r="A695" s="314" t="s">
        <v>10</v>
      </c>
      <c r="B695" s="327" t="s">
        <v>770</v>
      </c>
      <c r="C695" s="328"/>
      <c r="D695" s="317"/>
      <c r="E695" s="326">
        <f>G685</f>
        <v>846.3294336</v>
      </c>
      <c r="F695" s="333">
        <f>费率表!$J$13</f>
        <v>0.074</v>
      </c>
      <c r="G695" s="329">
        <f t="shared" si="78"/>
        <v>62.6283780864</v>
      </c>
    </row>
    <row r="696" customHeight="1" spans="1:7">
      <c r="A696" s="314" t="s">
        <v>12</v>
      </c>
      <c r="B696" s="327" t="s">
        <v>771</v>
      </c>
      <c r="C696" s="328"/>
      <c r="D696" s="317"/>
      <c r="E696" s="326">
        <f>G685+G695</f>
        <v>908.9578116864</v>
      </c>
      <c r="F696" s="334">
        <f>费率表!$J$14</f>
        <v>0.07</v>
      </c>
      <c r="G696" s="329">
        <f t="shared" si="78"/>
        <v>63.627046818048</v>
      </c>
    </row>
    <row r="697" customHeight="1" spans="1:7">
      <c r="A697" s="314" t="s">
        <v>15</v>
      </c>
      <c r="B697" s="327" t="s">
        <v>772</v>
      </c>
      <c r="C697" s="328"/>
      <c r="D697" s="317"/>
      <c r="E697" s="326">
        <f>G685+G695++G696</f>
        <v>972.584858504448</v>
      </c>
      <c r="F697" s="334">
        <f>费率表!$J$15</f>
        <v>0.09</v>
      </c>
      <c r="G697" s="329">
        <f t="shared" si="78"/>
        <v>87.5326372654003</v>
      </c>
    </row>
    <row r="698" customHeight="1" spans="1:7">
      <c r="A698" s="314"/>
      <c r="B698" s="327" t="s">
        <v>907</v>
      </c>
      <c r="C698" s="328"/>
      <c r="D698" s="317"/>
      <c r="E698" s="326">
        <f>G685+G695+G696+G697</f>
        <v>1060.11749576985</v>
      </c>
      <c r="F698" s="334">
        <f>费率表!$I$19</f>
        <v>0.03</v>
      </c>
      <c r="G698" s="329">
        <f t="shared" si="78"/>
        <v>31.8035248730954</v>
      </c>
    </row>
    <row r="699" customHeight="1" spans="1:7">
      <c r="A699" s="335"/>
      <c r="B699" s="336" t="s">
        <v>39</v>
      </c>
      <c r="C699" s="337"/>
      <c r="D699" s="338"/>
      <c r="E699" s="339"/>
      <c r="F699" s="338"/>
      <c r="G699" s="340">
        <f>G685+G695+G696+G697+G698</f>
        <v>1091.92102064294</v>
      </c>
    </row>
    <row r="700" customHeight="1" spans="1:7">
      <c r="A700" s="227"/>
      <c r="B700" s="227"/>
      <c r="C700" s="227"/>
      <c r="D700" s="227"/>
      <c r="E700" s="228"/>
      <c r="F700" s="227"/>
      <c r="G700" s="228"/>
    </row>
    <row r="701" customHeight="1" spans="1:7">
      <c r="A701" s="227"/>
      <c r="B701" s="227"/>
      <c r="C701" s="227"/>
      <c r="D701" s="227"/>
      <c r="E701" s="228"/>
      <c r="F701" s="227"/>
      <c r="G701" s="228"/>
    </row>
    <row r="702" customHeight="1" spans="1:7">
      <c r="A702" s="352" t="s">
        <v>868</v>
      </c>
      <c r="B702" s="352"/>
      <c r="C702" s="352"/>
      <c r="D702" s="352"/>
      <c r="E702" s="352"/>
      <c r="F702" s="352"/>
      <c r="G702" s="352"/>
    </row>
    <row r="703" customHeight="1" spans="1:7">
      <c r="A703" s="309" t="s">
        <v>869</v>
      </c>
      <c r="B703" s="310"/>
      <c r="C703" s="310" t="s">
        <v>166</v>
      </c>
      <c r="D703" s="310" t="s">
        <v>870</v>
      </c>
      <c r="E703" s="311" t="s">
        <v>1199</v>
      </c>
      <c r="F703" s="312"/>
      <c r="G703" s="313"/>
    </row>
    <row r="704" customHeight="1" spans="1:7">
      <c r="A704" s="314" t="s">
        <v>507</v>
      </c>
      <c r="B704" s="315"/>
      <c r="C704" s="316" t="s">
        <v>1200</v>
      </c>
      <c r="D704" s="316"/>
      <c r="E704" s="316"/>
      <c r="F704" s="317" t="s">
        <v>873</v>
      </c>
      <c r="G704" s="318" t="s">
        <v>1201</v>
      </c>
    </row>
    <row r="705" customHeight="1" spans="1:7">
      <c r="A705" s="319" t="s">
        <v>1202</v>
      </c>
      <c r="B705" s="320"/>
      <c r="C705" s="320"/>
      <c r="D705" s="320"/>
      <c r="E705" s="320"/>
      <c r="F705" s="320"/>
      <c r="G705" s="321"/>
    </row>
    <row r="706" customHeight="1" spans="1:7">
      <c r="A706" s="322" t="s">
        <v>1203</v>
      </c>
      <c r="B706" s="323"/>
      <c r="C706" s="324"/>
      <c r="D706" s="324"/>
      <c r="E706" s="324"/>
      <c r="F706" s="324"/>
      <c r="G706" s="325"/>
    </row>
    <row r="707" customHeight="1" spans="1:7">
      <c r="A707" s="314" t="s">
        <v>34</v>
      </c>
      <c r="B707" s="317" t="s">
        <v>761</v>
      </c>
      <c r="C707" s="317"/>
      <c r="D707" s="317" t="s">
        <v>60</v>
      </c>
      <c r="E707" s="326" t="s">
        <v>877</v>
      </c>
      <c r="F707" s="317" t="s">
        <v>878</v>
      </c>
      <c r="G707" s="318" t="s">
        <v>879</v>
      </c>
    </row>
    <row r="708" customHeight="1" spans="1:7">
      <c r="A708" s="314" t="s">
        <v>8</v>
      </c>
      <c r="B708" s="327" t="s">
        <v>880</v>
      </c>
      <c r="C708" s="328"/>
      <c r="D708" s="317"/>
      <c r="E708" s="326"/>
      <c r="F708" s="326"/>
      <c r="G708" s="329">
        <f>G709+G716</f>
        <v>2630.644772</v>
      </c>
    </row>
    <row r="709" customHeight="1" spans="1:7">
      <c r="A709" s="314" t="s">
        <v>881</v>
      </c>
      <c r="B709" s="327" t="s">
        <v>882</v>
      </c>
      <c r="C709" s="328"/>
      <c r="D709" s="317"/>
      <c r="E709" s="326"/>
      <c r="F709" s="326"/>
      <c r="G709" s="329">
        <f>G710+G713</f>
        <v>2472.4105</v>
      </c>
    </row>
    <row r="710" customHeight="1" spans="1:7">
      <c r="A710" s="314" t="s">
        <v>17</v>
      </c>
      <c r="B710" s="327" t="s">
        <v>510</v>
      </c>
      <c r="C710" s="328"/>
      <c r="D710" s="317"/>
      <c r="E710" s="326"/>
      <c r="F710" s="326"/>
      <c r="G710" s="329">
        <f>SUM(G711:G712)</f>
        <v>635.21</v>
      </c>
    </row>
    <row r="711" customHeight="1" spans="1:7">
      <c r="A711" s="314"/>
      <c r="B711" s="327" t="s">
        <v>704</v>
      </c>
      <c r="C711" s="328"/>
      <c r="D711" s="317" t="s">
        <v>705</v>
      </c>
      <c r="E711" s="423">
        <v>2.2</v>
      </c>
      <c r="F711" s="423">
        <f>主要材料预算!$D$19</f>
        <v>8.1</v>
      </c>
      <c r="G711" s="329">
        <f t="shared" ref="G711:G714" si="79">E711*F711</f>
        <v>17.82</v>
      </c>
    </row>
    <row r="712" customHeight="1" spans="1:7">
      <c r="A712" s="314"/>
      <c r="B712" s="327" t="s">
        <v>706</v>
      </c>
      <c r="C712" s="328"/>
      <c r="D712" s="317" t="s">
        <v>705</v>
      </c>
      <c r="E712" s="423">
        <v>107</v>
      </c>
      <c r="F712" s="423">
        <f>主要材料预算!$D$20</f>
        <v>5.77</v>
      </c>
      <c r="G712" s="329">
        <f t="shared" si="79"/>
        <v>617.39</v>
      </c>
    </row>
    <row r="713" customHeight="1" spans="1:7">
      <c r="A713" s="314" t="s">
        <v>19</v>
      </c>
      <c r="B713" s="327" t="s">
        <v>511</v>
      </c>
      <c r="C713" s="328"/>
      <c r="D713" s="317"/>
      <c r="E713" s="326"/>
      <c r="F713" s="326"/>
      <c r="G713" s="329">
        <f>SUM(G714:G715)</f>
        <v>1837.2005</v>
      </c>
    </row>
    <row r="714" customHeight="1" spans="1:7">
      <c r="A714" s="314"/>
      <c r="B714" s="327" t="s">
        <v>1204</v>
      </c>
      <c r="C714" s="328"/>
      <c r="D714" s="317" t="s">
        <v>70</v>
      </c>
      <c r="E714" s="326">
        <v>124</v>
      </c>
      <c r="F714" s="326">
        <f>基础材料!$D$78</f>
        <v>14.56</v>
      </c>
      <c r="G714" s="329">
        <f t="shared" si="79"/>
        <v>1805.44</v>
      </c>
    </row>
    <row r="715" customHeight="1" spans="1:7">
      <c r="A715" s="314"/>
      <c r="B715" s="327" t="s">
        <v>1008</v>
      </c>
      <c r="C715" s="328"/>
      <c r="D715" s="317" t="s">
        <v>894</v>
      </c>
      <c r="E715" s="147">
        <f>G710</f>
        <v>635.21</v>
      </c>
      <c r="F715" s="331">
        <v>5</v>
      </c>
      <c r="G715" s="329">
        <f>E715*F715/100</f>
        <v>31.7605</v>
      </c>
    </row>
    <row r="716" customHeight="1" spans="1:7">
      <c r="A716" s="314" t="s">
        <v>905</v>
      </c>
      <c r="B716" s="327" t="s">
        <v>514</v>
      </c>
      <c r="C716" s="328"/>
      <c r="D716" s="317"/>
      <c r="E716" s="332">
        <f>G709</f>
        <v>2472.4105</v>
      </c>
      <c r="F716" s="333">
        <f>费率表!$J$12</f>
        <v>0.064</v>
      </c>
      <c r="G716" s="329">
        <f t="shared" ref="G716:G720" si="80">E716*F716</f>
        <v>158.234272</v>
      </c>
    </row>
    <row r="717" customHeight="1" spans="1:7">
      <c r="A717" s="314" t="s">
        <v>10</v>
      </c>
      <c r="B717" s="327" t="s">
        <v>770</v>
      </c>
      <c r="C717" s="328"/>
      <c r="D717" s="317"/>
      <c r="E717" s="326">
        <f>G708</f>
        <v>2630.644772</v>
      </c>
      <c r="F717" s="333">
        <f>费率表!$J$13</f>
        <v>0.074</v>
      </c>
      <c r="G717" s="329">
        <f t="shared" si="80"/>
        <v>194.667713128</v>
      </c>
    </row>
    <row r="718" customHeight="1" spans="1:7">
      <c r="A718" s="314" t="s">
        <v>12</v>
      </c>
      <c r="B718" s="327" t="s">
        <v>771</v>
      </c>
      <c r="C718" s="328"/>
      <c r="D718" s="317"/>
      <c r="E718" s="326">
        <f>G708+G717</f>
        <v>2825.312485128</v>
      </c>
      <c r="F718" s="334">
        <f>费率表!$J$14</f>
        <v>0.07</v>
      </c>
      <c r="G718" s="329">
        <f t="shared" si="80"/>
        <v>197.77187395896</v>
      </c>
    </row>
    <row r="719" customHeight="1" spans="1:7">
      <c r="A719" s="314" t="s">
        <v>15</v>
      </c>
      <c r="B719" s="327" t="s">
        <v>772</v>
      </c>
      <c r="C719" s="328"/>
      <c r="D719" s="317"/>
      <c r="E719" s="326">
        <f>G708+G717++G718</f>
        <v>3023.08435908696</v>
      </c>
      <c r="F719" s="334">
        <f>费率表!$J$15</f>
        <v>0.09</v>
      </c>
      <c r="G719" s="329">
        <f t="shared" si="80"/>
        <v>272.077592317826</v>
      </c>
    </row>
    <row r="720" customHeight="1" spans="1:7">
      <c r="A720" s="314"/>
      <c r="B720" s="327" t="s">
        <v>907</v>
      </c>
      <c r="C720" s="328"/>
      <c r="D720" s="317"/>
      <c r="E720" s="326">
        <f>G708+G717+G718+G719</f>
        <v>3295.16195140479</v>
      </c>
      <c r="F720" s="334">
        <f>费率表!$I$19</f>
        <v>0.03</v>
      </c>
      <c r="G720" s="329">
        <f t="shared" si="80"/>
        <v>98.8548585421436</v>
      </c>
    </row>
    <row r="721" customHeight="1" spans="1:7">
      <c r="A721" s="335"/>
      <c r="B721" s="336" t="s">
        <v>39</v>
      </c>
      <c r="C721" s="337"/>
      <c r="D721" s="338"/>
      <c r="E721" s="339"/>
      <c r="F721" s="338"/>
      <c r="G721" s="340">
        <f>G708+G717+G718+G719+G720</f>
        <v>3394.01680994693</v>
      </c>
    </row>
    <row r="723" customHeight="1" spans="1:7">
      <c r="A723" s="352" t="s">
        <v>868</v>
      </c>
      <c r="B723" s="352"/>
      <c r="C723" s="352"/>
      <c r="D723" s="352"/>
      <c r="E723" s="352"/>
      <c r="F723" s="352"/>
      <c r="G723" s="352"/>
    </row>
    <row r="724" customHeight="1" spans="1:7">
      <c r="A724" s="309" t="s">
        <v>869</v>
      </c>
      <c r="B724" s="310"/>
      <c r="C724" s="310" t="s">
        <v>166</v>
      </c>
      <c r="D724" s="310" t="s">
        <v>870</v>
      </c>
      <c r="E724" s="311" t="s">
        <v>1205</v>
      </c>
      <c r="F724" s="312"/>
      <c r="G724" s="313"/>
    </row>
    <row r="725" customHeight="1" spans="1:7">
      <c r="A725" s="314" t="s">
        <v>507</v>
      </c>
      <c r="B725" s="315"/>
      <c r="C725" s="316" t="s">
        <v>1206</v>
      </c>
      <c r="D725" s="316"/>
      <c r="E725" s="316"/>
      <c r="F725" s="317" t="s">
        <v>873</v>
      </c>
      <c r="G725" s="318" t="s">
        <v>1201</v>
      </c>
    </row>
    <row r="726" customHeight="1" spans="1:7">
      <c r="A726" s="319" t="s">
        <v>1202</v>
      </c>
      <c r="B726" s="320"/>
      <c r="C726" s="320"/>
      <c r="D726" s="320"/>
      <c r="E726" s="320"/>
      <c r="F726" s="320"/>
      <c r="G726" s="321"/>
    </row>
    <row r="727" customHeight="1" spans="1:7">
      <c r="A727" s="322" t="s">
        <v>1207</v>
      </c>
      <c r="B727" s="323"/>
      <c r="C727" s="324"/>
      <c r="D727" s="324"/>
      <c r="E727" s="324"/>
      <c r="F727" s="324"/>
      <c r="G727" s="325"/>
    </row>
    <row r="728" customHeight="1" spans="1:7">
      <c r="A728" s="314" t="s">
        <v>34</v>
      </c>
      <c r="B728" s="317" t="s">
        <v>761</v>
      </c>
      <c r="C728" s="317"/>
      <c r="D728" s="317" t="s">
        <v>60</v>
      </c>
      <c r="E728" s="326" t="s">
        <v>877</v>
      </c>
      <c r="F728" s="317" t="s">
        <v>878</v>
      </c>
      <c r="G728" s="318" t="s">
        <v>879</v>
      </c>
    </row>
    <row r="729" customHeight="1" spans="1:7">
      <c r="A729" s="314" t="s">
        <v>8</v>
      </c>
      <c r="B729" s="327" t="s">
        <v>880</v>
      </c>
      <c r="C729" s="328"/>
      <c r="D729" s="317"/>
      <c r="E729" s="326"/>
      <c r="F729" s="326"/>
      <c r="G729" s="329">
        <f>G730+G738</f>
        <v>11788.2802912</v>
      </c>
    </row>
    <row r="730" customHeight="1" spans="1:7">
      <c r="A730" s="314" t="s">
        <v>881</v>
      </c>
      <c r="B730" s="327" t="s">
        <v>882</v>
      </c>
      <c r="C730" s="328"/>
      <c r="D730" s="317"/>
      <c r="E730" s="326"/>
      <c r="F730" s="326"/>
      <c r="G730" s="329">
        <f>G731+G734</f>
        <v>11079.2108</v>
      </c>
    </row>
    <row r="731" customHeight="1" spans="1:7">
      <c r="A731" s="314" t="s">
        <v>17</v>
      </c>
      <c r="B731" s="327" t="s">
        <v>510</v>
      </c>
      <c r="C731" s="328"/>
      <c r="D731" s="317"/>
      <c r="E731" s="326"/>
      <c r="F731" s="326"/>
      <c r="G731" s="329">
        <f>SUM(G732:G733)</f>
        <v>6677.55</v>
      </c>
    </row>
    <row r="732" customHeight="1" spans="1:7">
      <c r="A732" s="314"/>
      <c r="B732" s="327" t="s">
        <v>704</v>
      </c>
      <c r="C732" s="328"/>
      <c r="D732" s="317" t="s">
        <v>705</v>
      </c>
      <c r="E732" s="423">
        <v>23</v>
      </c>
      <c r="F732" s="423">
        <f>主要材料预算!$D$19</f>
        <v>8.1</v>
      </c>
      <c r="G732" s="329">
        <f t="shared" ref="G732:G736" si="81">E732*F732</f>
        <v>186.3</v>
      </c>
    </row>
    <row r="733" customHeight="1" spans="1:7">
      <c r="A733" s="314"/>
      <c r="B733" s="327" t="s">
        <v>706</v>
      </c>
      <c r="C733" s="328"/>
      <c r="D733" s="317" t="s">
        <v>705</v>
      </c>
      <c r="E733" s="423">
        <v>1125</v>
      </c>
      <c r="F733" s="423">
        <f>主要材料预算!$D$20</f>
        <v>5.77</v>
      </c>
      <c r="G733" s="329">
        <f t="shared" si="81"/>
        <v>6491.25</v>
      </c>
    </row>
    <row r="734" customHeight="1" spans="1:7">
      <c r="A734" s="314" t="s">
        <v>19</v>
      </c>
      <c r="B734" s="327" t="s">
        <v>511</v>
      </c>
      <c r="C734" s="328"/>
      <c r="D734" s="317"/>
      <c r="E734" s="326"/>
      <c r="F734" s="326"/>
      <c r="G734" s="329">
        <f>SUM(G735:G737)</f>
        <v>4401.6608</v>
      </c>
    </row>
    <row r="735" customHeight="1" spans="1:7">
      <c r="A735" s="314"/>
      <c r="B735" s="327" t="s">
        <v>1204</v>
      </c>
      <c r="C735" s="328"/>
      <c r="D735" s="317" t="s">
        <v>70</v>
      </c>
      <c r="E735" s="326">
        <v>118</v>
      </c>
      <c r="F735" s="326">
        <f>基础材料!$D$78</f>
        <v>14.56</v>
      </c>
      <c r="G735" s="329">
        <f t="shared" si="81"/>
        <v>1718.08</v>
      </c>
    </row>
    <row r="736" customHeight="1" spans="1:7">
      <c r="A736" s="314"/>
      <c r="B736" s="327" t="s">
        <v>1208</v>
      </c>
      <c r="C736" s="328"/>
      <c r="D736" s="317" t="s">
        <v>395</v>
      </c>
      <c r="E736" s="326">
        <v>3300</v>
      </c>
      <c r="F736" s="326">
        <f>基础材料!D28</f>
        <v>0.8</v>
      </c>
      <c r="G736" s="329">
        <f t="shared" si="81"/>
        <v>2640</v>
      </c>
    </row>
    <row r="737" customHeight="1" spans="1:7">
      <c r="A737" s="314"/>
      <c r="B737" s="327" t="s">
        <v>893</v>
      </c>
      <c r="C737" s="328"/>
      <c r="D737" s="317" t="s">
        <v>894</v>
      </c>
      <c r="E737" s="147">
        <f>SUM(G735:G736)</f>
        <v>4358.08</v>
      </c>
      <c r="F737" s="331">
        <v>1</v>
      </c>
      <c r="G737" s="329">
        <f>E737*F737/100</f>
        <v>43.5808</v>
      </c>
    </row>
    <row r="738" customHeight="1" spans="1:7">
      <c r="A738" s="314" t="s">
        <v>905</v>
      </c>
      <c r="B738" s="327" t="s">
        <v>514</v>
      </c>
      <c r="C738" s="328"/>
      <c r="D738" s="317"/>
      <c r="E738" s="332">
        <f>G730</f>
        <v>11079.2108</v>
      </c>
      <c r="F738" s="333">
        <f>费率表!$J$12</f>
        <v>0.064</v>
      </c>
      <c r="G738" s="329">
        <f t="shared" ref="G738:G742" si="82">E738*F738</f>
        <v>709.0694912</v>
      </c>
    </row>
    <row r="739" customHeight="1" spans="1:7">
      <c r="A739" s="314" t="s">
        <v>10</v>
      </c>
      <c r="B739" s="327" t="s">
        <v>770</v>
      </c>
      <c r="C739" s="328"/>
      <c r="D739" s="317"/>
      <c r="E739" s="326">
        <f>G729</f>
        <v>11788.2802912</v>
      </c>
      <c r="F739" s="333">
        <f>费率表!$J$13</f>
        <v>0.074</v>
      </c>
      <c r="G739" s="329">
        <f t="shared" si="82"/>
        <v>872.3327415488</v>
      </c>
    </row>
    <row r="740" customHeight="1" spans="1:7">
      <c r="A740" s="314" t="s">
        <v>12</v>
      </c>
      <c r="B740" s="327" t="s">
        <v>771</v>
      </c>
      <c r="C740" s="328"/>
      <c r="D740" s="317"/>
      <c r="E740" s="326">
        <f>G729+G739</f>
        <v>12660.6130327488</v>
      </c>
      <c r="F740" s="334">
        <f>费率表!$J$14</f>
        <v>0.07</v>
      </c>
      <c r="G740" s="329">
        <f t="shared" si="82"/>
        <v>886.242912292416</v>
      </c>
    </row>
    <row r="741" customHeight="1" spans="1:7">
      <c r="A741" s="314" t="s">
        <v>15</v>
      </c>
      <c r="B741" s="327" t="s">
        <v>772</v>
      </c>
      <c r="C741" s="328"/>
      <c r="D741" s="317"/>
      <c r="E741" s="326">
        <f>G729+G739++G740</f>
        <v>13546.8559450412</v>
      </c>
      <c r="F741" s="334">
        <f>费率表!$J$15</f>
        <v>0.09</v>
      </c>
      <c r="G741" s="329">
        <f t="shared" si="82"/>
        <v>1219.21703505371</v>
      </c>
    </row>
    <row r="742" customHeight="1" spans="1:7">
      <c r="A742" s="314"/>
      <c r="B742" s="327" t="s">
        <v>907</v>
      </c>
      <c r="C742" s="328"/>
      <c r="D742" s="317"/>
      <c r="E742" s="326">
        <f>G729+G739+G740+G741</f>
        <v>14766.0729800949</v>
      </c>
      <c r="F742" s="334">
        <f>费率表!$I$19</f>
        <v>0.03</v>
      </c>
      <c r="G742" s="329">
        <f t="shared" si="82"/>
        <v>442.982189402848</v>
      </c>
    </row>
    <row r="743" customHeight="1" spans="1:7">
      <c r="A743" s="335"/>
      <c r="B743" s="336" t="s">
        <v>39</v>
      </c>
      <c r="C743" s="337"/>
      <c r="D743" s="338"/>
      <c r="E743" s="339"/>
      <c r="F743" s="338"/>
      <c r="G743" s="340">
        <f>G729+G739+G740+G741+G742</f>
        <v>15209.0551694978</v>
      </c>
    </row>
    <row r="745" customHeight="1" spans="1:7">
      <c r="A745" s="352" t="s">
        <v>868</v>
      </c>
      <c r="B745" s="352"/>
      <c r="C745" s="352"/>
      <c r="D745" s="352"/>
      <c r="E745" s="352"/>
      <c r="F745" s="352"/>
      <c r="G745" s="352"/>
    </row>
    <row r="746" customHeight="1" spans="1:7">
      <c r="A746" s="309" t="s">
        <v>869</v>
      </c>
      <c r="B746" s="310"/>
      <c r="C746" s="310" t="s">
        <v>160</v>
      </c>
      <c r="D746" s="310" t="s">
        <v>870</v>
      </c>
      <c r="E746" s="311" t="s">
        <v>1209</v>
      </c>
      <c r="F746" s="312"/>
      <c r="G746" s="313"/>
    </row>
    <row r="747" customHeight="1" spans="1:7">
      <c r="A747" s="314" t="s">
        <v>507</v>
      </c>
      <c r="B747" s="315"/>
      <c r="C747" s="316" t="s">
        <v>1210</v>
      </c>
      <c r="D747" s="316"/>
      <c r="E747" s="316"/>
      <c r="F747" s="317" t="s">
        <v>873</v>
      </c>
      <c r="G747" s="318" t="s">
        <v>1211</v>
      </c>
    </row>
    <row r="748" customHeight="1" spans="1:7">
      <c r="A748" s="420" t="s">
        <v>1212</v>
      </c>
      <c r="B748" s="421"/>
      <c r="C748" s="421"/>
      <c r="D748" s="421"/>
      <c r="E748" s="421"/>
      <c r="F748" s="421"/>
      <c r="G748" s="422"/>
    </row>
    <row r="749" customHeight="1" spans="1:7">
      <c r="A749" s="420" t="s">
        <v>1213</v>
      </c>
      <c r="B749" s="421"/>
      <c r="C749" s="421"/>
      <c r="D749" s="421"/>
      <c r="E749" s="421"/>
      <c r="F749" s="421"/>
      <c r="G749" s="422"/>
    </row>
    <row r="750" customHeight="1" spans="1:7">
      <c r="A750" s="314" t="s">
        <v>34</v>
      </c>
      <c r="B750" s="317" t="s">
        <v>761</v>
      </c>
      <c r="C750" s="317"/>
      <c r="D750" s="317" t="s">
        <v>60</v>
      </c>
      <c r="E750" s="326" t="s">
        <v>877</v>
      </c>
      <c r="F750" s="317" t="s">
        <v>878</v>
      </c>
      <c r="G750" s="318" t="s">
        <v>879</v>
      </c>
    </row>
    <row r="751" customHeight="1" spans="1:7">
      <c r="A751" s="314" t="s">
        <v>8</v>
      </c>
      <c r="B751" s="327" t="s">
        <v>880</v>
      </c>
      <c r="C751" s="328"/>
      <c r="D751" s="317"/>
      <c r="E751" s="326"/>
      <c r="F751" s="326"/>
      <c r="G751" s="329">
        <f>G752+G760</f>
        <v>4872.0579152</v>
      </c>
    </row>
    <row r="752" customHeight="1" spans="1:7">
      <c r="A752" s="314" t="s">
        <v>881</v>
      </c>
      <c r="B752" s="327" t="s">
        <v>882</v>
      </c>
      <c r="C752" s="328"/>
      <c r="D752" s="317"/>
      <c r="E752" s="326"/>
      <c r="F752" s="326"/>
      <c r="G752" s="329">
        <f>G753+G756</f>
        <v>4579.0018</v>
      </c>
    </row>
    <row r="753" customHeight="1" spans="1:7">
      <c r="A753" s="314" t="s">
        <v>17</v>
      </c>
      <c r="B753" s="327" t="s">
        <v>510</v>
      </c>
      <c r="C753" s="328"/>
      <c r="D753" s="317"/>
      <c r="E753" s="326"/>
      <c r="F753" s="326"/>
      <c r="G753" s="329">
        <f>SUM(G754:G755)</f>
        <v>3985.525</v>
      </c>
    </row>
    <row r="754" customHeight="1" spans="1:7">
      <c r="A754" s="314"/>
      <c r="B754" s="327" t="s">
        <v>704</v>
      </c>
      <c r="C754" s="328"/>
      <c r="D754" s="317" t="s">
        <v>705</v>
      </c>
      <c r="E754" s="423">
        <v>13.7</v>
      </c>
      <c r="F754" s="423">
        <f>主要材料预算!$D$19</f>
        <v>8.1</v>
      </c>
      <c r="G754" s="329">
        <f>E754*F754</f>
        <v>110.97</v>
      </c>
    </row>
    <row r="755" customHeight="1" spans="1:7">
      <c r="A755" s="314"/>
      <c r="B755" s="327" t="s">
        <v>706</v>
      </c>
      <c r="C755" s="328"/>
      <c r="D755" s="317" t="s">
        <v>705</v>
      </c>
      <c r="E755" s="423">
        <v>671.5</v>
      </c>
      <c r="F755" s="423">
        <f>主要材料预算!$D$20</f>
        <v>5.77</v>
      </c>
      <c r="G755" s="329">
        <f>E755*F755</f>
        <v>3874.555</v>
      </c>
    </row>
    <row r="756" customHeight="1" spans="1:7">
      <c r="A756" s="314" t="s">
        <v>19</v>
      </c>
      <c r="B756" s="327" t="s">
        <v>511</v>
      </c>
      <c r="C756" s="328"/>
      <c r="D756" s="317"/>
      <c r="E756" s="326"/>
      <c r="F756" s="326"/>
      <c r="G756" s="329">
        <f>SUM(G757:G759)</f>
        <v>593.4768</v>
      </c>
    </row>
    <row r="757" customHeight="1" spans="1:7">
      <c r="A757" s="314"/>
      <c r="B757" s="424" t="s">
        <v>1214</v>
      </c>
      <c r="C757" s="425"/>
      <c r="D757" s="426" t="s">
        <v>204</v>
      </c>
      <c r="E757" s="423">
        <v>28.7</v>
      </c>
      <c r="F757" s="423">
        <f>基础材料!$D$52</f>
        <v>233.01</v>
      </c>
      <c r="G757" s="427">
        <v>570.28</v>
      </c>
    </row>
    <row r="758" customHeight="1" spans="1:7">
      <c r="A758" s="314"/>
      <c r="B758" s="428" t="s">
        <v>697</v>
      </c>
      <c r="C758" s="429"/>
      <c r="D758" s="317" t="s">
        <v>70</v>
      </c>
      <c r="E758" s="423">
        <v>84</v>
      </c>
      <c r="F758" s="326">
        <f>基础材料!$D$78</f>
        <v>14.56</v>
      </c>
      <c r="G758" s="427">
        <v>11.56</v>
      </c>
    </row>
    <row r="759" customHeight="1" spans="1:7">
      <c r="A759" s="314"/>
      <c r="B759" s="327" t="s">
        <v>893</v>
      </c>
      <c r="C759" s="328"/>
      <c r="D759" s="317" t="s">
        <v>894</v>
      </c>
      <c r="E759" s="147">
        <f>SUM(G757:G758)</f>
        <v>581.84</v>
      </c>
      <c r="F759" s="331">
        <v>2</v>
      </c>
      <c r="G759" s="329">
        <f>E759*F759/100</f>
        <v>11.6368</v>
      </c>
    </row>
    <row r="760" customHeight="1" spans="1:7">
      <c r="A760" s="314" t="s">
        <v>905</v>
      </c>
      <c r="B760" s="327" t="s">
        <v>514</v>
      </c>
      <c r="C760" s="328"/>
      <c r="D760" s="317"/>
      <c r="E760" s="332">
        <f>G752</f>
        <v>4579.0018</v>
      </c>
      <c r="F760" s="333">
        <f>费率表!$J$12</f>
        <v>0.064</v>
      </c>
      <c r="G760" s="329">
        <f t="shared" ref="G760:G764" si="83">E760*F760</f>
        <v>293.0561152</v>
      </c>
    </row>
    <row r="761" customHeight="1" spans="1:7">
      <c r="A761" s="314" t="s">
        <v>10</v>
      </c>
      <c r="B761" s="327" t="s">
        <v>770</v>
      </c>
      <c r="C761" s="328"/>
      <c r="D761" s="317"/>
      <c r="E761" s="326">
        <f>G751</f>
        <v>4872.0579152</v>
      </c>
      <c r="F761" s="333">
        <f>费率表!$J$13</f>
        <v>0.074</v>
      </c>
      <c r="G761" s="329">
        <f t="shared" si="83"/>
        <v>360.5322857248</v>
      </c>
    </row>
    <row r="762" customHeight="1" spans="1:7">
      <c r="A762" s="314" t="s">
        <v>12</v>
      </c>
      <c r="B762" s="327" t="s">
        <v>771</v>
      </c>
      <c r="C762" s="328"/>
      <c r="D762" s="317"/>
      <c r="E762" s="326">
        <f>G751+G761</f>
        <v>5232.5902009248</v>
      </c>
      <c r="F762" s="334">
        <f>费率表!$J$14</f>
        <v>0.07</v>
      </c>
      <c r="G762" s="329">
        <f t="shared" si="83"/>
        <v>366.281314064736</v>
      </c>
    </row>
    <row r="763" customHeight="1" spans="1:7">
      <c r="A763" s="314" t="s">
        <v>15</v>
      </c>
      <c r="B763" s="327" t="s">
        <v>772</v>
      </c>
      <c r="C763" s="328"/>
      <c r="D763" s="317"/>
      <c r="E763" s="326">
        <f>G751+G761++G762</f>
        <v>5598.87151498954</v>
      </c>
      <c r="F763" s="334">
        <f>费率表!$J$15</f>
        <v>0.09</v>
      </c>
      <c r="G763" s="329">
        <f t="shared" si="83"/>
        <v>503.898436349058</v>
      </c>
    </row>
    <row r="764" customHeight="1" spans="1:7">
      <c r="A764" s="314"/>
      <c r="B764" s="327" t="s">
        <v>907</v>
      </c>
      <c r="C764" s="328"/>
      <c r="D764" s="317"/>
      <c r="E764" s="326">
        <f>G751+G761+G762+G763</f>
        <v>6102.76995133859</v>
      </c>
      <c r="F764" s="334">
        <f>费率表!$I$19</f>
        <v>0.03</v>
      </c>
      <c r="G764" s="329">
        <f t="shared" si="83"/>
        <v>183.083098540158</v>
      </c>
    </row>
    <row r="765" customHeight="1" spans="1:7">
      <c r="A765" s="335"/>
      <c r="B765" s="336" t="s">
        <v>39</v>
      </c>
      <c r="C765" s="337"/>
      <c r="D765" s="338"/>
      <c r="E765" s="339"/>
      <c r="F765" s="338"/>
      <c r="G765" s="340">
        <f>G751+G761+G762+G763+G764</f>
        <v>6285.85304987875</v>
      </c>
    </row>
    <row r="767" customHeight="1" spans="1:7">
      <c r="A767" s="352" t="s">
        <v>868</v>
      </c>
      <c r="B767" s="352"/>
      <c r="C767" s="352"/>
      <c r="D767" s="352"/>
      <c r="E767" s="352"/>
      <c r="F767" s="352"/>
      <c r="G767" s="352"/>
    </row>
    <row r="768" customHeight="1" spans="1:7">
      <c r="A768" s="309" t="s">
        <v>869</v>
      </c>
      <c r="B768" s="310"/>
      <c r="C768" s="310" t="s">
        <v>160</v>
      </c>
      <c r="D768" s="310" t="s">
        <v>870</v>
      </c>
      <c r="E768" s="311" t="s">
        <v>1209</v>
      </c>
      <c r="F768" s="312"/>
      <c r="G768" s="313"/>
    </row>
    <row r="769" customHeight="1" spans="1:7">
      <c r="A769" s="314" t="s">
        <v>507</v>
      </c>
      <c r="B769" s="315"/>
      <c r="C769" s="316" t="s">
        <v>1210</v>
      </c>
      <c r="D769" s="316"/>
      <c r="E769" s="316"/>
      <c r="F769" s="317" t="s">
        <v>873</v>
      </c>
      <c r="G769" s="318" t="s">
        <v>1211</v>
      </c>
    </row>
    <row r="770" customHeight="1" spans="1:7">
      <c r="A770" s="420" t="s">
        <v>1212</v>
      </c>
      <c r="B770" s="421"/>
      <c r="C770" s="421"/>
      <c r="D770" s="421"/>
      <c r="E770" s="421"/>
      <c r="F770" s="421"/>
      <c r="G770" s="422"/>
    </row>
    <row r="771" customHeight="1" spans="1:7">
      <c r="A771" s="420" t="s">
        <v>1213</v>
      </c>
      <c r="B771" s="421"/>
      <c r="C771" s="421"/>
      <c r="D771" s="421"/>
      <c r="E771" s="421"/>
      <c r="F771" s="421"/>
      <c r="G771" s="422"/>
    </row>
    <row r="772" customHeight="1" spans="1:7">
      <c r="A772" s="314" t="s">
        <v>34</v>
      </c>
      <c r="B772" s="317" t="s">
        <v>761</v>
      </c>
      <c r="C772" s="317"/>
      <c r="D772" s="317" t="s">
        <v>60</v>
      </c>
      <c r="E772" s="326" t="s">
        <v>877</v>
      </c>
      <c r="F772" s="317" t="s">
        <v>878</v>
      </c>
      <c r="G772" s="318" t="s">
        <v>879</v>
      </c>
    </row>
    <row r="773" customHeight="1" spans="1:7">
      <c r="A773" s="314" t="s">
        <v>8</v>
      </c>
      <c r="B773" s="327" t="s">
        <v>880</v>
      </c>
      <c r="C773" s="328"/>
      <c r="D773" s="317"/>
      <c r="E773" s="326"/>
      <c r="F773" s="326"/>
      <c r="G773" s="329">
        <f>G774+G784</f>
        <v>13340.8957116482</v>
      </c>
    </row>
    <row r="774" customHeight="1" spans="1:7">
      <c r="A774" s="314" t="s">
        <v>881</v>
      </c>
      <c r="B774" s="327" t="s">
        <v>882</v>
      </c>
      <c r="C774" s="328"/>
      <c r="D774" s="317"/>
      <c r="E774" s="326"/>
      <c r="F774" s="326"/>
      <c r="G774" s="329">
        <f>G775+G778+G782</f>
        <v>12538.4358192182</v>
      </c>
    </row>
    <row r="775" customHeight="1" spans="1:7">
      <c r="A775" s="314" t="s">
        <v>17</v>
      </c>
      <c r="B775" s="327" t="s">
        <v>510</v>
      </c>
      <c r="C775" s="328"/>
      <c r="D775" s="317"/>
      <c r="E775" s="326"/>
      <c r="F775" s="326"/>
      <c r="G775" s="329">
        <f>SUM(G776:G777)</f>
        <v>3985.525</v>
      </c>
    </row>
    <row r="776" customHeight="1" spans="1:7">
      <c r="A776" s="314"/>
      <c r="B776" s="327" t="s">
        <v>704</v>
      </c>
      <c r="C776" s="328"/>
      <c r="D776" s="317" t="s">
        <v>705</v>
      </c>
      <c r="E776" s="423">
        <v>13.7</v>
      </c>
      <c r="F776" s="423">
        <f>主要材料预算!$D$19</f>
        <v>8.1</v>
      </c>
      <c r="G776" s="329">
        <f t="shared" ref="G776:G780" si="84">E776*F776</f>
        <v>110.97</v>
      </c>
    </row>
    <row r="777" customHeight="1" spans="1:7">
      <c r="A777" s="314"/>
      <c r="B777" s="327" t="s">
        <v>706</v>
      </c>
      <c r="C777" s="328"/>
      <c r="D777" s="317" t="s">
        <v>705</v>
      </c>
      <c r="E777" s="423">
        <v>671.5</v>
      </c>
      <c r="F777" s="423">
        <f>主要材料预算!$D$20</f>
        <v>5.77</v>
      </c>
      <c r="G777" s="329">
        <f t="shared" si="84"/>
        <v>3874.555</v>
      </c>
    </row>
    <row r="778" customHeight="1" spans="1:7">
      <c r="A778" s="314" t="s">
        <v>19</v>
      </c>
      <c r="B778" s="327" t="s">
        <v>511</v>
      </c>
      <c r="C778" s="328"/>
      <c r="D778" s="317"/>
      <c r="E778" s="326"/>
      <c r="F778" s="326"/>
      <c r="G778" s="329">
        <f>SUM(G779:G781)</f>
        <v>8068.63554</v>
      </c>
    </row>
    <row r="779" customHeight="1" spans="1:7">
      <c r="A779" s="314"/>
      <c r="B779" s="424" t="s">
        <v>1214</v>
      </c>
      <c r="C779" s="425"/>
      <c r="D779" s="426" t="s">
        <v>204</v>
      </c>
      <c r="E779" s="423">
        <v>28.7</v>
      </c>
      <c r="F779" s="423">
        <f>基础材料!$D$52</f>
        <v>233.01</v>
      </c>
      <c r="G779" s="427">
        <f t="shared" si="84"/>
        <v>6687.387</v>
      </c>
    </row>
    <row r="780" customHeight="1" spans="1:7">
      <c r="A780" s="314"/>
      <c r="B780" s="428" t="s">
        <v>697</v>
      </c>
      <c r="C780" s="429"/>
      <c r="D780" s="317" t="s">
        <v>70</v>
      </c>
      <c r="E780" s="423">
        <v>84</v>
      </c>
      <c r="F780" s="326">
        <f>基础材料!$D$78</f>
        <v>14.56</v>
      </c>
      <c r="G780" s="427">
        <f t="shared" si="84"/>
        <v>1223.04</v>
      </c>
    </row>
    <row r="781" customHeight="1" spans="1:7">
      <c r="A781" s="314"/>
      <c r="B781" s="327" t="s">
        <v>1008</v>
      </c>
      <c r="C781" s="328"/>
      <c r="D781" s="317" t="s">
        <v>894</v>
      </c>
      <c r="E781" s="147">
        <f>SUM(G779:G780)</f>
        <v>7910.427</v>
      </c>
      <c r="F781" s="331">
        <v>2</v>
      </c>
      <c r="G781" s="329">
        <f>E781*F781/100</f>
        <v>158.20854</v>
      </c>
    </row>
    <row r="782" customHeight="1" spans="1:7">
      <c r="A782" s="314" t="s">
        <v>21</v>
      </c>
      <c r="B782" s="327" t="s">
        <v>895</v>
      </c>
      <c r="C782" s="328"/>
      <c r="D782" s="317"/>
      <c r="E782" s="147"/>
      <c r="F782" s="326"/>
      <c r="G782" s="329">
        <f>SUM(G783:G783)</f>
        <v>484.275279218189</v>
      </c>
    </row>
    <row r="783" customHeight="1" spans="1:7">
      <c r="A783" s="314"/>
      <c r="B783" s="327" t="s">
        <v>1215</v>
      </c>
      <c r="C783" s="328"/>
      <c r="D783" s="317" t="s">
        <v>896</v>
      </c>
      <c r="E783" s="147">
        <v>21.5</v>
      </c>
      <c r="F783" s="326">
        <f>施工机械台时费!E17</f>
        <v>22.5244315915437</v>
      </c>
      <c r="G783" s="329">
        <f t="shared" ref="G783:G788" si="85">E783*F783</f>
        <v>484.275279218189</v>
      </c>
    </row>
    <row r="784" customHeight="1" spans="1:7">
      <c r="A784" s="314" t="s">
        <v>905</v>
      </c>
      <c r="B784" s="327" t="s">
        <v>514</v>
      </c>
      <c r="C784" s="328"/>
      <c r="D784" s="317"/>
      <c r="E784" s="332">
        <f>G774</f>
        <v>12538.4358192182</v>
      </c>
      <c r="F784" s="333">
        <f>费率表!$J$12</f>
        <v>0.064</v>
      </c>
      <c r="G784" s="329">
        <f t="shared" si="85"/>
        <v>802.459892429964</v>
      </c>
    </row>
    <row r="785" customHeight="1" spans="1:7">
      <c r="A785" s="314" t="s">
        <v>10</v>
      </c>
      <c r="B785" s="327" t="s">
        <v>770</v>
      </c>
      <c r="C785" s="328"/>
      <c r="D785" s="317"/>
      <c r="E785" s="326">
        <f>G773</f>
        <v>13340.8957116482</v>
      </c>
      <c r="F785" s="333">
        <f>费率表!$J$13</f>
        <v>0.074</v>
      </c>
      <c r="G785" s="329">
        <f t="shared" si="85"/>
        <v>987.226282661963</v>
      </c>
    </row>
    <row r="786" customHeight="1" spans="1:7">
      <c r="A786" s="314" t="s">
        <v>12</v>
      </c>
      <c r="B786" s="327" t="s">
        <v>771</v>
      </c>
      <c r="C786" s="328"/>
      <c r="D786" s="317"/>
      <c r="E786" s="326">
        <f>G773+G785</f>
        <v>14328.1219943101</v>
      </c>
      <c r="F786" s="334">
        <f>费率表!$J$14</f>
        <v>0.07</v>
      </c>
      <c r="G786" s="329">
        <f t="shared" si="85"/>
        <v>1002.96853960171</v>
      </c>
    </row>
    <row r="787" customHeight="1" spans="1:7">
      <c r="A787" s="314" t="s">
        <v>15</v>
      </c>
      <c r="B787" s="327" t="s">
        <v>772</v>
      </c>
      <c r="C787" s="328"/>
      <c r="D787" s="317"/>
      <c r="E787" s="326">
        <f>G773+G785++G786</f>
        <v>15331.0905339118</v>
      </c>
      <c r="F787" s="334">
        <f>费率表!$J$15</f>
        <v>0.09</v>
      </c>
      <c r="G787" s="329">
        <f t="shared" si="85"/>
        <v>1379.79814805206</v>
      </c>
    </row>
    <row r="788" customHeight="1" spans="1:7">
      <c r="A788" s="314"/>
      <c r="B788" s="327" t="s">
        <v>907</v>
      </c>
      <c r="C788" s="328"/>
      <c r="D788" s="317"/>
      <c r="E788" s="326">
        <f>G773+G785+G786+G787</f>
        <v>16710.8886819639</v>
      </c>
      <c r="F788" s="334">
        <f>费率表!$I$19</f>
        <v>0.03</v>
      </c>
      <c r="G788" s="329">
        <f t="shared" si="85"/>
        <v>501.326660458917</v>
      </c>
    </row>
    <row r="789" customHeight="1" spans="1:7">
      <c r="A789" s="335"/>
      <c r="B789" s="336" t="s">
        <v>39</v>
      </c>
      <c r="C789" s="337"/>
      <c r="D789" s="338"/>
      <c r="E789" s="339"/>
      <c r="F789" s="338"/>
      <c r="G789" s="340">
        <f>G773+G785+G786+G787+G788</f>
        <v>17212.2153424228</v>
      </c>
    </row>
    <row r="791" customHeight="1" spans="1:7">
      <c r="A791" s="430" t="s">
        <v>868</v>
      </c>
      <c r="B791" s="430"/>
      <c r="C791" s="430"/>
      <c r="D791" s="430"/>
      <c r="E791" s="430"/>
      <c r="F791" s="430"/>
      <c r="G791" s="430"/>
    </row>
    <row r="792" customHeight="1" spans="1:7">
      <c r="A792" s="309" t="s">
        <v>869</v>
      </c>
      <c r="B792" s="310"/>
      <c r="C792" s="310" t="s">
        <v>19</v>
      </c>
      <c r="D792" s="310" t="s">
        <v>870</v>
      </c>
      <c r="E792" s="311" t="s">
        <v>1111</v>
      </c>
      <c r="F792" s="312"/>
      <c r="G792" s="313"/>
    </row>
    <row r="793" customHeight="1" spans="1:7">
      <c r="A793" s="314" t="s">
        <v>507</v>
      </c>
      <c r="B793" s="315"/>
      <c r="C793" s="316" t="s">
        <v>1216</v>
      </c>
      <c r="D793" s="316"/>
      <c r="E793" s="316"/>
      <c r="F793" s="317" t="s">
        <v>873</v>
      </c>
      <c r="G793" s="318" t="s">
        <v>874</v>
      </c>
    </row>
    <row r="794" customHeight="1" spans="1:7">
      <c r="A794" s="319" t="s">
        <v>875</v>
      </c>
      <c r="B794" s="320"/>
      <c r="C794" s="320"/>
      <c r="D794" s="320"/>
      <c r="E794" s="320"/>
      <c r="F794" s="320"/>
      <c r="G794" s="321"/>
    </row>
    <row r="795" customHeight="1" spans="1:7">
      <c r="A795" s="322" t="s">
        <v>876</v>
      </c>
      <c r="B795" s="323"/>
      <c r="C795" s="324"/>
      <c r="D795" s="324"/>
      <c r="E795" s="324"/>
      <c r="F795" s="324"/>
      <c r="G795" s="325"/>
    </row>
    <row r="796" customHeight="1" spans="1:7">
      <c r="A796" s="314" t="s">
        <v>34</v>
      </c>
      <c r="B796" s="317" t="s">
        <v>761</v>
      </c>
      <c r="C796" s="317"/>
      <c r="D796" s="317" t="s">
        <v>60</v>
      </c>
      <c r="E796" s="326" t="s">
        <v>877</v>
      </c>
      <c r="F796" s="317" t="s">
        <v>878</v>
      </c>
      <c r="G796" s="318" t="s">
        <v>879</v>
      </c>
    </row>
    <row r="797" customHeight="1" spans="1:7">
      <c r="A797" s="314" t="s">
        <v>8</v>
      </c>
      <c r="B797" s="327" t="s">
        <v>880</v>
      </c>
      <c r="C797" s="328"/>
      <c r="D797" s="317"/>
      <c r="E797" s="326"/>
      <c r="F797" s="326"/>
      <c r="G797" s="329">
        <f>G798+G812</f>
        <v>37297.0851392758</v>
      </c>
    </row>
    <row r="798" customHeight="1" spans="1:7">
      <c r="A798" s="314" t="s">
        <v>881</v>
      </c>
      <c r="B798" s="327" t="s">
        <v>882</v>
      </c>
      <c r="C798" s="328"/>
      <c r="D798" s="317"/>
      <c r="E798" s="326"/>
      <c r="F798" s="326"/>
      <c r="G798" s="329">
        <f>G799+G802+G806</f>
        <v>35053.6514466877</v>
      </c>
    </row>
    <row r="799" customHeight="1" spans="1:7">
      <c r="A799" s="314" t="s">
        <v>17</v>
      </c>
      <c r="B799" s="327" t="s">
        <v>510</v>
      </c>
      <c r="C799" s="328"/>
      <c r="D799" s="317"/>
      <c r="E799" s="326"/>
      <c r="F799" s="326"/>
      <c r="G799" s="329">
        <f>SUM(G800:G801)</f>
        <v>14683.8531</v>
      </c>
    </row>
    <row r="800" customHeight="1" spans="1:7">
      <c r="A800" s="314"/>
      <c r="B800" s="327" t="s">
        <v>704</v>
      </c>
      <c r="C800" s="328"/>
      <c r="D800" s="317" t="s">
        <v>705</v>
      </c>
      <c r="E800" s="326">
        <v>1270.42</v>
      </c>
      <c r="F800" s="326">
        <f>主要材料预算!$D$19</f>
        <v>8.1</v>
      </c>
      <c r="G800" s="329">
        <f t="shared" ref="G800:G804" si="86">E800*F800</f>
        <v>10290.402</v>
      </c>
    </row>
    <row r="801" customHeight="1" spans="1:7">
      <c r="A801" s="314"/>
      <c r="B801" s="327" t="s">
        <v>706</v>
      </c>
      <c r="C801" s="328"/>
      <c r="D801" s="317" t="s">
        <v>705</v>
      </c>
      <c r="E801" s="326">
        <v>761.43</v>
      </c>
      <c r="F801" s="326">
        <f>主要材料预算!$D$20</f>
        <v>5.77</v>
      </c>
      <c r="G801" s="329">
        <f t="shared" si="86"/>
        <v>4393.4511</v>
      </c>
    </row>
    <row r="802" customHeight="1" spans="1:7">
      <c r="A802" s="314" t="s">
        <v>19</v>
      </c>
      <c r="B802" s="327" t="s">
        <v>511</v>
      </c>
      <c r="C802" s="328"/>
      <c r="D802" s="317"/>
      <c r="E802" s="326"/>
      <c r="F802" s="326"/>
      <c r="G802" s="329">
        <f>SUM(G803:G805)</f>
        <v>18709.47249097</v>
      </c>
    </row>
    <row r="803" customHeight="1" spans="1:7">
      <c r="A803" s="314"/>
      <c r="B803" s="327" t="s">
        <v>688</v>
      </c>
      <c r="C803" s="328"/>
      <c r="D803" s="317" t="s">
        <v>70</v>
      </c>
      <c r="E803" s="326">
        <v>111.2</v>
      </c>
      <c r="F803" s="326">
        <f>主要材料预算!$D$11</f>
        <v>118.11322</v>
      </c>
      <c r="G803" s="329">
        <f t="shared" si="86"/>
        <v>13134.190064</v>
      </c>
    </row>
    <row r="804" customHeight="1" spans="1:7">
      <c r="A804" s="314"/>
      <c r="B804" s="327" t="s">
        <v>1113</v>
      </c>
      <c r="C804" s="328"/>
      <c r="D804" s="317" t="s">
        <v>70</v>
      </c>
      <c r="E804" s="326">
        <v>37.1</v>
      </c>
      <c r="F804" s="326">
        <f>混凝土单价计算表!$M$13</f>
        <v>135.58885</v>
      </c>
      <c r="G804" s="329">
        <f t="shared" si="86"/>
        <v>5030.346335</v>
      </c>
    </row>
    <row r="805" customHeight="1" spans="1:7">
      <c r="A805" s="314"/>
      <c r="B805" s="327" t="s">
        <v>893</v>
      </c>
      <c r="C805" s="328"/>
      <c r="D805" s="317" t="s">
        <v>894</v>
      </c>
      <c r="E805" s="147">
        <f>SUM(G803:G804)</f>
        <v>18164.536399</v>
      </c>
      <c r="F805" s="330">
        <v>3</v>
      </c>
      <c r="G805" s="329">
        <f>E805*F805/100</f>
        <v>544.93609197</v>
      </c>
    </row>
    <row r="806" customHeight="1" spans="1:7">
      <c r="A806" s="314" t="s">
        <v>21</v>
      </c>
      <c r="B806" s="327" t="s">
        <v>895</v>
      </c>
      <c r="C806" s="328"/>
      <c r="D806" s="317"/>
      <c r="E806" s="147"/>
      <c r="F806" s="326"/>
      <c r="G806" s="329">
        <f>SUM(G807:G811)</f>
        <v>1660.32585571775</v>
      </c>
    </row>
    <row r="807" customHeight="1" spans="1:7">
      <c r="A807" s="314"/>
      <c r="B807" s="327" t="s">
        <v>899</v>
      </c>
      <c r="C807" s="328"/>
      <c r="D807" s="317" t="s">
        <v>896</v>
      </c>
      <c r="E807" s="147">
        <v>6.68</v>
      </c>
      <c r="F807" s="326">
        <f>施工机械台时费!$E$21</f>
        <v>37.4199521340247</v>
      </c>
      <c r="G807" s="329">
        <f t="shared" ref="G807:G810" si="87">E807*F807</f>
        <v>249.965280255285</v>
      </c>
    </row>
    <row r="808" customHeight="1" spans="1:7">
      <c r="A808" s="314"/>
      <c r="B808" s="327" t="s">
        <v>1217</v>
      </c>
      <c r="C808" s="328"/>
      <c r="D808" s="317" t="s">
        <v>896</v>
      </c>
      <c r="E808" s="147">
        <v>5.56</v>
      </c>
      <c r="F808" s="326">
        <f>施工机械台时费!$E$8</f>
        <v>119.591356601516</v>
      </c>
      <c r="G808" s="329">
        <f t="shared" si="87"/>
        <v>664.927942704428</v>
      </c>
    </row>
    <row r="809" customHeight="1" spans="1:7">
      <c r="A809" s="314"/>
      <c r="B809" s="327" t="s">
        <v>1218</v>
      </c>
      <c r="C809" s="328"/>
      <c r="D809" s="317" t="s">
        <v>896</v>
      </c>
      <c r="E809" s="147">
        <v>9.52</v>
      </c>
      <c r="F809" s="326">
        <f>施工机械台时费!$E$35</f>
        <v>17.1951356202633</v>
      </c>
      <c r="G809" s="329">
        <f t="shared" si="87"/>
        <v>163.697691104906</v>
      </c>
    </row>
    <row r="810" customHeight="1" spans="1:7">
      <c r="A810" s="314"/>
      <c r="B810" s="327" t="s">
        <v>1219</v>
      </c>
      <c r="C810" s="328"/>
      <c r="D810" s="317" t="s">
        <v>896</v>
      </c>
      <c r="E810" s="147">
        <v>2.37</v>
      </c>
      <c r="F810" s="326">
        <f>施工机械台时费!$E$7</f>
        <v>225.053137614679</v>
      </c>
      <c r="G810" s="329">
        <f t="shared" si="87"/>
        <v>533.375936146789</v>
      </c>
    </row>
    <row r="811" customHeight="1" spans="1:7">
      <c r="A811" s="314"/>
      <c r="B811" s="327" t="s">
        <v>902</v>
      </c>
      <c r="C811" s="328"/>
      <c r="D811" s="317" t="s">
        <v>894</v>
      </c>
      <c r="E811" s="147">
        <f>SUM(G807:G810)</f>
        <v>1611.96685021141</v>
      </c>
      <c r="F811" s="326">
        <v>3</v>
      </c>
      <c r="G811" s="329">
        <f>E811*F811/100</f>
        <v>48.3590055063422</v>
      </c>
    </row>
    <row r="812" customHeight="1" spans="1:7">
      <c r="A812" s="314" t="s">
        <v>905</v>
      </c>
      <c r="B812" s="327" t="s">
        <v>514</v>
      </c>
      <c r="C812" s="328"/>
      <c r="D812" s="317"/>
      <c r="E812" s="332">
        <f>G798</f>
        <v>35053.6514466877</v>
      </c>
      <c r="F812" s="333">
        <f>费率表!$E$12</f>
        <v>0.064</v>
      </c>
      <c r="G812" s="329">
        <f t="shared" ref="G812:G814" si="88">E812*F812</f>
        <v>2243.43369258802</v>
      </c>
    </row>
    <row r="813" customHeight="1" spans="1:7">
      <c r="A813" s="314" t="s">
        <v>10</v>
      </c>
      <c r="B813" s="327" t="s">
        <v>770</v>
      </c>
      <c r="C813" s="328"/>
      <c r="D813" s="317"/>
      <c r="E813" s="326">
        <f>G797</f>
        <v>37297.0851392758</v>
      </c>
      <c r="F813" s="334">
        <f>费率表!$E$13</f>
        <v>0.085</v>
      </c>
      <c r="G813" s="329">
        <f t="shared" si="88"/>
        <v>3170.25223683844</v>
      </c>
    </row>
    <row r="814" customHeight="1" spans="1:7">
      <c r="A814" s="314" t="s">
        <v>12</v>
      </c>
      <c r="B814" s="327" t="s">
        <v>771</v>
      </c>
      <c r="C814" s="328"/>
      <c r="D814" s="317"/>
      <c r="E814" s="326">
        <f>G797+G813</f>
        <v>40467.3373761142</v>
      </c>
      <c r="F814" s="334">
        <f>费率表!$E$14</f>
        <v>0.07</v>
      </c>
      <c r="G814" s="329">
        <f t="shared" si="88"/>
        <v>2832.71361632799</v>
      </c>
    </row>
    <row r="815" customHeight="1" spans="1:7">
      <c r="A815" s="314" t="s">
        <v>15</v>
      </c>
      <c r="B815" s="327" t="s">
        <v>517</v>
      </c>
      <c r="C815" s="328"/>
      <c r="D815" s="317"/>
      <c r="E815" s="326"/>
      <c r="F815" s="349"/>
      <c r="G815" s="329">
        <f>SUM(G816:G819)</f>
        <v>3727.09566752429</v>
      </c>
    </row>
    <row r="816" customHeight="1" spans="1:7">
      <c r="A816" s="314"/>
      <c r="B816" s="327" t="s">
        <v>688</v>
      </c>
      <c r="C816" s="328"/>
      <c r="D816" s="317" t="s">
        <v>70</v>
      </c>
      <c r="E816" s="326">
        <f>E803</f>
        <v>111.2</v>
      </c>
      <c r="F816" s="357"/>
      <c r="G816" s="329">
        <f t="shared" ref="G816:G821" si="89">E816*F816</f>
        <v>0</v>
      </c>
    </row>
    <row r="817" customHeight="1" spans="1:7">
      <c r="A817" s="314"/>
      <c r="B817" s="327" t="s">
        <v>729</v>
      </c>
      <c r="C817" s="328"/>
      <c r="D817" s="317" t="s">
        <v>204</v>
      </c>
      <c r="E817" s="326">
        <f>E804*混凝土单价计算表!$E$13</f>
        <v>8.327466</v>
      </c>
      <c r="F817" s="357">
        <f>主要材料预算!$N$5</f>
        <v>139.17214</v>
      </c>
      <c r="G817" s="329">
        <f t="shared" si="89"/>
        <v>1158.95126399724</v>
      </c>
    </row>
    <row r="818" customHeight="1" spans="1:7">
      <c r="A818" s="314"/>
      <c r="B818" s="327" t="s">
        <v>684</v>
      </c>
      <c r="C818" s="328"/>
      <c r="D818" s="317" t="s">
        <v>70</v>
      </c>
      <c r="E818" s="326">
        <f>E804*混凝土单价计算表!$G$13</f>
        <v>41.181</v>
      </c>
      <c r="F818" s="329">
        <f>主要材料预算!$N$8</f>
        <v>37.09111</v>
      </c>
      <c r="G818" s="329">
        <f t="shared" si="89"/>
        <v>1527.44900091</v>
      </c>
    </row>
    <row r="819" customHeight="1" spans="1:7">
      <c r="A819" s="314"/>
      <c r="B819" s="327" t="s">
        <v>694</v>
      </c>
      <c r="C819" s="328"/>
      <c r="D819" s="317" t="s">
        <v>695</v>
      </c>
      <c r="E819" s="326">
        <f>E808*施工机械台时费!$L$8+E809*施工机械台时费!$L$35+E810*施工机械台时费!$L$7</f>
        <v>171.686</v>
      </c>
      <c r="F819" s="431">
        <f>主要材料预算!$N$13</f>
        <v>6.0616206482593</v>
      </c>
      <c r="G819" s="329">
        <f t="shared" si="89"/>
        <v>1040.69540261705</v>
      </c>
    </row>
    <row r="820" customHeight="1" spans="1:7">
      <c r="A820" s="314" t="s">
        <v>906</v>
      </c>
      <c r="B820" s="327" t="s">
        <v>772</v>
      </c>
      <c r="C820" s="328"/>
      <c r="D820" s="317"/>
      <c r="E820" s="326">
        <f>G797+G813++G814+G815</f>
        <v>47027.1466599665</v>
      </c>
      <c r="F820" s="334">
        <f>费率表!$E$15</f>
        <v>0.09</v>
      </c>
      <c r="G820" s="329">
        <f t="shared" si="89"/>
        <v>4232.44319939698</v>
      </c>
    </row>
    <row r="821" customHeight="1" spans="1:7">
      <c r="A821" s="314"/>
      <c r="B821" s="327" t="s">
        <v>907</v>
      </c>
      <c r="C821" s="328"/>
      <c r="D821" s="317"/>
      <c r="E821" s="326">
        <f>G797+G813+G814+G815+G820</f>
        <v>51259.5898593635</v>
      </c>
      <c r="F821" s="334">
        <f>费率表!$I$19</f>
        <v>0.03</v>
      </c>
      <c r="G821" s="329">
        <f t="shared" si="89"/>
        <v>1537.7876957809</v>
      </c>
    </row>
    <row r="822" customHeight="1" spans="1:7">
      <c r="A822" s="335"/>
      <c r="B822" s="336" t="s">
        <v>39</v>
      </c>
      <c r="C822" s="337"/>
      <c r="D822" s="338"/>
      <c r="E822" s="339"/>
      <c r="F822" s="338"/>
      <c r="G822" s="340">
        <f>G797+G813+G814+G815+G820+G821</f>
        <v>52797.3775551444</v>
      </c>
    </row>
    <row r="824" customHeight="1" spans="1:7">
      <c r="A824" s="430" t="s">
        <v>868</v>
      </c>
      <c r="B824" s="430"/>
      <c r="C824" s="430"/>
      <c r="D824" s="430"/>
      <c r="E824" s="430"/>
      <c r="F824" s="430"/>
      <c r="G824" s="430"/>
    </row>
    <row r="825" customHeight="1" spans="1:7">
      <c r="A825" s="309" t="s">
        <v>869</v>
      </c>
      <c r="B825" s="310"/>
      <c r="C825" s="310" t="s">
        <v>21</v>
      </c>
      <c r="D825" s="310" t="s">
        <v>870</v>
      </c>
      <c r="E825" s="311" t="s">
        <v>1114</v>
      </c>
      <c r="F825" s="312"/>
      <c r="G825" s="313"/>
    </row>
    <row r="826" customHeight="1" spans="1:7">
      <c r="A826" s="314" t="s">
        <v>507</v>
      </c>
      <c r="B826" s="315"/>
      <c r="C826" s="316" t="s">
        <v>1220</v>
      </c>
      <c r="D826" s="316"/>
      <c r="E826" s="316"/>
      <c r="F826" s="317" t="s">
        <v>873</v>
      </c>
      <c r="G826" s="318" t="s">
        <v>874</v>
      </c>
    </row>
    <row r="827" customHeight="1" spans="1:7">
      <c r="A827" s="319" t="s">
        <v>875</v>
      </c>
      <c r="B827" s="320"/>
      <c r="C827" s="320"/>
      <c r="D827" s="320"/>
      <c r="E827" s="320"/>
      <c r="F827" s="320"/>
      <c r="G827" s="321"/>
    </row>
    <row r="828" customHeight="1" spans="1:7">
      <c r="A828" s="322" t="s">
        <v>876</v>
      </c>
      <c r="B828" s="323"/>
      <c r="C828" s="324"/>
      <c r="D828" s="324"/>
      <c r="E828" s="324"/>
      <c r="F828" s="324"/>
      <c r="G828" s="325"/>
    </row>
    <row r="829" customHeight="1" spans="1:7">
      <c r="A829" s="314" t="s">
        <v>34</v>
      </c>
      <c r="B829" s="317" t="s">
        <v>761</v>
      </c>
      <c r="C829" s="317"/>
      <c r="D829" s="317" t="s">
        <v>60</v>
      </c>
      <c r="E829" s="326" t="s">
        <v>877</v>
      </c>
      <c r="F829" s="317" t="s">
        <v>878</v>
      </c>
      <c r="G829" s="318" t="s">
        <v>879</v>
      </c>
    </row>
    <row r="830" customHeight="1" spans="1:7">
      <c r="A830" s="314" t="s">
        <v>8</v>
      </c>
      <c r="B830" s="327" t="s">
        <v>880</v>
      </c>
      <c r="C830" s="328"/>
      <c r="D830" s="317"/>
      <c r="E830" s="326"/>
      <c r="F830" s="326"/>
      <c r="G830" s="329">
        <f>G831+G845</f>
        <v>41546.8754224758</v>
      </c>
    </row>
    <row r="831" customHeight="1" spans="1:7">
      <c r="A831" s="314" t="s">
        <v>881</v>
      </c>
      <c r="B831" s="327" t="s">
        <v>882</v>
      </c>
      <c r="C831" s="328"/>
      <c r="D831" s="317"/>
      <c r="E831" s="326"/>
      <c r="F831" s="326"/>
      <c r="G831" s="329">
        <f>G832+G835+G839</f>
        <v>39047.8152466878</v>
      </c>
    </row>
    <row r="832" customHeight="1" spans="1:7">
      <c r="A832" s="314" t="s">
        <v>17</v>
      </c>
      <c r="B832" s="327" t="s">
        <v>510</v>
      </c>
      <c r="C832" s="328"/>
      <c r="D832" s="317"/>
      <c r="E832" s="326"/>
      <c r="F832" s="326"/>
      <c r="G832" s="329">
        <f>SUM(G833:G834)</f>
        <v>18678.0169</v>
      </c>
    </row>
    <row r="833" customHeight="1" spans="1:7">
      <c r="A833" s="314"/>
      <c r="B833" s="327" t="s">
        <v>704</v>
      </c>
      <c r="C833" s="328"/>
      <c r="D833" s="317" t="s">
        <v>705</v>
      </c>
      <c r="E833" s="326">
        <v>1581.85</v>
      </c>
      <c r="F833" s="326">
        <f>主要材料预算!$D$19</f>
        <v>8.1</v>
      </c>
      <c r="G833" s="329">
        <f t="shared" ref="G833:G837" si="90">E833*F833</f>
        <v>12812.985</v>
      </c>
    </row>
    <row r="834" customHeight="1" spans="1:7">
      <c r="A834" s="314"/>
      <c r="B834" s="327" t="s">
        <v>706</v>
      </c>
      <c r="C834" s="328"/>
      <c r="D834" s="317" t="s">
        <v>705</v>
      </c>
      <c r="E834" s="326">
        <v>1016.47</v>
      </c>
      <c r="F834" s="326">
        <f>主要材料预算!$D$20</f>
        <v>5.77</v>
      </c>
      <c r="G834" s="329">
        <f t="shared" si="90"/>
        <v>5865.0319</v>
      </c>
    </row>
    <row r="835" customHeight="1" spans="1:7">
      <c r="A835" s="314" t="s">
        <v>19</v>
      </c>
      <c r="B835" s="327" t="s">
        <v>511</v>
      </c>
      <c r="C835" s="328"/>
      <c r="D835" s="317"/>
      <c r="E835" s="326"/>
      <c r="F835" s="326"/>
      <c r="G835" s="329">
        <f>SUM(G836:G838)</f>
        <v>18709.47249097</v>
      </c>
    </row>
    <row r="836" customHeight="1" spans="1:7">
      <c r="A836" s="314"/>
      <c r="B836" s="327" t="s">
        <v>688</v>
      </c>
      <c r="C836" s="328"/>
      <c r="D836" s="317" t="s">
        <v>70</v>
      </c>
      <c r="E836" s="326">
        <v>111.2</v>
      </c>
      <c r="F836" s="326">
        <f>主要材料预算!$D$11</f>
        <v>118.11322</v>
      </c>
      <c r="G836" s="329">
        <f t="shared" si="90"/>
        <v>13134.190064</v>
      </c>
    </row>
    <row r="837" customHeight="1" spans="1:7">
      <c r="A837" s="314"/>
      <c r="B837" s="327" t="s">
        <v>1113</v>
      </c>
      <c r="C837" s="328"/>
      <c r="D837" s="317" t="s">
        <v>70</v>
      </c>
      <c r="E837" s="326">
        <v>37.1</v>
      </c>
      <c r="F837" s="326">
        <f>混凝土单价计算表!$M$13</f>
        <v>135.58885</v>
      </c>
      <c r="G837" s="329">
        <f t="shared" si="90"/>
        <v>5030.346335</v>
      </c>
    </row>
    <row r="838" customHeight="1" spans="1:7">
      <c r="A838" s="314"/>
      <c r="B838" s="327" t="s">
        <v>893</v>
      </c>
      <c r="C838" s="328"/>
      <c r="D838" s="317" t="s">
        <v>894</v>
      </c>
      <c r="E838" s="147">
        <f>SUM(G836:G837)</f>
        <v>18164.536399</v>
      </c>
      <c r="F838" s="330">
        <v>3</v>
      </c>
      <c r="G838" s="329">
        <f>E838*F838/100</f>
        <v>544.93609197</v>
      </c>
    </row>
    <row r="839" customHeight="1" spans="1:7">
      <c r="A839" s="314" t="s">
        <v>21</v>
      </c>
      <c r="B839" s="327" t="s">
        <v>895</v>
      </c>
      <c r="C839" s="328"/>
      <c r="D839" s="317"/>
      <c r="E839" s="147"/>
      <c r="F839" s="326"/>
      <c r="G839" s="329">
        <f>SUM(G840:G844)</f>
        <v>1660.32585571775</v>
      </c>
    </row>
    <row r="840" customHeight="1" spans="1:7">
      <c r="A840" s="314"/>
      <c r="B840" s="327" t="s">
        <v>899</v>
      </c>
      <c r="C840" s="328"/>
      <c r="D840" s="317" t="s">
        <v>896</v>
      </c>
      <c r="E840" s="147">
        <v>6.68</v>
      </c>
      <c r="F840" s="326">
        <f>施工机械台时费!$E$21</f>
        <v>37.4199521340247</v>
      </c>
      <c r="G840" s="329">
        <f t="shared" ref="G840:G843" si="91">E840*F840</f>
        <v>249.965280255285</v>
      </c>
    </row>
    <row r="841" customHeight="1" spans="1:7">
      <c r="A841" s="314"/>
      <c r="B841" s="327" t="s">
        <v>1217</v>
      </c>
      <c r="C841" s="328"/>
      <c r="D841" s="317" t="s">
        <v>896</v>
      </c>
      <c r="E841" s="147">
        <v>5.56</v>
      </c>
      <c r="F841" s="326">
        <f>施工机械台时费!$E$8</f>
        <v>119.591356601516</v>
      </c>
      <c r="G841" s="329">
        <f t="shared" si="91"/>
        <v>664.927942704428</v>
      </c>
    </row>
    <row r="842" customHeight="1" spans="1:7">
      <c r="A842" s="314"/>
      <c r="B842" s="327" t="s">
        <v>1218</v>
      </c>
      <c r="C842" s="328"/>
      <c r="D842" s="317" t="s">
        <v>896</v>
      </c>
      <c r="E842" s="147">
        <v>9.52</v>
      </c>
      <c r="F842" s="326">
        <f>施工机械台时费!$E$35</f>
        <v>17.1951356202633</v>
      </c>
      <c r="G842" s="329">
        <f t="shared" si="91"/>
        <v>163.697691104906</v>
      </c>
    </row>
    <row r="843" customHeight="1" spans="1:7">
      <c r="A843" s="314"/>
      <c r="B843" s="327" t="s">
        <v>1219</v>
      </c>
      <c r="C843" s="328"/>
      <c r="D843" s="317" t="s">
        <v>896</v>
      </c>
      <c r="E843" s="147">
        <v>2.37</v>
      </c>
      <c r="F843" s="326">
        <f>施工机械台时费!$E$7</f>
        <v>225.053137614679</v>
      </c>
      <c r="G843" s="329">
        <f t="shared" si="91"/>
        <v>533.375936146789</v>
      </c>
    </row>
    <row r="844" customHeight="1" spans="1:7">
      <c r="A844" s="314"/>
      <c r="B844" s="327" t="s">
        <v>902</v>
      </c>
      <c r="C844" s="328"/>
      <c r="D844" s="317" t="s">
        <v>894</v>
      </c>
      <c r="E844" s="147">
        <f>SUM(G840:G843)</f>
        <v>1611.96685021141</v>
      </c>
      <c r="F844" s="326">
        <v>3</v>
      </c>
      <c r="G844" s="329">
        <f>E844*F844/100</f>
        <v>48.3590055063422</v>
      </c>
    </row>
    <row r="845" customHeight="1" spans="1:7">
      <c r="A845" s="314" t="s">
        <v>905</v>
      </c>
      <c r="B845" s="327" t="s">
        <v>514</v>
      </c>
      <c r="C845" s="328"/>
      <c r="D845" s="317"/>
      <c r="E845" s="332">
        <f>G831</f>
        <v>39047.8152466878</v>
      </c>
      <c r="F845" s="333">
        <f>费率表!$E$12</f>
        <v>0.064</v>
      </c>
      <c r="G845" s="329">
        <f t="shared" ref="G845:G847" si="92">E845*F845</f>
        <v>2499.06017578802</v>
      </c>
    </row>
    <row r="846" customHeight="1" spans="1:7">
      <c r="A846" s="314" t="s">
        <v>10</v>
      </c>
      <c r="B846" s="327" t="s">
        <v>770</v>
      </c>
      <c r="C846" s="328"/>
      <c r="D846" s="317"/>
      <c r="E846" s="326">
        <f>G830</f>
        <v>41546.8754224758</v>
      </c>
      <c r="F846" s="334">
        <f>费率表!$E$13</f>
        <v>0.085</v>
      </c>
      <c r="G846" s="329">
        <f t="shared" si="92"/>
        <v>3531.48441091044</v>
      </c>
    </row>
    <row r="847" customHeight="1" spans="1:7">
      <c r="A847" s="314" t="s">
        <v>12</v>
      </c>
      <c r="B847" s="327" t="s">
        <v>771</v>
      </c>
      <c r="C847" s="328"/>
      <c r="D847" s="317"/>
      <c r="E847" s="326">
        <f>G830+G846</f>
        <v>45078.3598333862</v>
      </c>
      <c r="F847" s="334">
        <f>费率表!$E$14</f>
        <v>0.07</v>
      </c>
      <c r="G847" s="329">
        <f t="shared" si="92"/>
        <v>3155.48518833703</v>
      </c>
    </row>
    <row r="848" customHeight="1" spans="1:7">
      <c r="A848" s="314" t="s">
        <v>15</v>
      </c>
      <c r="B848" s="327" t="s">
        <v>517</v>
      </c>
      <c r="C848" s="328"/>
      <c r="D848" s="317"/>
      <c r="E848" s="326"/>
      <c r="F848" s="349"/>
      <c r="G848" s="329">
        <f>SUM(G849:G852)</f>
        <v>3727.09566752429</v>
      </c>
    </row>
    <row r="849" customHeight="1" spans="1:7">
      <c r="A849" s="314"/>
      <c r="B849" s="327" t="s">
        <v>688</v>
      </c>
      <c r="C849" s="328"/>
      <c r="D849" s="317" t="s">
        <v>70</v>
      </c>
      <c r="E849" s="326">
        <f>E836</f>
        <v>111.2</v>
      </c>
      <c r="F849" s="357"/>
      <c r="G849" s="329">
        <f t="shared" ref="G849:G854" si="93">E849*F849</f>
        <v>0</v>
      </c>
    </row>
    <row r="850" customHeight="1" spans="1:7">
      <c r="A850" s="314"/>
      <c r="B850" s="327" t="s">
        <v>729</v>
      </c>
      <c r="C850" s="328"/>
      <c r="D850" s="317" t="s">
        <v>204</v>
      </c>
      <c r="E850" s="326">
        <f>E837*混凝土单价计算表!$E$13</f>
        <v>8.327466</v>
      </c>
      <c r="F850" s="357">
        <f>主要材料预算!$N$5</f>
        <v>139.17214</v>
      </c>
      <c r="G850" s="329">
        <f t="shared" si="93"/>
        <v>1158.95126399724</v>
      </c>
    </row>
    <row r="851" customHeight="1" spans="1:7">
      <c r="A851" s="314"/>
      <c r="B851" s="327" t="s">
        <v>684</v>
      </c>
      <c r="C851" s="328"/>
      <c r="D851" s="317" t="s">
        <v>70</v>
      </c>
      <c r="E851" s="326">
        <f>E837*混凝土单价计算表!$G$13</f>
        <v>41.181</v>
      </c>
      <c r="F851" s="329">
        <f>主要材料预算!$N$8</f>
        <v>37.09111</v>
      </c>
      <c r="G851" s="329">
        <f t="shared" si="93"/>
        <v>1527.44900091</v>
      </c>
    </row>
    <row r="852" customHeight="1" spans="1:7">
      <c r="A852" s="314"/>
      <c r="B852" s="327" t="s">
        <v>694</v>
      </c>
      <c r="C852" s="328"/>
      <c r="D852" s="317" t="s">
        <v>695</v>
      </c>
      <c r="E852" s="326">
        <f>E841*施工机械台时费!$L$8+E842*施工机械台时费!$L$35+E843*施工机械台时费!$L$7</f>
        <v>171.686</v>
      </c>
      <c r="F852" s="431">
        <f>主要材料预算!$N$13</f>
        <v>6.0616206482593</v>
      </c>
      <c r="G852" s="329">
        <f t="shared" si="93"/>
        <v>1040.69540261705</v>
      </c>
    </row>
    <row r="853" customHeight="1" spans="1:7">
      <c r="A853" s="314" t="s">
        <v>906</v>
      </c>
      <c r="B853" s="327" t="s">
        <v>772</v>
      </c>
      <c r="C853" s="328"/>
      <c r="D853" s="317"/>
      <c r="E853" s="326">
        <f>G830+G846++G847+G848</f>
        <v>51960.9406892475</v>
      </c>
      <c r="F853" s="334">
        <f>费率表!$E$15</f>
        <v>0.09</v>
      </c>
      <c r="G853" s="329">
        <f t="shared" si="93"/>
        <v>4676.48466203228</v>
      </c>
    </row>
    <row r="854" customHeight="1" spans="1:7">
      <c r="A854" s="314"/>
      <c r="B854" s="327" t="s">
        <v>907</v>
      </c>
      <c r="C854" s="328"/>
      <c r="D854" s="317"/>
      <c r="E854" s="326">
        <f>G830+G846+G847+G848+G853</f>
        <v>56637.4253512798</v>
      </c>
      <c r="F854" s="334">
        <f>费率表!$I$19</f>
        <v>0.03</v>
      </c>
      <c r="G854" s="329">
        <f t="shared" si="93"/>
        <v>1699.12276053839</v>
      </c>
    </row>
    <row r="855" customHeight="1" spans="1:7">
      <c r="A855" s="335"/>
      <c r="B855" s="336" t="s">
        <v>39</v>
      </c>
      <c r="C855" s="337"/>
      <c r="D855" s="338"/>
      <c r="E855" s="339"/>
      <c r="F855" s="338"/>
      <c r="G855" s="340">
        <f>G830+G846+G847+G848+G853+G854</f>
        <v>58336.5481118182</v>
      </c>
    </row>
    <row r="857" customHeight="1" spans="1:7">
      <c r="A857" s="430" t="s">
        <v>868</v>
      </c>
      <c r="B857" s="430"/>
      <c r="C857" s="430"/>
      <c r="D857" s="430"/>
      <c r="E857" s="430"/>
      <c r="F857" s="430"/>
      <c r="G857" s="430"/>
    </row>
    <row r="858" customHeight="1" spans="1:7">
      <c r="A858" s="309" t="s">
        <v>869</v>
      </c>
      <c r="B858" s="310"/>
      <c r="C858" s="310" t="s">
        <v>23</v>
      </c>
      <c r="D858" s="310" t="s">
        <v>870</v>
      </c>
      <c r="E858" s="311" t="s">
        <v>1116</v>
      </c>
      <c r="F858" s="312"/>
      <c r="G858" s="313"/>
    </row>
    <row r="859" customHeight="1" spans="1:7">
      <c r="A859" s="314" t="s">
        <v>507</v>
      </c>
      <c r="B859" s="315"/>
      <c r="C859" s="316" t="s">
        <v>1221</v>
      </c>
      <c r="D859" s="316"/>
      <c r="E859" s="316"/>
      <c r="F859" s="317" t="s">
        <v>873</v>
      </c>
      <c r="G859" s="318" t="s">
        <v>874</v>
      </c>
    </row>
    <row r="860" customHeight="1" spans="1:7">
      <c r="A860" s="319" t="s">
        <v>875</v>
      </c>
      <c r="B860" s="320"/>
      <c r="C860" s="320"/>
      <c r="D860" s="320"/>
      <c r="E860" s="320"/>
      <c r="F860" s="320"/>
      <c r="G860" s="321"/>
    </row>
    <row r="861" customHeight="1" spans="1:7">
      <c r="A861" s="322" t="s">
        <v>876</v>
      </c>
      <c r="B861" s="323"/>
      <c r="C861" s="324"/>
      <c r="D861" s="324"/>
      <c r="E861" s="324"/>
      <c r="F861" s="324"/>
      <c r="G861" s="325"/>
    </row>
    <row r="862" customHeight="1" spans="1:7">
      <c r="A862" s="314" t="s">
        <v>34</v>
      </c>
      <c r="B862" s="317" t="s">
        <v>761</v>
      </c>
      <c r="C862" s="317"/>
      <c r="D862" s="317" t="s">
        <v>60</v>
      </c>
      <c r="E862" s="326" t="s">
        <v>877</v>
      </c>
      <c r="F862" s="317" t="s">
        <v>878</v>
      </c>
      <c r="G862" s="318" t="s">
        <v>879</v>
      </c>
    </row>
    <row r="863" customHeight="1" spans="1:7">
      <c r="A863" s="314" t="s">
        <v>8</v>
      </c>
      <c r="B863" s="327" t="s">
        <v>880</v>
      </c>
      <c r="C863" s="328"/>
      <c r="D863" s="317"/>
      <c r="E863" s="326"/>
      <c r="F863" s="326"/>
      <c r="G863" s="329">
        <f>G864+G878</f>
        <v>35123.9485417338</v>
      </c>
    </row>
    <row r="864" customHeight="1" spans="1:7">
      <c r="A864" s="314" t="s">
        <v>881</v>
      </c>
      <c r="B864" s="327" t="s">
        <v>882</v>
      </c>
      <c r="C864" s="328"/>
      <c r="D864" s="317"/>
      <c r="E864" s="326"/>
      <c r="F864" s="326"/>
      <c r="G864" s="329">
        <f>G865+G868+G872</f>
        <v>33011.2298324566</v>
      </c>
    </row>
    <row r="865" customHeight="1" spans="1:7">
      <c r="A865" s="314" t="s">
        <v>17</v>
      </c>
      <c r="B865" s="327" t="s">
        <v>510</v>
      </c>
      <c r="C865" s="328"/>
      <c r="D865" s="317"/>
      <c r="E865" s="326"/>
      <c r="F865" s="326"/>
      <c r="G865" s="329">
        <f>SUM(G866:G867)</f>
        <v>13190.8087</v>
      </c>
    </row>
    <row r="866" customHeight="1" spans="1:7">
      <c r="A866" s="314"/>
      <c r="B866" s="327" t="s">
        <v>704</v>
      </c>
      <c r="C866" s="328"/>
      <c r="D866" s="317" t="s">
        <v>705</v>
      </c>
      <c r="E866" s="326">
        <v>1035.46</v>
      </c>
      <c r="F866" s="326">
        <f>主要材料预算!$D$19</f>
        <v>8.1</v>
      </c>
      <c r="G866" s="329">
        <f t="shared" ref="G866:G870" si="94">E866*F866</f>
        <v>8387.226</v>
      </c>
    </row>
    <row r="867" customHeight="1" spans="1:7">
      <c r="A867" s="314"/>
      <c r="B867" s="327" t="s">
        <v>706</v>
      </c>
      <c r="C867" s="328"/>
      <c r="D867" s="317" t="s">
        <v>705</v>
      </c>
      <c r="E867" s="326">
        <v>832.51</v>
      </c>
      <c r="F867" s="326">
        <f>主要材料预算!$D$20</f>
        <v>5.77</v>
      </c>
      <c r="G867" s="329">
        <f t="shared" si="94"/>
        <v>4803.5827</v>
      </c>
    </row>
    <row r="868" customHeight="1" spans="1:7">
      <c r="A868" s="314" t="s">
        <v>19</v>
      </c>
      <c r="B868" s="327" t="s">
        <v>511</v>
      </c>
      <c r="C868" s="328"/>
      <c r="D868" s="317"/>
      <c r="E868" s="326"/>
      <c r="F868" s="326"/>
      <c r="G868" s="329">
        <f>SUM(G869:G871)</f>
        <v>18709.47249097</v>
      </c>
    </row>
    <row r="869" customHeight="1" spans="1:7">
      <c r="A869" s="314"/>
      <c r="B869" s="327" t="s">
        <v>688</v>
      </c>
      <c r="C869" s="328"/>
      <c r="D869" s="317" t="s">
        <v>70</v>
      </c>
      <c r="E869" s="326">
        <v>111.2</v>
      </c>
      <c r="F869" s="326">
        <f>主要材料预算!$D$11</f>
        <v>118.11322</v>
      </c>
      <c r="G869" s="329">
        <f t="shared" si="94"/>
        <v>13134.190064</v>
      </c>
    </row>
    <row r="870" customHeight="1" spans="1:7">
      <c r="A870" s="314"/>
      <c r="B870" s="327" t="s">
        <v>1113</v>
      </c>
      <c r="C870" s="328"/>
      <c r="D870" s="317" t="s">
        <v>70</v>
      </c>
      <c r="E870" s="326">
        <v>37.1</v>
      </c>
      <c r="F870" s="326">
        <f>混凝土单价计算表!$M$13</f>
        <v>135.58885</v>
      </c>
      <c r="G870" s="329">
        <f t="shared" si="94"/>
        <v>5030.346335</v>
      </c>
    </row>
    <row r="871" customHeight="1" spans="1:7">
      <c r="A871" s="314"/>
      <c r="B871" s="327" t="s">
        <v>893</v>
      </c>
      <c r="C871" s="328"/>
      <c r="D871" s="317" t="s">
        <v>894</v>
      </c>
      <c r="E871" s="147">
        <f>SUM(G869:G870)</f>
        <v>18164.536399</v>
      </c>
      <c r="F871" s="330">
        <v>3</v>
      </c>
      <c r="G871" s="329">
        <f>E871*F871/100</f>
        <v>544.93609197</v>
      </c>
    </row>
    <row r="872" customHeight="1" spans="1:7">
      <c r="A872" s="314" t="s">
        <v>21</v>
      </c>
      <c r="B872" s="327" t="s">
        <v>895</v>
      </c>
      <c r="C872" s="328"/>
      <c r="D872" s="317"/>
      <c r="E872" s="147"/>
      <c r="F872" s="326"/>
      <c r="G872" s="329">
        <f>SUM(G873:G877)</f>
        <v>1110.94864148656</v>
      </c>
    </row>
    <row r="873" customHeight="1" spans="1:7">
      <c r="A873" s="314"/>
      <c r="B873" s="327" t="s">
        <v>899</v>
      </c>
      <c r="C873" s="328"/>
      <c r="D873" s="317" t="s">
        <v>896</v>
      </c>
      <c r="E873" s="147">
        <v>6.68</v>
      </c>
      <c r="F873" s="326">
        <f>施工机械台时费!$E$21</f>
        <v>37.4199521340247</v>
      </c>
      <c r="G873" s="329">
        <f t="shared" ref="G873:G876" si="95">E873*F873</f>
        <v>249.965280255285</v>
      </c>
    </row>
    <row r="874" customHeight="1" spans="1:7">
      <c r="A874" s="314"/>
      <c r="B874" s="327" t="s">
        <v>1217</v>
      </c>
      <c r="C874" s="328"/>
      <c r="D874" s="317" t="s">
        <v>896</v>
      </c>
      <c r="E874" s="147">
        <v>5.56</v>
      </c>
      <c r="F874" s="326">
        <f>施工机械台时费!$E$8</f>
        <v>119.591356601516</v>
      </c>
      <c r="G874" s="329">
        <f t="shared" si="95"/>
        <v>664.927942704428</v>
      </c>
    </row>
    <row r="875" customHeight="1" spans="1:7">
      <c r="A875" s="314"/>
      <c r="B875" s="327" t="s">
        <v>1218</v>
      </c>
      <c r="C875" s="328"/>
      <c r="D875" s="317" t="s">
        <v>896</v>
      </c>
      <c r="E875" s="147">
        <v>9.52</v>
      </c>
      <c r="F875" s="326">
        <f>施工机械台时费!$E$35</f>
        <v>17.1951356202633</v>
      </c>
      <c r="G875" s="329">
        <f t="shared" si="95"/>
        <v>163.697691104906</v>
      </c>
    </row>
    <row r="876" customHeight="1" spans="1:7">
      <c r="A876" s="314"/>
      <c r="B876" s="327" t="s">
        <v>1219</v>
      </c>
      <c r="C876" s="328"/>
      <c r="D876" s="317" t="s">
        <v>896</v>
      </c>
      <c r="E876" s="147">
        <v>0</v>
      </c>
      <c r="F876" s="326">
        <f>施工机械台时费!$E$7</f>
        <v>225.053137614679</v>
      </c>
      <c r="G876" s="329">
        <f t="shared" si="95"/>
        <v>0</v>
      </c>
    </row>
    <row r="877" customHeight="1" spans="1:7">
      <c r="A877" s="314"/>
      <c r="B877" s="327" t="s">
        <v>902</v>
      </c>
      <c r="C877" s="328"/>
      <c r="D877" s="317" t="s">
        <v>894</v>
      </c>
      <c r="E877" s="147">
        <f>SUM(G873:G876)</f>
        <v>1078.59091406462</v>
      </c>
      <c r="F877" s="326">
        <v>3</v>
      </c>
      <c r="G877" s="329">
        <f>E877*F877/100</f>
        <v>32.3577274219386</v>
      </c>
    </row>
    <row r="878" customHeight="1" spans="1:7">
      <c r="A878" s="314" t="s">
        <v>905</v>
      </c>
      <c r="B878" s="327" t="s">
        <v>514</v>
      </c>
      <c r="C878" s="328"/>
      <c r="D878" s="317"/>
      <c r="E878" s="332">
        <f>G864</f>
        <v>33011.2298324566</v>
      </c>
      <c r="F878" s="333">
        <f>费率表!$E$12</f>
        <v>0.064</v>
      </c>
      <c r="G878" s="329">
        <f t="shared" ref="G878:G880" si="96">E878*F878</f>
        <v>2112.71870927722</v>
      </c>
    </row>
    <row r="879" customHeight="1" spans="1:7">
      <c r="A879" s="314" t="s">
        <v>10</v>
      </c>
      <c r="B879" s="327" t="s">
        <v>770</v>
      </c>
      <c r="C879" s="328"/>
      <c r="D879" s="317"/>
      <c r="E879" s="326">
        <f>G863</f>
        <v>35123.9485417338</v>
      </c>
      <c r="F879" s="334">
        <f>费率表!$E$13</f>
        <v>0.085</v>
      </c>
      <c r="G879" s="329">
        <f t="shared" si="96"/>
        <v>2985.53562604737</v>
      </c>
    </row>
    <row r="880" customHeight="1" spans="1:7">
      <c r="A880" s="314" t="s">
        <v>12</v>
      </c>
      <c r="B880" s="327" t="s">
        <v>771</v>
      </c>
      <c r="C880" s="328"/>
      <c r="D880" s="317"/>
      <c r="E880" s="326">
        <f>G863+G879</f>
        <v>38109.4841677812</v>
      </c>
      <c r="F880" s="334">
        <f>费率表!$E$14</f>
        <v>0.07</v>
      </c>
      <c r="G880" s="329">
        <f t="shared" si="96"/>
        <v>2667.66389174468</v>
      </c>
    </row>
    <row r="881" customHeight="1" spans="1:7">
      <c r="A881" s="314" t="s">
        <v>15</v>
      </c>
      <c r="B881" s="327" t="s">
        <v>517</v>
      </c>
      <c r="C881" s="328"/>
      <c r="D881" s="317"/>
      <c r="E881" s="326"/>
      <c r="F881" s="349"/>
      <c r="G881" s="329">
        <f>SUM(G882:G885)</f>
        <v>3436.90164060952</v>
      </c>
    </row>
    <row r="882" customHeight="1" spans="1:7">
      <c r="A882" s="314"/>
      <c r="B882" s="327" t="s">
        <v>688</v>
      </c>
      <c r="C882" s="328"/>
      <c r="D882" s="317" t="s">
        <v>70</v>
      </c>
      <c r="E882" s="326">
        <f>E869</f>
        <v>111.2</v>
      </c>
      <c r="F882" s="357"/>
      <c r="G882" s="329">
        <f t="shared" ref="G882:G887" si="97">E882*F882</f>
        <v>0</v>
      </c>
    </row>
    <row r="883" customHeight="1" spans="1:7">
      <c r="A883" s="314"/>
      <c r="B883" s="327" t="s">
        <v>729</v>
      </c>
      <c r="C883" s="328"/>
      <c r="D883" s="317" t="s">
        <v>204</v>
      </c>
      <c r="E883" s="326">
        <f>E870*混凝土单价计算表!$E$13</f>
        <v>8.327466</v>
      </c>
      <c r="F883" s="357">
        <f>主要材料预算!$N$5</f>
        <v>139.17214</v>
      </c>
      <c r="G883" s="329">
        <f t="shared" si="97"/>
        <v>1158.95126399724</v>
      </c>
    </row>
    <row r="884" customHeight="1" spans="1:7">
      <c r="A884" s="314"/>
      <c r="B884" s="327" t="s">
        <v>684</v>
      </c>
      <c r="C884" s="328"/>
      <c r="D884" s="317" t="s">
        <v>70</v>
      </c>
      <c r="E884" s="326">
        <f>E870*混凝土单价计算表!$G$13</f>
        <v>41.181</v>
      </c>
      <c r="F884" s="329">
        <f>主要材料预算!$N$8</f>
        <v>37.09111</v>
      </c>
      <c r="G884" s="329">
        <f t="shared" si="97"/>
        <v>1527.44900091</v>
      </c>
    </row>
    <row r="885" customHeight="1" spans="1:7">
      <c r="A885" s="314"/>
      <c r="B885" s="327" t="s">
        <v>694</v>
      </c>
      <c r="C885" s="328"/>
      <c r="D885" s="317" t="s">
        <v>695</v>
      </c>
      <c r="E885" s="326">
        <f>E874*施工机械台时费!$L$8+E875*施工机械台时费!$L$35+E876*施工机械台时费!$L$7</f>
        <v>123.812</v>
      </c>
      <c r="F885" s="431">
        <f>主要材料预算!$N$13</f>
        <v>6.0616206482593</v>
      </c>
      <c r="G885" s="329">
        <f t="shared" si="97"/>
        <v>750.50137570228</v>
      </c>
    </row>
    <row r="886" customHeight="1" spans="1:7">
      <c r="A886" s="314" t="s">
        <v>906</v>
      </c>
      <c r="B886" s="327" t="s">
        <v>772</v>
      </c>
      <c r="C886" s="328"/>
      <c r="D886" s="317"/>
      <c r="E886" s="326">
        <f>G863+G879++G880+G881</f>
        <v>44214.0497001354</v>
      </c>
      <c r="F886" s="334">
        <f>费率表!$E$15</f>
        <v>0.09</v>
      </c>
      <c r="G886" s="329">
        <f t="shared" si="97"/>
        <v>3979.26447301218</v>
      </c>
    </row>
    <row r="887" customHeight="1" spans="1:7">
      <c r="A887" s="314"/>
      <c r="B887" s="327" t="s">
        <v>907</v>
      </c>
      <c r="C887" s="328"/>
      <c r="D887" s="317"/>
      <c r="E887" s="326">
        <f>G863+G879+G880+G881+G886</f>
        <v>48193.3141731475</v>
      </c>
      <c r="F887" s="334">
        <f>费率表!$I$19</f>
        <v>0.03</v>
      </c>
      <c r="G887" s="329">
        <f t="shared" si="97"/>
        <v>1445.79942519443</v>
      </c>
    </row>
    <row r="888" customHeight="1" spans="1:7">
      <c r="A888" s="335"/>
      <c r="B888" s="336" t="s">
        <v>39</v>
      </c>
      <c r="C888" s="337"/>
      <c r="D888" s="338"/>
      <c r="E888" s="339"/>
      <c r="F888" s="338"/>
      <c r="G888" s="340">
        <f>G863+G879+G880+G881+G886+G887</f>
        <v>49639.113598342</v>
      </c>
    </row>
    <row r="890" customHeight="1" spans="1:7">
      <c r="A890" s="430" t="s">
        <v>868</v>
      </c>
      <c r="B890" s="430"/>
      <c r="C890" s="430"/>
      <c r="D890" s="430"/>
      <c r="E890" s="430"/>
      <c r="F890" s="430"/>
      <c r="G890" s="430"/>
    </row>
    <row r="891" customHeight="1" spans="1:7">
      <c r="A891" s="309" t="s">
        <v>869</v>
      </c>
      <c r="B891" s="310"/>
      <c r="C891" s="310" t="s">
        <v>25</v>
      </c>
      <c r="D891" s="310" t="s">
        <v>870</v>
      </c>
      <c r="E891" s="311" t="s">
        <v>1118</v>
      </c>
      <c r="F891" s="312"/>
      <c r="G891" s="313"/>
    </row>
    <row r="892" customHeight="1" spans="1:7">
      <c r="A892" s="314" t="s">
        <v>507</v>
      </c>
      <c r="B892" s="315"/>
      <c r="C892" s="316" t="s">
        <v>1222</v>
      </c>
      <c r="D892" s="316"/>
      <c r="E892" s="316"/>
      <c r="F892" s="317" t="s">
        <v>873</v>
      </c>
      <c r="G892" s="318" t="s">
        <v>874</v>
      </c>
    </row>
    <row r="893" customHeight="1" spans="1:7">
      <c r="A893" s="319" t="s">
        <v>875</v>
      </c>
      <c r="B893" s="320"/>
      <c r="C893" s="320"/>
      <c r="D893" s="320"/>
      <c r="E893" s="320"/>
      <c r="F893" s="320"/>
      <c r="G893" s="321"/>
    </row>
    <row r="894" customHeight="1" spans="1:7">
      <c r="A894" s="322" t="s">
        <v>876</v>
      </c>
      <c r="B894" s="323"/>
      <c r="C894" s="324"/>
      <c r="D894" s="324"/>
      <c r="E894" s="324"/>
      <c r="F894" s="324"/>
      <c r="G894" s="325"/>
    </row>
    <row r="895" customHeight="1" spans="1:7">
      <c r="A895" s="314" t="s">
        <v>34</v>
      </c>
      <c r="B895" s="317" t="s">
        <v>761</v>
      </c>
      <c r="C895" s="317"/>
      <c r="D895" s="317" t="s">
        <v>60</v>
      </c>
      <c r="E895" s="326" t="s">
        <v>877</v>
      </c>
      <c r="F895" s="317" t="s">
        <v>878</v>
      </c>
      <c r="G895" s="318" t="s">
        <v>879</v>
      </c>
    </row>
    <row r="896" customHeight="1" spans="1:7">
      <c r="A896" s="314" t="s">
        <v>8</v>
      </c>
      <c r="B896" s="327" t="s">
        <v>880</v>
      </c>
      <c r="C896" s="328"/>
      <c r="D896" s="317"/>
      <c r="E896" s="326"/>
      <c r="F896" s="326"/>
      <c r="G896" s="329">
        <f>G897+G911</f>
        <v>32144.4370064285</v>
      </c>
    </row>
    <row r="897" customHeight="1" spans="1:7">
      <c r="A897" s="314" t="s">
        <v>881</v>
      </c>
      <c r="B897" s="327" t="s">
        <v>882</v>
      </c>
      <c r="C897" s="328"/>
      <c r="D897" s="317"/>
      <c r="E897" s="326"/>
      <c r="F897" s="326"/>
      <c r="G897" s="329">
        <f>G898+G901+G905</f>
        <v>30210.9370361171</v>
      </c>
    </row>
    <row r="898" customHeight="1" spans="1:7">
      <c r="A898" s="314" t="s">
        <v>17</v>
      </c>
      <c r="B898" s="327" t="s">
        <v>510</v>
      </c>
      <c r="C898" s="328"/>
      <c r="D898" s="317"/>
      <c r="E898" s="326"/>
      <c r="F898" s="326"/>
      <c r="G898" s="329">
        <f>SUM(G899:G900)</f>
        <v>10768.5144</v>
      </c>
    </row>
    <row r="899" customHeight="1" spans="1:7">
      <c r="A899" s="314"/>
      <c r="B899" s="327" t="s">
        <v>704</v>
      </c>
      <c r="C899" s="328"/>
      <c r="D899" s="317" t="s">
        <v>705</v>
      </c>
      <c r="E899" s="326">
        <v>888.49</v>
      </c>
      <c r="F899" s="326">
        <f>主要材料预算!$D$19</f>
        <v>8.1</v>
      </c>
      <c r="G899" s="329">
        <f t="shared" ref="G899:G903" si="98">E899*F899</f>
        <v>7196.769</v>
      </c>
    </row>
    <row r="900" customHeight="1" spans="1:7">
      <c r="A900" s="314"/>
      <c r="B900" s="327" t="s">
        <v>706</v>
      </c>
      <c r="C900" s="328"/>
      <c r="D900" s="317" t="s">
        <v>705</v>
      </c>
      <c r="E900" s="326">
        <v>619.02</v>
      </c>
      <c r="F900" s="326">
        <f>主要材料预算!$D$20</f>
        <v>5.77</v>
      </c>
      <c r="G900" s="329">
        <f t="shared" si="98"/>
        <v>3571.7454</v>
      </c>
    </row>
    <row r="901" customHeight="1" spans="1:7">
      <c r="A901" s="314" t="s">
        <v>19</v>
      </c>
      <c r="B901" s="327" t="s">
        <v>511</v>
      </c>
      <c r="C901" s="328"/>
      <c r="D901" s="317"/>
      <c r="E901" s="326"/>
      <c r="F901" s="326"/>
      <c r="G901" s="329">
        <f>SUM(G902:G904)</f>
        <v>18346.25379762</v>
      </c>
    </row>
    <row r="902" customHeight="1" spans="1:7">
      <c r="A902" s="314"/>
      <c r="B902" s="327" t="s">
        <v>688</v>
      </c>
      <c r="C902" s="328"/>
      <c r="D902" s="317" t="s">
        <v>70</v>
      </c>
      <c r="E902" s="326">
        <v>111.3</v>
      </c>
      <c r="F902" s="326">
        <f>主要材料预算!$D$11</f>
        <v>118.11322</v>
      </c>
      <c r="G902" s="329">
        <f t="shared" si="98"/>
        <v>13146.001386</v>
      </c>
    </row>
    <row r="903" customHeight="1" spans="1:7">
      <c r="A903" s="314"/>
      <c r="B903" s="327" t="s">
        <v>1113</v>
      </c>
      <c r="C903" s="328"/>
      <c r="D903" s="317" t="s">
        <v>70</v>
      </c>
      <c r="E903" s="326">
        <v>35.7</v>
      </c>
      <c r="F903" s="326">
        <f>混凝土单价计算表!$M$13</f>
        <v>135.58885</v>
      </c>
      <c r="G903" s="329">
        <f t="shared" si="98"/>
        <v>4840.521945</v>
      </c>
    </row>
    <row r="904" customHeight="1" spans="1:7">
      <c r="A904" s="314"/>
      <c r="B904" s="327" t="s">
        <v>893</v>
      </c>
      <c r="C904" s="328"/>
      <c r="D904" s="317" t="s">
        <v>894</v>
      </c>
      <c r="E904" s="147">
        <f>SUM(G902:G903)</f>
        <v>17986.523331</v>
      </c>
      <c r="F904" s="330">
        <v>2</v>
      </c>
      <c r="G904" s="329">
        <f>E904*F904/100</f>
        <v>359.73046662</v>
      </c>
    </row>
    <row r="905" customHeight="1" spans="1:7">
      <c r="A905" s="314" t="s">
        <v>21</v>
      </c>
      <c r="B905" s="327" t="s">
        <v>895</v>
      </c>
      <c r="C905" s="328"/>
      <c r="D905" s="317"/>
      <c r="E905" s="147"/>
      <c r="F905" s="326"/>
      <c r="G905" s="329">
        <f>SUM(G906:G910)</f>
        <v>1096.16883849705</v>
      </c>
    </row>
    <row r="906" customHeight="1" spans="1:7">
      <c r="A906" s="314"/>
      <c r="B906" s="327" t="s">
        <v>899</v>
      </c>
      <c r="C906" s="328"/>
      <c r="D906" s="317" t="s">
        <v>896</v>
      </c>
      <c r="E906" s="147">
        <v>6.43</v>
      </c>
      <c r="F906" s="326">
        <f>施工机械台时费!$E$21</f>
        <v>37.4199521340247</v>
      </c>
      <c r="G906" s="329">
        <f t="shared" ref="G906:G909" si="99">E906*F906</f>
        <v>240.610292221779</v>
      </c>
    </row>
    <row r="907" customHeight="1" spans="1:7">
      <c r="A907" s="314"/>
      <c r="B907" s="327" t="s">
        <v>1217</v>
      </c>
      <c r="C907" s="328"/>
      <c r="D907" s="317" t="s">
        <v>896</v>
      </c>
      <c r="E907" s="147">
        <v>5.57</v>
      </c>
      <c r="F907" s="326">
        <f>施工机械台时费!$E$8</f>
        <v>119.591356601516</v>
      </c>
      <c r="G907" s="329">
        <f t="shared" si="99"/>
        <v>666.123856270443</v>
      </c>
    </row>
    <row r="908" customHeight="1" spans="1:7">
      <c r="A908" s="314"/>
      <c r="B908" s="327" t="s">
        <v>1218</v>
      </c>
      <c r="C908" s="328"/>
      <c r="D908" s="317" t="s">
        <v>896</v>
      </c>
      <c r="E908" s="147">
        <v>9.16</v>
      </c>
      <c r="F908" s="326">
        <f>施工机械台时费!$E$35</f>
        <v>17.1951356202633</v>
      </c>
      <c r="G908" s="329">
        <f t="shared" si="99"/>
        <v>157.507442281611</v>
      </c>
    </row>
    <row r="909" customHeight="1" spans="1:7">
      <c r="A909" s="314"/>
      <c r="B909" s="327" t="s">
        <v>1219</v>
      </c>
      <c r="C909" s="328"/>
      <c r="D909" s="317" t="s">
        <v>896</v>
      </c>
      <c r="E909" s="147">
        <v>0</v>
      </c>
      <c r="F909" s="326">
        <f>施工机械台时费!$E$7</f>
        <v>225.053137614679</v>
      </c>
      <c r="G909" s="329">
        <f t="shared" si="99"/>
        <v>0</v>
      </c>
    </row>
    <row r="910" customHeight="1" spans="1:7">
      <c r="A910" s="314"/>
      <c r="B910" s="327" t="s">
        <v>902</v>
      </c>
      <c r="C910" s="328"/>
      <c r="D910" s="317" t="s">
        <v>894</v>
      </c>
      <c r="E910" s="147">
        <f>SUM(G906:G909)</f>
        <v>1064.24159077383</v>
      </c>
      <c r="F910" s="326">
        <v>3</v>
      </c>
      <c r="G910" s="329">
        <f>E910*F910/100</f>
        <v>31.927247723215</v>
      </c>
    </row>
    <row r="911" customHeight="1" spans="1:7">
      <c r="A911" s="314" t="s">
        <v>905</v>
      </c>
      <c r="B911" s="327" t="s">
        <v>514</v>
      </c>
      <c r="C911" s="328"/>
      <c r="D911" s="317"/>
      <c r="E911" s="332">
        <f>G897</f>
        <v>30210.9370361171</v>
      </c>
      <c r="F911" s="333">
        <f>费率表!$E$12</f>
        <v>0.064</v>
      </c>
      <c r="G911" s="329">
        <f t="shared" ref="G911:G913" si="100">E911*F911</f>
        <v>1933.49997031149</v>
      </c>
    </row>
    <row r="912" customHeight="1" spans="1:7">
      <c r="A912" s="314" t="s">
        <v>10</v>
      </c>
      <c r="B912" s="327" t="s">
        <v>770</v>
      </c>
      <c r="C912" s="328"/>
      <c r="D912" s="317"/>
      <c r="E912" s="326">
        <f>G896</f>
        <v>32144.4370064285</v>
      </c>
      <c r="F912" s="334">
        <f>费率表!$E$13</f>
        <v>0.085</v>
      </c>
      <c r="G912" s="329">
        <f t="shared" si="100"/>
        <v>2732.27714554643</v>
      </c>
    </row>
    <row r="913" customHeight="1" spans="1:7">
      <c r="A913" s="314" t="s">
        <v>12</v>
      </c>
      <c r="B913" s="327" t="s">
        <v>771</v>
      </c>
      <c r="C913" s="328"/>
      <c r="D913" s="317"/>
      <c r="E913" s="326">
        <f>G896+G912</f>
        <v>34876.714151975</v>
      </c>
      <c r="F913" s="334">
        <f>费率表!$E$14</f>
        <v>0.07</v>
      </c>
      <c r="G913" s="329">
        <f t="shared" si="100"/>
        <v>2441.36999063825</v>
      </c>
    </row>
    <row r="914" customHeight="1" spans="1:7">
      <c r="A914" s="314" t="s">
        <v>15</v>
      </c>
      <c r="B914" s="327" t="s">
        <v>517</v>
      </c>
      <c r="C914" s="328"/>
      <c r="D914" s="317"/>
      <c r="E914" s="326"/>
      <c r="F914" s="349"/>
      <c r="G914" s="329">
        <f>SUM(G915:G918)</f>
        <v>3333.44890982501</v>
      </c>
    </row>
    <row r="915" customHeight="1" spans="1:7">
      <c r="A915" s="314"/>
      <c r="B915" s="327" t="s">
        <v>688</v>
      </c>
      <c r="C915" s="328"/>
      <c r="D915" s="317" t="s">
        <v>70</v>
      </c>
      <c r="E915" s="326">
        <f>E902</f>
        <v>111.3</v>
      </c>
      <c r="F915" s="357"/>
      <c r="G915" s="329">
        <f t="shared" ref="G915:G920" si="101">E915*F915</f>
        <v>0</v>
      </c>
    </row>
    <row r="916" customHeight="1" spans="1:7">
      <c r="A916" s="314"/>
      <c r="B916" s="327" t="s">
        <v>729</v>
      </c>
      <c r="C916" s="328"/>
      <c r="D916" s="317" t="s">
        <v>204</v>
      </c>
      <c r="E916" s="326">
        <f>E903*混凝土单价计算表!$E$13</f>
        <v>8.013222</v>
      </c>
      <c r="F916" s="357">
        <f>主要材料预算!$N$5</f>
        <v>139.17214</v>
      </c>
      <c r="G916" s="329">
        <f t="shared" si="101"/>
        <v>1115.21725403508</v>
      </c>
    </row>
    <row r="917" customHeight="1" spans="1:7">
      <c r="A917" s="314"/>
      <c r="B917" s="327" t="s">
        <v>684</v>
      </c>
      <c r="C917" s="328"/>
      <c r="D917" s="317" t="s">
        <v>70</v>
      </c>
      <c r="E917" s="326">
        <f>E903*混凝土单价计算表!$G$13</f>
        <v>39.627</v>
      </c>
      <c r="F917" s="329">
        <f>主要材料预算!$N$8</f>
        <v>37.09111</v>
      </c>
      <c r="G917" s="329">
        <f t="shared" si="101"/>
        <v>1469.80941597</v>
      </c>
    </row>
    <row r="918" customHeight="1" spans="1:7">
      <c r="A918" s="314"/>
      <c r="B918" s="327" t="s">
        <v>694</v>
      </c>
      <c r="C918" s="328"/>
      <c r="D918" s="317" t="s">
        <v>695</v>
      </c>
      <c r="E918" s="326">
        <f>E907*施工机械台时费!$L$8+E908*施工机械台时费!$L$35+E909*施工机械台时费!$L$7</f>
        <v>123.469</v>
      </c>
      <c r="F918" s="431">
        <f>主要材料预算!$N$13</f>
        <v>6.0616206482593</v>
      </c>
      <c r="G918" s="329">
        <f t="shared" si="101"/>
        <v>748.422239819927</v>
      </c>
    </row>
    <row r="919" customHeight="1" spans="1:7">
      <c r="A919" s="314" t="s">
        <v>906</v>
      </c>
      <c r="B919" s="327" t="s">
        <v>772</v>
      </c>
      <c r="C919" s="328"/>
      <c r="D919" s="317"/>
      <c r="E919" s="326">
        <f>G896+G912++G913+G914</f>
        <v>40651.5330524382</v>
      </c>
      <c r="F919" s="334">
        <f>费率表!$E$15</f>
        <v>0.09</v>
      </c>
      <c r="G919" s="329">
        <f t="shared" si="101"/>
        <v>3658.63797471944</v>
      </c>
    </row>
    <row r="920" customHeight="1" spans="1:7">
      <c r="A920" s="314"/>
      <c r="B920" s="327" t="s">
        <v>907</v>
      </c>
      <c r="C920" s="328"/>
      <c r="D920" s="317"/>
      <c r="E920" s="326">
        <f>G896+G912+G913+G914+G919</f>
        <v>44310.1710271577</v>
      </c>
      <c r="F920" s="334">
        <f>费率表!$I$19</f>
        <v>0.03</v>
      </c>
      <c r="G920" s="329">
        <f t="shared" si="101"/>
        <v>1329.30513081473</v>
      </c>
    </row>
    <row r="921" customHeight="1" spans="1:7">
      <c r="A921" s="335"/>
      <c r="B921" s="336" t="s">
        <v>39</v>
      </c>
      <c r="C921" s="337"/>
      <c r="D921" s="338"/>
      <c r="E921" s="339"/>
      <c r="F921" s="338"/>
      <c r="G921" s="340">
        <f>G896+G912+G913+G914+G919+G920</f>
        <v>45639.4761579724</v>
      </c>
    </row>
    <row r="923" customHeight="1" spans="1:7">
      <c r="A923" s="430" t="s">
        <v>868</v>
      </c>
      <c r="B923" s="430"/>
      <c r="C923" s="430"/>
      <c r="D923" s="430"/>
      <c r="E923" s="430"/>
      <c r="F923" s="430"/>
      <c r="G923" s="430"/>
    </row>
    <row r="924" customHeight="1" spans="1:7">
      <c r="A924" s="309" t="s">
        <v>869</v>
      </c>
      <c r="B924" s="310"/>
      <c r="C924" s="310" t="s">
        <v>27</v>
      </c>
      <c r="D924" s="310" t="s">
        <v>870</v>
      </c>
      <c r="E924" s="311" t="s">
        <v>1223</v>
      </c>
      <c r="F924" s="312"/>
      <c r="G924" s="313"/>
    </row>
    <row r="925" customHeight="1" spans="1:7">
      <c r="A925" s="314" t="s">
        <v>507</v>
      </c>
      <c r="B925" s="315"/>
      <c r="C925" s="316" t="s">
        <v>1224</v>
      </c>
      <c r="D925" s="316"/>
      <c r="E925" s="316"/>
      <c r="F925" s="317" t="s">
        <v>873</v>
      </c>
      <c r="G925" s="318" t="s">
        <v>874</v>
      </c>
    </row>
    <row r="926" customHeight="1" spans="1:7">
      <c r="A926" s="319" t="s">
        <v>875</v>
      </c>
      <c r="B926" s="320"/>
      <c r="C926" s="320"/>
      <c r="D926" s="320"/>
      <c r="E926" s="320"/>
      <c r="F926" s="320"/>
      <c r="G926" s="321"/>
    </row>
    <row r="927" customHeight="1" spans="1:7">
      <c r="A927" s="322" t="s">
        <v>876</v>
      </c>
      <c r="B927" s="323"/>
      <c r="C927" s="324"/>
      <c r="D927" s="324"/>
      <c r="E927" s="324"/>
      <c r="F927" s="324"/>
      <c r="G927" s="325"/>
    </row>
    <row r="928" customHeight="1" spans="1:7">
      <c r="A928" s="314" t="s">
        <v>34</v>
      </c>
      <c r="B928" s="317" t="s">
        <v>761</v>
      </c>
      <c r="C928" s="317"/>
      <c r="D928" s="317" t="s">
        <v>60</v>
      </c>
      <c r="E928" s="326" t="s">
        <v>877</v>
      </c>
      <c r="F928" s="317" t="s">
        <v>878</v>
      </c>
      <c r="G928" s="318" t="s">
        <v>879</v>
      </c>
    </row>
    <row r="929" customHeight="1" spans="1:7">
      <c r="A929" s="314" t="s">
        <v>8</v>
      </c>
      <c r="B929" s="327" t="s">
        <v>880</v>
      </c>
      <c r="C929" s="328"/>
      <c r="D929" s="317"/>
      <c r="E929" s="326"/>
      <c r="F929" s="326"/>
      <c r="G929" s="329">
        <f>G930+G944</f>
        <v>36468.23065345</v>
      </c>
    </row>
    <row r="930" customHeight="1" spans="1:7">
      <c r="A930" s="314" t="s">
        <v>881</v>
      </c>
      <c r="B930" s="327" t="s">
        <v>882</v>
      </c>
      <c r="C930" s="328"/>
      <c r="D930" s="317"/>
      <c r="E930" s="326"/>
      <c r="F930" s="326"/>
      <c r="G930" s="329">
        <f>G931+G934+G938</f>
        <v>34274.6528697839</v>
      </c>
    </row>
    <row r="931" customHeight="1" spans="1:7">
      <c r="A931" s="314" t="s">
        <v>17</v>
      </c>
      <c r="B931" s="327" t="s">
        <v>510</v>
      </c>
      <c r="C931" s="328"/>
      <c r="D931" s="317"/>
      <c r="E931" s="326"/>
      <c r="F931" s="326"/>
      <c r="G931" s="329">
        <f>SUM(G932:G933)</f>
        <v>14032.2911</v>
      </c>
    </row>
    <row r="932" customHeight="1" spans="1:7">
      <c r="A932" s="314"/>
      <c r="B932" s="327" t="s">
        <v>704</v>
      </c>
      <c r="C932" s="328"/>
      <c r="D932" s="317" t="s">
        <v>705</v>
      </c>
      <c r="E932" s="326">
        <v>1156.5</v>
      </c>
      <c r="F932" s="326">
        <f>主要材料预算!$D$19</f>
        <v>8.1</v>
      </c>
      <c r="G932" s="329">
        <f t="shared" ref="G932:G936" si="102">E932*F932</f>
        <v>9367.65</v>
      </c>
    </row>
    <row r="933" customHeight="1" spans="1:7">
      <c r="A933" s="314"/>
      <c r="B933" s="327" t="s">
        <v>706</v>
      </c>
      <c r="C933" s="328"/>
      <c r="D933" s="317" t="s">
        <v>705</v>
      </c>
      <c r="E933" s="326">
        <v>808.43</v>
      </c>
      <c r="F933" s="326">
        <f>主要材料预算!$D$20</f>
        <v>5.77</v>
      </c>
      <c r="G933" s="329">
        <f t="shared" si="102"/>
        <v>4664.6411</v>
      </c>
    </row>
    <row r="934" customHeight="1" spans="1:7">
      <c r="A934" s="314" t="s">
        <v>19</v>
      </c>
      <c r="B934" s="327" t="s">
        <v>511</v>
      </c>
      <c r="C934" s="328"/>
      <c r="D934" s="317"/>
      <c r="E934" s="326"/>
      <c r="F934" s="326"/>
      <c r="G934" s="329">
        <f>SUM(G935:G937)</f>
        <v>18606.31296045</v>
      </c>
    </row>
    <row r="935" customHeight="1" spans="1:7">
      <c r="A935" s="314"/>
      <c r="B935" s="327" t="s">
        <v>688</v>
      </c>
      <c r="C935" s="328"/>
      <c r="D935" s="317" t="s">
        <v>70</v>
      </c>
      <c r="E935" s="326">
        <v>111.5</v>
      </c>
      <c r="F935" s="326">
        <f>主要材料预算!$D$11</f>
        <v>118.11322</v>
      </c>
      <c r="G935" s="329">
        <f t="shared" si="102"/>
        <v>13169.62403</v>
      </c>
    </row>
    <row r="936" customHeight="1" spans="1:7">
      <c r="A936" s="314"/>
      <c r="B936" s="327" t="s">
        <v>1113</v>
      </c>
      <c r="C936" s="328"/>
      <c r="D936" s="317" t="s">
        <v>70</v>
      </c>
      <c r="E936" s="326">
        <v>36.1</v>
      </c>
      <c r="F936" s="326">
        <f>混凝土单价计算表!$M$13</f>
        <v>135.58885</v>
      </c>
      <c r="G936" s="329">
        <f t="shared" si="102"/>
        <v>4894.757485</v>
      </c>
    </row>
    <row r="937" customHeight="1" spans="1:7">
      <c r="A937" s="314"/>
      <c r="B937" s="327" t="s">
        <v>893</v>
      </c>
      <c r="C937" s="328"/>
      <c r="D937" s="317" t="s">
        <v>894</v>
      </c>
      <c r="E937" s="147">
        <f>SUM(G935:G936)</f>
        <v>18064.381515</v>
      </c>
      <c r="F937" s="330">
        <v>3</v>
      </c>
      <c r="G937" s="329">
        <f>E937*F937/100</f>
        <v>541.93144545</v>
      </c>
    </row>
    <row r="938" customHeight="1" spans="1:7">
      <c r="A938" s="314" t="s">
        <v>21</v>
      </c>
      <c r="B938" s="327" t="s">
        <v>895</v>
      </c>
      <c r="C938" s="328"/>
      <c r="D938" s="317"/>
      <c r="E938" s="147"/>
      <c r="F938" s="326"/>
      <c r="G938" s="329">
        <f>SUM(G939:G943)</f>
        <v>1636.04880933387</v>
      </c>
    </row>
    <row r="939" customHeight="1" spans="1:7">
      <c r="A939" s="314"/>
      <c r="B939" s="327" t="s">
        <v>899</v>
      </c>
      <c r="C939" s="328"/>
      <c r="D939" s="317" t="s">
        <v>896</v>
      </c>
      <c r="E939" s="147">
        <v>6.5</v>
      </c>
      <c r="F939" s="326">
        <f>施工机械台时费!$E$21</f>
        <v>37.4199521340247</v>
      </c>
      <c r="G939" s="329">
        <f t="shared" ref="G939:G942" si="103">E939*F939</f>
        <v>243.229688871161</v>
      </c>
    </row>
    <row r="940" customHeight="1" spans="1:7">
      <c r="A940" s="314"/>
      <c r="B940" s="327" t="s">
        <v>1217</v>
      </c>
      <c r="C940" s="328"/>
      <c r="D940" s="317" t="s">
        <v>896</v>
      </c>
      <c r="E940" s="147">
        <v>5.58</v>
      </c>
      <c r="F940" s="326">
        <f>施工机械台时费!$E$8</f>
        <v>119.591356601516</v>
      </c>
      <c r="G940" s="329">
        <f t="shared" si="103"/>
        <v>667.319769836458</v>
      </c>
    </row>
    <row r="941" customHeight="1" spans="1:7">
      <c r="A941" s="314"/>
      <c r="B941" s="327" t="s">
        <v>1218</v>
      </c>
      <c r="C941" s="328"/>
      <c r="D941" s="317" t="s">
        <v>896</v>
      </c>
      <c r="E941" s="147">
        <v>9.26</v>
      </c>
      <c r="F941" s="326">
        <f>施工机械台时费!$E$35</f>
        <v>17.1951356202633</v>
      </c>
      <c r="G941" s="329">
        <f t="shared" si="103"/>
        <v>159.226955843638</v>
      </c>
    </row>
    <row r="942" customHeight="1" spans="1:7">
      <c r="A942" s="314"/>
      <c r="B942" s="327" t="s">
        <v>1219</v>
      </c>
      <c r="C942" s="328"/>
      <c r="D942" s="317" t="s">
        <v>896</v>
      </c>
      <c r="E942" s="147">
        <v>2.17</v>
      </c>
      <c r="F942" s="326">
        <f>施工机械台时费!$E$7</f>
        <v>225.053137614679</v>
      </c>
      <c r="G942" s="329">
        <f t="shared" si="103"/>
        <v>488.365308623853</v>
      </c>
    </row>
    <row r="943" customHeight="1" spans="1:7">
      <c r="A943" s="314"/>
      <c r="B943" s="327" t="s">
        <v>902</v>
      </c>
      <c r="C943" s="328"/>
      <c r="D943" s="317" t="s">
        <v>894</v>
      </c>
      <c r="E943" s="147">
        <f>SUM(G939:G942)</f>
        <v>1558.14172317511</v>
      </c>
      <c r="F943" s="326">
        <v>5</v>
      </c>
      <c r="G943" s="329">
        <f>E943*F943/100</f>
        <v>77.9070861587555</v>
      </c>
    </row>
    <row r="944" customHeight="1" spans="1:7">
      <c r="A944" s="314" t="s">
        <v>905</v>
      </c>
      <c r="B944" s="327" t="s">
        <v>514</v>
      </c>
      <c r="C944" s="328"/>
      <c r="D944" s="317"/>
      <c r="E944" s="332">
        <f>G930</f>
        <v>34274.6528697839</v>
      </c>
      <c r="F944" s="333">
        <f>费率表!$E$12</f>
        <v>0.064</v>
      </c>
      <c r="G944" s="329">
        <f t="shared" ref="G944:G946" si="104">E944*F944</f>
        <v>2193.57778366617</v>
      </c>
    </row>
    <row r="945" customHeight="1" spans="1:7">
      <c r="A945" s="314" t="s">
        <v>10</v>
      </c>
      <c r="B945" s="327" t="s">
        <v>770</v>
      </c>
      <c r="C945" s="328"/>
      <c r="D945" s="317"/>
      <c r="E945" s="326">
        <f>G929</f>
        <v>36468.23065345</v>
      </c>
      <c r="F945" s="334">
        <f>费率表!$E$13</f>
        <v>0.085</v>
      </c>
      <c r="G945" s="329">
        <f t="shared" si="104"/>
        <v>3099.79960554325</v>
      </c>
    </row>
    <row r="946" customHeight="1" spans="1:7">
      <c r="A946" s="314" t="s">
        <v>12</v>
      </c>
      <c r="B946" s="327" t="s">
        <v>771</v>
      </c>
      <c r="C946" s="328"/>
      <c r="D946" s="317"/>
      <c r="E946" s="326">
        <f>G929+G945</f>
        <v>39568.0302589933</v>
      </c>
      <c r="F946" s="334">
        <f>费率表!$E$14</f>
        <v>0.07</v>
      </c>
      <c r="G946" s="329">
        <f t="shared" si="104"/>
        <v>2769.76211812953</v>
      </c>
    </row>
    <row r="947" customHeight="1" spans="1:7">
      <c r="A947" s="314" t="s">
        <v>15</v>
      </c>
      <c r="B947" s="327" t="s">
        <v>517</v>
      </c>
      <c r="C947" s="328"/>
      <c r="D947" s="317"/>
      <c r="E947" s="326"/>
      <c r="F947" s="349"/>
      <c r="G947" s="329">
        <f>SUM(G948:G951)</f>
        <v>3630.22125594351</v>
      </c>
    </row>
    <row r="948" customHeight="1" spans="1:7">
      <c r="A948" s="314"/>
      <c r="B948" s="327" t="s">
        <v>688</v>
      </c>
      <c r="C948" s="328"/>
      <c r="D948" s="317" t="s">
        <v>70</v>
      </c>
      <c r="E948" s="326">
        <f>E935</f>
        <v>111.5</v>
      </c>
      <c r="F948" s="357"/>
      <c r="G948" s="329">
        <f t="shared" ref="G948:G953" si="105">E948*F948</f>
        <v>0</v>
      </c>
    </row>
    <row r="949" customHeight="1" spans="1:7">
      <c r="A949" s="314"/>
      <c r="B949" s="327" t="s">
        <v>729</v>
      </c>
      <c r="C949" s="328"/>
      <c r="D949" s="317" t="s">
        <v>204</v>
      </c>
      <c r="E949" s="326">
        <f>E936*混凝土单价计算表!$E$13</f>
        <v>8.103006</v>
      </c>
      <c r="F949" s="357">
        <f>主要材料预算!$N$5</f>
        <v>139.17214</v>
      </c>
      <c r="G949" s="329">
        <f t="shared" si="105"/>
        <v>1127.71268545284</v>
      </c>
    </row>
    <row r="950" customHeight="1" spans="1:7">
      <c r="A950" s="314"/>
      <c r="B950" s="327" t="s">
        <v>684</v>
      </c>
      <c r="C950" s="328"/>
      <c r="D950" s="317" t="s">
        <v>70</v>
      </c>
      <c r="E950" s="326">
        <f>E936*混凝土单价计算表!$G$13</f>
        <v>40.071</v>
      </c>
      <c r="F950" s="329">
        <f>主要材料预算!$N$8</f>
        <v>37.09111</v>
      </c>
      <c r="G950" s="329">
        <f t="shared" si="105"/>
        <v>1486.27786881</v>
      </c>
    </row>
    <row r="951" customHeight="1" spans="1:7">
      <c r="A951" s="314"/>
      <c r="B951" s="327" t="s">
        <v>694</v>
      </c>
      <c r="C951" s="328"/>
      <c r="D951" s="317" t="s">
        <v>695</v>
      </c>
      <c r="E951" s="326">
        <f>E940*施工机械台时费!$L$8+E941*施工机械台时费!$L$35+E942*施工机械台时费!$L$7</f>
        <v>167.65</v>
      </c>
      <c r="F951" s="431">
        <f>主要材料预算!$N$13</f>
        <v>6.0616206482593</v>
      </c>
      <c r="G951" s="329">
        <f t="shared" si="105"/>
        <v>1016.23070168067</v>
      </c>
    </row>
    <row r="952" customHeight="1" spans="1:7">
      <c r="A952" s="314" t="s">
        <v>906</v>
      </c>
      <c r="B952" s="327" t="s">
        <v>772</v>
      </c>
      <c r="C952" s="328"/>
      <c r="D952" s="317"/>
      <c r="E952" s="326">
        <f>G929+G945++G946+G947</f>
        <v>45968.0136330663</v>
      </c>
      <c r="F952" s="334">
        <f>费率表!$E$15</f>
        <v>0.09</v>
      </c>
      <c r="G952" s="329">
        <f t="shared" si="105"/>
        <v>4137.12122697597</v>
      </c>
    </row>
    <row r="953" customHeight="1" spans="1:7">
      <c r="A953" s="314"/>
      <c r="B953" s="327" t="s">
        <v>907</v>
      </c>
      <c r="C953" s="328"/>
      <c r="D953" s="317"/>
      <c r="E953" s="326">
        <f>G929+G945+G946+G947+G952</f>
        <v>50105.1348600423</v>
      </c>
      <c r="F953" s="334">
        <f>费率表!$I$19</f>
        <v>0.03</v>
      </c>
      <c r="G953" s="329">
        <f t="shared" si="105"/>
        <v>1503.15404580127</v>
      </c>
    </row>
    <row r="954" customHeight="1" spans="1:7">
      <c r="A954" s="335"/>
      <c r="B954" s="336" t="s">
        <v>39</v>
      </c>
      <c r="C954" s="337"/>
      <c r="D954" s="338"/>
      <c r="E954" s="339"/>
      <c r="F954" s="338"/>
      <c r="G954" s="340">
        <f>G929+G945+G946+G947+G952+G953</f>
        <v>51608.2889058436</v>
      </c>
    </row>
  </sheetData>
  <mergeCells count="1053">
    <mergeCell ref="A1:G1"/>
    <mergeCell ref="A2:B2"/>
    <mergeCell ref="E2:G2"/>
    <mergeCell ref="A3:B3"/>
    <mergeCell ref="C3:E3"/>
    <mergeCell ref="A4:G4"/>
    <mergeCell ref="A5:G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A27:G27"/>
    <mergeCell ref="A28:B28"/>
    <mergeCell ref="E28:G28"/>
    <mergeCell ref="A29:B29"/>
    <mergeCell ref="C29:E29"/>
    <mergeCell ref="A30:G30"/>
    <mergeCell ref="A31:G31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50:C50"/>
    <mergeCell ref="A52:G52"/>
    <mergeCell ref="A53:B53"/>
    <mergeCell ref="E53:G53"/>
    <mergeCell ref="A54:B54"/>
    <mergeCell ref="C54:E54"/>
    <mergeCell ref="A55:G55"/>
    <mergeCell ref="A56:G56"/>
    <mergeCell ref="B57:C57"/>
    <mergeCell ref="B58:C58"/>
    <mergeCell ref="B59:C59"/>
    <mergeCell ref="B60:C60"/>
    <mergeCell ref="B61:C61"/>
    <mergeCell ref="B62:C62"/>
    <mergeCell ref="B63:C63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A77:G77"/>
    <mergeCell ref="A78:B78"/>
    <mergeCell ref="E78:G78"/>
    <mergeCell ref="A79:B79"/>
    <mergeCell ref="C79:E79"/>
    <mergeCell ref="A80:G80"/>
    <mergeCell ref="A81:G81"/>
    <mergeCell ref="B82:C82"/>
    <mergeCell ref="B83:C83"/>
    <mergeCell ref="B84:C84"/>
    <mergeCell ref="B85:C85"/>
    <mergeCell ref="B86:C86"/>
    <mergeCell ref="B87:C87"/>
    <mergeCell ref="B88:C88"/>
    <mergeCell ref="B89:C89"/>
    <mergeCell ref="B90:C90"/>
    <mergeCell ref="B91:C91"/>
    <mergeCell ref="B92:C92"/>
    <mergeCell ref="B93:C93"/>
    <mergeCell ref="B94:C94"/>
    <mergeCell ref="B95:C95"/>
    <mergeCell ref="B96:C96"/>
    <mergeCell ref="B97:C97"/>
    <mergeCell ref="B98:C98"/>
    <mergeCell ref="B99:C99"/>
    <mergeCell ref="B100:C100"/>
    <mergeCell ref="A102:G102"/>
    <mergeCell ref="A103:B103"/>
    <mergeCell ref="E103:G103"/>
    <mergeCell ref="A104:B104"/>
    <mergeCell ref="C104:E104"/>
    <mergeCell ref="A105:G105"/>
    <mergeCell ref="A106:G106"/>
    <mergeCell ref="B107:C107"/>
    <mergeCell ref="B108:C108"/>
    <mergeCell ref="B109:C109"/>
    <mergeCell ref="B110:C110"/>
    <mergeCell ref="B111:C111"/>
    <mergeCell ref="B112:C112"/>
    <mergeCell ref="B113:C113"/>
    <mergeCell ref="B114:C114"/>
    <mergeCell ref="B115:C115"/>
    <mergeCell ref="B116:C116"/>
    <mergeCell ref="B117:C117"/>
    <mergeCell ref="B118:C118"/>
    <mergeCell ref="B119:C119"/>
    <mergeCell ref="B120:C120"/>
    <mergeCell ref="B121:C121"/>
    <mergeCell ref="B122:C122"/>
    <mergeCell ref="B123:C123"/>
    <mergeCell ref="B124:C124"/>
    <mergeCell ref="B125:C125"/>
    <mergeCell ref="A128:G128"/>
    <mergeCell ref="A129:B129"/>
    <mergeCell ref="E129:G129"/>
    <mergeCell ref="A130:B130"/>
    <mergeCell ref="C130:E130"/>
    <mergeCell ref="A131:G131"/>
    <mergeCell ref="A132:G132"/>
    <mergeCell ref="B133:C133"/>
    <mergeCell ref="B134:C134"/>
    <mergeCell ref="B135:C135"/>
    <mergeCell ref="B136:C136"/>
    <mergeCell ref="B137:C137"/>
    <mergeCell ref="B138:C138"/>
    <mergeCell ref="B139:C139"/>
    <mergeCell ref="B140:C140"/>
    <mergeCell ref="B141:C141"/>
    <mergeCell ref="B142:C142"/>
    <mergeCell ref="B143:C143"/>
    <mergeCell ref="B144:C144"/>
    <mergeCell ref="B145:C145"/>
    <mergeCell ref="B146:C146"/>
    <mergeCell ref="B147:C147"/>
    <mergeCell ref="B148:C148"/>
    <mergeCell ref="B149:C149"/>
    <mergeCell ref="B150:C150"/>
    <mergeCell ref="B151:C151"/>
    <mergeCell ref="B152:C152"/>
    <mergeCell ref="B153:C153"/>
    <mergeCell ref="B154:C154"/>
    <mergeCell ref="B155:C155"/>
    <mergeCell ref="A157:G157"/>
    <mergeCell ref="A158:B158"/>
    <mergeCell ref="E158:G158"/>
    <mergeCell ref="A159:B159"/>
    <mergeCell ref="C159:E159"/>
    <mergeCell ref="A160:G160"/>
    <mergeCell ref="A161:G161"/>
    <mergeCell ref="B162:C162"/>
    <mergeCell ref="B163:C163"/>
    <mergeCell ref="B164:C164"/>
    <mergeCell ref="B165:C165"/>
    <mergeCell ref="B166:C166"/>
    <mergeCell ref="B167:C167"/>
    <mergeCell ref="B168:C168"/>
    <mergeCell ref="B169:C169"/>
    <mergeCell ref="B170:C170"/>
    <mergeCell ref="B171:C171"/>
    <mergeCell ref="B172:C172"/>
    <mergeCell ref="B173:C173"/>
    <mergeCell ref="B174:C174"/>
    <mergeCell ref="B175:C175"/>
    <mergeCell ref="B176:C176"/>
    <mergeCell ref="B177:C177"/>
    <mergeCell ref="B178:C178"/>
    <mergeCell ref="B179:C179"/>
    <mergeCell ref="B180:C180"/>
    <mergeCell ref="B181:C181"/>
    <mergeCell ref="B182:C182"/>
    <mergeCell ref="B183:C183"/>
    <mergeCell ref="B184:C184"/>
    <mergeCell ref="A186:G186"/>
    <mergeCell ref="A187:B187"/>
    <mergeCell ref="E187:G187"/>
    <mergeCell ref="A188:B188"/>
    <mergeCell ref="C188:E188"/>
    <mergeCell ref="A189:G189"/>
    <mergeCell ref="A190:G190"/>
    <mergeCell ref="B191:C191"/>
    <mergeCell ref="B192:C192"/>
    <mergeCell ref="B193:C193"/>
    <mergeCell ref="B194:C194"/>
    <mergeCell ref="B195:C195"/>
    <mergeCell ref="B196:C196"/>
    <mergeCell ref="B197:C197"/>
    <mergeCell ref="B198:C198"/>
    <mergeCell ref="B199:C199"/>
    <mergeCell ref="B200:C200"/>
    <mergeCell ref="B201:C201"/>
    <mergeCell ref="B202:C202"/>
    <mergeCell ref="B203:C203"/>
    <mergeCell ref="B204:C204"/>
    <mergeCell ref="B205:C205"/>
    <mergeCell ref="B206:C206"/>
    <mergeCell ref="B207:C207"/>
    <mergeCell ref="B208:C208"/>
    <mergeCell ref="B209:C209"/>
    <mergeCell ref="B210:C210"/>
    <mergeCell ref="B211:C211"/>
    <mergeCell ref="B212:C212"/>
    <mergeCell ref="B213:C213"/>
    <mergeCell ref="A215:G215"/>
    <mergeCell ref="A216:B216"/>
    <mergeCell ref="E216:G216"/>
    <mergeCell ref="A217:B217"/>
    <mergeCell ref="C217:E217"/>
    <mergeCell ref="A218:G218"/>
    <mergeCell ref="A219:G219"/>
    <mergeCell ref="B220:C220"/>
    <mergeCell ref="B221:C221"/>
    <mergeCell ref="B222:C222"/>
    <mergeCell ref="B223:C223"/>
    <mergeCell ref="B224:C224"/>
    <mergeCell ref="B225:C225"/>
    <mergeCell ref="B226:C226"/>
    <mergeCell ref="B227:C227"/>
    <mergeCell ref="B228:C228"/>
    <mergeCell ref="B229:C229"/>
    <mergeCell ref="B230:C230"/>
    <mergeCell ref="B231:C231"/>
    <mergeCell ref="B232:C232"/>
    <mergeCell ref="B233:C233"/>
    <mergeCell ref="B234:C234"/>
    <mergeCell ref="B235:C235"/>
    <mergeCell ref="B236:C236"/>
    <mergeCell ref="B237:C237"/>
    <mergeCell ref="B238:C238"/>
    <mergeCell ref="B239:C239"/>
    <mergeCell ref="B240:C240"/>
    <mergeCell ref="B241:C241"/>
    <mergeCell ref="B242:C242"/>
    <mergeCell ref="A244:G244"/>
    <mergeCell ref="A245:B245"/>
    <mergeCell ref="E245:G245"/>
    <mergeCell ref="A246:B246"/>
    <mergeCell ref="C246:E246"/>
    <mergeCell ref="A247:G247"/>
    <mergeCell ref="A248:G248"/>
    <mergeCell ref="B249:C249"/>
    <mergeCell ref="B250:C250"/>
    <mergeCell ref="B251:C251"/>
    <mergeCell ref="B252:C252"/>
    <mergeCell ref="B253:C253"/>
    <mergeCell ref="B254:C254"/>
    <mergeCell ref="B255:C255"/>
    <mergeCell ref="B256:C256"/>
    <mergeCell ref="B257:C257"/>
    <mergeCell ref="B258:C258"/>
    <mergeCell ref="B259:C259"/>
    <mergeCell ref="B260:C260"/>
    <mergeCell ref="B261:C261"/>
    <mergeCell ref="B262:C262"/>
    <mergeCell ref="B263:C263"/>
    <mergeCell ref="B264:C264"/>
    <mergeCell ref="B265:C265"/>
    <mergeCell ref="B266:C266"/>
    <mergeCell ref="B267:C267"/>
    <mergeCell ref="B268:C268"/>
    <mergeCell ref="B269:C269"/>
    <mergeCell ref="B270:C270"/>
    <mergeCell ref="B271:C271"/>
    <mergeCell ref="A273:G273"/>
    <mergeCell ref="A274:B274"/>
    <mergeCell ref="E274:G274"/>
    <mergeCell ref="A275:B275"/>
    <mergeCell ref="C275:E275"/>
    <mergeCell ref="A276:G276"/>
    <mergeCell ref="A277:G277"/>
    <mergeCell ref="B278:C278"/>
    <mergeCell ref="B279:C279"/>
    <mergeCell ref="B280:C280"/>
    <mergeCell ref="B281:C281"/>
    <mergeCell ref="B282:C282"/>
    <mergeCell ref="B283:C283"/>
    <mergeCell ref="B284:C284"/>
    <mergeCell ref="B285:C285"/>
    <mergeCell ref="B286:C286"/>
    <mergeCell ref="B287:C287"/>
    <mergeCell ref="B288:C288"/>
    <mergeCell ref="B289:C289"/>
    <mergeCell ref="B290:C290"/>
    <mergeCell ref="B291:C291"/>
    <mergeCell ref="B292:C292"/>
    <mergeCell ref="B293:C293"/>
    <mergeCell ref="B294:C294"/>
    <mergeCell ref="B295:C295"/>
    <mergeCell ref="B296:C296"/>
    <mergeCell ref="B297:C297"/>
    <mergeCell ref="B298:C298"/>
    <mergeCell ref="B299:C299"/>
    <mergeCell ref="A301:G301"/>
    <mergeCell ref="A302:B302"/>
    <mergeCell ref="E302:G302"/>
    <mergeCell ref="A303:B303"/>
    <mergeCell ref="C303:E303"/>
    <mergeCell ref="A304:G304"/>
    <mergeCell ref="A305:G305"/>
    <mergeCell ref="B306:C306"/>
    <mergeCell ref="B307:C307"/>
    <mergeCell ref="B308:C308"/>
    <mergeCell ref="B309:C309"/>
    <mergeCell ref="B310:C310"/>
    <mergeCell ref="B311:C311"/>
    <mergeCell ref="B312:C312"/>
    <mergeCell ref="B313:C313"/>
    <mergeCell ref="B314:C314"/>
    <mergeCell ref="B315:C315"/>
    <mergeCell ref="B316:C316"/>
    <mergeCell ref="B317:C317"/>
    <mergeCell ref="B318:C318"/>
    <mergeCell ref="B319:C319"/>
    <mergeCell ref="B320:C320"/>
    <mergeCell ref="B321:C321"/>
    <mergeCell ref="B322:C322"/>
    <mergeCell ref="B323:C323"/>
    <mergeCell ref="B324:C324"/>
    <mergeCell ref="B325:C325"/>
    <mergeCell ref="A327:G327"/>
    <mergeCell ref="H327:N327"/>
    <mergeCell ref="A328:B328"/>
    <mergeCell ref="E328:G328"/>
    <mergeCell ref="H328:I328"/>
    <mergeCell ref="L328:N328"/>
    <mergeCell ref="A329:B329"/>
    <mergeCell ref="C329:E329"/>
    <mergeCell ref="H329:I329"/>
    <mergeCell ref="J329:L329"/>
    <mergeCell ref="A330:G330"/>
    <mergeCell ref="H330:N330"/>
    <mergeCell ref="A331:G331"/>
    <mergeCell ref="H331:N331"/>
    <mergeCell ref="B332:C332"/>
    <mergeCell ref="I332:J332"/>
    <mergeCell ref="B333:C333"/>
    <mergeCell ref="I333:J333"/>
    <mergeCell ref="B334:C334"/>
    <mergeCell ref="I334:J334"/>
    <mergeCell ref="B335:C335"/>
    <mergeCell ref="I335:J335"/>
    <mergeCell ref="B336:C336"/>
    <mergeCell ref="I336:J336"/>
    <mergeCell ref="B337:C337"/>
    <mergeCell ref="I337:J337"/>
    <mergeCell ref="B338:C338"/>
    <mergeCell ref="I338:J338"/>
    <mergeCell ref="B339:C339"/>
    <mergeCell ref="I339:J339"/>
    <mergeCell ref="B340:C340"/>
    <mergeCell ref="I340:J340"/>
    <mergeCell ref="B341:C341"/>
    <mergeCell ref="I341:J341"/>
    <mergeCell ref="B342:C342"/>
    <mergeCell ref="I342:J342"/>
    <mergeCell ref="B343:C343"/>
    <mergeCell ref="I343:J343"/>
    <mergeCell ref="B344:C344"/>
    <mergeCell ref="I344:J344"/>
    <mergeCell ref="B345:C345"/>
    <mergeCell ref="I345:J345"/>
    <mergeCell ref="B346:C346"/>
    <mergeCell ref="I346:J346"/>
    <mergeCell ref="B347:C347"/>
    <mergeCell ref="I347:J347"/>
    <mergeCell ref="B348:C348"/>
    <mergeCell ref="I348:J348"/>
    <mergeCell ref="B349:C349"/>
    <mergeCell ref="I349:J349"/>
    <mergeCell ref="B350:C350"/>
    <mergeCell ref="I350:J350"/>
    <mergeCell ref="B351:C351"/>
    <mergeCell ref="I351:J351"/>
    <mergeCell ref="A353:G353"/>
    <mergeCell ref="A354:B354"/>
    <mergeCell ref="E354:G354"/>
    <mergeCell ref="A355:B355"/>
    <mergeCell ref="C355:E355"/>
    <mergeCell ref="A356:G356"/>
    <mergeCell ref="A357:G357"/>
    <mergeCell ref="B358:C358"/>
    <mergeCell ref="B359:C359"/>
    <mergeCell ref="B360:C360"/>
    <mergeCell ref="B361:C361"/>
    <mergeCell ref="B362:C362"/>
    <mergeCell ref="B363:C363"/>
    <mergeCell ref="B364:C364"/>
    <mergeCell ref="B365:C365"/>
    <mergeCell ref="B366:C366"/>
    <mergeCell ref="B367:C367"/>
    <mergeCell ref="B368:C368"/>
    <mergeCell ref="B369:C369"/>
    <mergeCell ref="B370:C370"/>
    <mergeCell ref="B371:C371"/>
    <mergeCell ref="B372:C372"/>
    <mergeCell ref="B373:C373"/>
    <mergeCell ref="B374:C374"/>
    <mergeCell ref="B375:C375"/>
    <mergeCell ref="B376:C376"/>
    <mergeCell ref="B377:C377"/>
    <mergeCell ref="A380:G380"/>
    <mergeCell ref="H380:N380"/>
    <mergeCell ref="A381:B381"/>
    <mergeCell ref="E381:G381"/>
    <mergeCell ref="H381:I381"/>
    <mergeCell ref="L381:N381"/>
    <mergeCell ref="A382:B382"/>
    <mergeCell ref="C382:E382"/>
    <mergeCell ref="H382:I382"/>
    <mergeCell ref="J382:L382"/>
    <mergeCell ref="A383:G383"/>
    <mergeCell ref="H383:N383"/>
    <mergeCell ref="A384:G384"/>
    <mergeCell ref="H384:N384"/>
    <mergeCell ref="B385:C385"/>
    <mergeCell ref="I385:J385"/>
    <mergeCell ref="B386:C386"/>
    <mergeCell ref="I386:J386"/>
    <mergeCell ref="B387:C387"/>
    <mergeCell ref="I387:J387"/>
    <mergeCell ref="B388:C388"/>
    <mergeCell ref="I388:J388"/>
    <mergeCell ref="B389:C389"/>
    <mergeCell ref="I389:J389"/>
    <mergeCell ref="B390:C390"/>
    <mergeCell ref="I390:J390"/>
    <mergeCell ref="B391:C391"/>
    <mergeCell ref="I391:J391"/>
    <mergeCell ref="B392:C392"/>
    <mergeCell ref="I392:J392"/>
    <mergeCell ref="B393:C393"/>
    <mergeCell ref="I393:J393"/>
    <mergeCell ref="B394:C394"/>
    <mergeCell ref="I394:J394"/>
    <mergeCell ref="B395:C395"/>
    <mergeCell ref="I395:J395"/>
    <mergeCell ref="B396:C396"/>
    <mergeCell ref="I396:J396"/>
    <mergeCell ref="B397:C397"/>
    <mergeCell ref="I397:J397"/>
    <mergeCell ref="B398:C398"/>
    <mergeCell ref="I398:J398"/>
    <mergeCell ref="B399:C399"/>
    <mergeCell ref="I399:J399"/>
    <mergeCell ref="B400:C400"/>
    <mergeCell ref="I400:J400"/>
    <mergeCell ref="B401:C401"/>
    <mergeCell ref="I401:J401"/>
    <mergeCell ref="B402:C402"/>
    <mergeCell ref="I402:J402"/>
    <mergeCell ref="B403:C403"/>
    <mergeCell ref="I403:J403"/>
    <mergeCell ref="B404:C404"/>
    <mergeCell ref="I404:J404"/>
    <mergeCell ref="B405:C405"/>
    <mergeCell ref="I405:J405"/>
    <mergeCell ref="A407:G407"/>
    <mergeCell ref="H407:N407"/>
    <mergeCell ref="A408:B408"/>
    <mergeCell ref="E408:G408"/>
    <mergeCell ref="H408:I408"/>
    <mergeCell ref="L408:N408"/>
    <mergeCell ref="A409:B409"/>
    <mergeCell ref="C409:E409"/>
    <mergeCell ref="H409:I409"/>
    <mergeCell ref="J409:L409"/>
    <mergeCell ref="A410:G410"/>
    <mergeCell ref="H410:N410"/>
    <mergeCell ref="A411:G411"/>
    <mergeCell ref="H411:N411"/>
    <mergeCell ref="B412:C412"/>
    <mergeCell ref="I412:J412"/>
    <mergeCell ref="B413:C413"/>
    <mergeCell ref="I413:J413"/>
    <mergeCell ref="B414:C414"/>
    <mergeCell ref="I414:J414"/>
    <mergeCell ref="B415:C415"/>
    <mergeCell ref="I415:J415"/>
    <mergeCell ref="B416:C416"/>
    <mergeCell ref="I416:J416"/>
    <mergeCell ref="B417:C417"/>
    <mergeCell ref="I417:J417"/>
    <mergeCell ref="B418:C418"/>
    <mergeCell ref="I418:J418"/>
    <mergeCell ref="B419:C419"/>
    <mergeCell ref="I419:J419"/>
    <mergeCell ref="B420:C420"/>
    <mergeCell ref="I420:J420"/>
    <mergeCell ref="B421:C421"/>
    <mergeCell ref="I421:J421"/>
    <mergeCell ref="B422:C422"/>
    <mergeCell ref="I422:J422"/>
    <mergeCell ref="B423:C423"/>
    <mergeCell ref="I423:J423"/>
    <mergeCell ref="B424:C424"/>
    <mergeCell ref="I424:J424"/>
    <mergeCell ref="B425:C425"/>
    <mergeCell ref="I425:J425"/>
    <mergeCell ref="B426:C426"/>
    <mergeCell ref="I426:J426"/>
    <mergeCell ref="I427:J427"/>
    <mergeCell ref="B428:C428"/>
    <mergeCell ref="I428:J428"/>
    <mergeCell ref="B429:C429"/>
    <mergeCell ref="I429:J429"/>
    <mergeCell ref="B430:C430"/>
    <mergeCell ref="I430:J430"/>
    <mergeCell ref="B431:C431"/>
    <mergeCell ref="I431:J431"/>
    <mergeCell ref="A433:G433"/>
    <mergeCell ref="A434:B434"/>
    <mergeCell ref="E434:G434"/>
    <mergeCell ref="A435:B435"/>
    <mergeCell ref="C435:E435"/>
    <mergeCell ref="A436:G436"/>
    <mergeCell ref="A437:G437"/>
    <mergeCell ref="B438:C438"/>
    <mergeCell ref="B439:C439"/>
    <mergeCell ref="B440:C440"/>
    <mergeCell ref="B441:C441"/>
    <mergeCell ref="B442:C442"/>
    <mergeCell ref="B443:C443"/>
    <mergeCell ref="B444:C444"/>
    <mergeCell ref="B445:C445"/>
    <mergeCell ref="B446:C446"/>
    <mergeCell ref="B447:C447"/>
    <mergeCell ref="B448:C448"/>
    <mergeCell ref="B449:C449"/>
    <mergeCell ref="B450:C450"/>
    <mergeCell ref="B451:C451"/>
    <mergeCell ref="B452:C452"/>
    <mergeCell ref="B453:C453"/>
    <mergeCell ref="B454:C454"/>
    <mergeCell ref="B455:C455"/>
    <mergeCell ref="A457:G457"/>
    <mergeCell ref="A458:B458"/>
    <mergeCell ref="E458:G458"/>
    <mergeCell ref="A459:B459"/>
    <mergeCell ref="C459:E459"/>
    <mergeCell ref="A460:G460"/>
    <mergeCell ref="A461:G461"/>
    <mergeCell ref="B462:C462"/>
    <mergeCell ref="B463:C463"/>
    <mergeCell ref="B464:C464"/>
    <mergeCell ref="B465:C465"/>
    <mergeCell ref="B466:C466"/>
    <mergeCell ref="B467:C467"/>
    <mergeCell ref="B468:C468"/>
    <mergeCell ref="B469:C469"/>
    <mergeCell ref="B470:C470"/>
    <mergeCell ref="B471:C471"/>
    <mergeCell ref="B472:C472"/>
    <mergeCell ref="B473:C473"/>
    <mergeCell ref="B474:C474"/>
    <mergeCell ref="B475:C475"/>
    <mergeCell ref="B476:C476"/>
    <mergeCell ref="B477:C477"/>
    <mergeCell ref="B478:C478"/>
    <mergeCell ref="B479:C479"/>
    <mergeCell ref="A481:G481"/>
    <mergeCell ref="A482:B482"/>
    <mergeCell ref="E482:G482"/>
    <mergeCell ref="A483:B483"/>
    <mergeCell ref="C483:E483"/>
    <mergeCell ref="A484:G484"/>
    <mergeCell ref="A485:G485"/>
    <mergeCell ref="B486:C486"/>
    <mergeCell ref="B487:C487"/>
    <mergeCell ref="B488:C488"/>
    <mergeCell ref="B489:C489"/>
    <mergeCell ref="B490:C490"/>
    <mergeCell ref="B491:C491"/>
    <mergeCell ref="B492:C492"/>
    <mergeCell ref="B493:C493"/>
    <mergeCell ref="B494:C494"/>
    <mergeCell ref="B495:C495"/>
    <mergeCell ref="B496:C496"/>
    <mergeCell ref="B497:C497"/>
    <mergeCell ref="B498:C498"/>
    <mergeCell ref="B499:C499"/>
    <mergeCell ref="B500:C500"/>
    <mergeCell ref="B501:C501"/>
    <mergeCell ref="B502:C502"/>
    <mergeCell ref="B503:C503"/>
    <mergeCell ref="A506:G506"/>
    <mergeCell ref="A507:B507"/>
    <mergeCell ref="E507:G507"/>
    <mergeCell ref="A508:B508"/>
    <mergeCell ref="C508:E508"/>
    <mergeCell ref="A509:G509"/>
    <mergeCell ref="A510:G510"/>
    <mergeCell ref="B511:C511"/>
    <mergeCell ref="B512:C512"/>
    <mergeCell ref="B513:C513"/>
    <mergeCell ref="B514:C514"/>
    <mergeCell ref="B515:C515"/>
    <mergeCell ref="B516:C516"/>
    <mergeCell ref="B517:C517"/>
    <mergeCell ref="B518:C518"/>
    <mergeCell ref="B519:C519"/>
    <mergeCell ref="B520:C520"/>
    <mergeCell ref="B521:C521"/>
    <mergeCell ref="B522:C522"/>
    <mergeCell ref="B523:C523"/>
    <mergeCell ref="B524:C524"/>
    <mergeCell ref="B525:C525"/>
    <mergeCell ref="B526:C526"/>
    <mergeCell ref="B527:C527"/>
    <mergeCell ref="B528:C528"/>
    <mergeCell ref="A530:G530"/>
    <mergeCell ref="A531:B531"/>
    <mergeCell ref="E531:G531"/>
    <mergeCell ref="A532:B532"/>
    <mergeCell ref="C532:E532"/>
    <mergeCell ref="A533:G533"/>
    <mergeCell ref="A534:G534"/>
    <mergeCell ref="B535:C535"/>
    <mergeCell ref="B536:C536"/>
    <mergeCell ref="B537:C537"/>
    <mergeCell ref="B538:C538"/>
    <mergeCell ref="B539:C539"/>
    <mergeCell ref="B540:C540"/>
    <mergeCell ref="B541:C541"/>
    <mergeCell ref="B542:C542"/>
    <mergeCell ref="B543:C543"/>
    <mergeCell ref="B544:C544"/>
    <mergeCell ref="B545:C545"/>
    <mergeCell ref="B546:C546"/>
    <mergeCell ref="B547:C547"/>
    <mergeCell ref="B548:C548"/>
    <mergeCell ref="B549:C549"/>
    <mergeCell ref="B550:C550"/>
    <mergeCell ref="B551:C551"/>
    <mergeCell ref="B552:C552"/>
    <mergeCell ref="A555:G555"/>
    <mergeCell ref="A556:B556"/>
    <mergeCell ref="E556:G556"/>
    <mergeCell ref="A557:B557"/>
    <mergeCell ref="C557:E557"/>
    <mergeCell ref="A558:G558"/>
    <mergeCell ref="A559:G559"/>
    <mergeCell ref="B560:C560"/>
    <mergeCell ref="B561:C561"/>
    <mergeCell ref="B562:C562"/>
    <mergeCell ref="B563:C563"/>
    <mergeCell ref="B564:C564"/>
    <mergeCell ref="B565:C565"/>
    <mergeCell ref="B566:C566"/>
    <mergeCell ref="B567:C567"/>
    <mergeCell ref="B568:C568"/>
    <mergeCell ref="B569:C569"/>
    <mergeCell ref="B570:C570"/>
    <mergeCell ref="B571:C571"/>
    <mergeCell ref="B572:C572"/>
    <mergeCell ref="B573:C573"/>
    <mergeCell ref="A575:G575"/>
    <mergeCell ref="A576:B576"/>
    <mergeCell ref="E576:G576"/>
    <mergeCell ref="A577:B577"/>
    <mergeCell ref="C577:E577"/>
    <mergeCell ref="A578:G578"/>
    <mergeCell ref="A579:G579"/>
    <mergeCell ref="B580:C580"/>
    <mergeCell ref="B581:C581"/>
    <mergeCell ref="B582:C582"/>
    <mergeCell ref="B583:C583"/>
    <mergeCell ref="B584:C584"/>
    <mergeCell ref="B585:C585"/>
    <mergeCell ref="B586:C586"/>
    <mergeCell ref="B587:C587"/>
    <mergeCell ref="B588:C588"/>
    <mergeCell ref="B589:C589"/>
    <mergeCell ref="B590:C590"/>
    <mergeCell ref="B591:C591"/>
    <mergeCell ref="B592:C592"/>
    <mergeCell ref="B593:C593"/>
    <mergeCell ref="A595:G595"/>
    <mergeCell ref="A596:B596"/>
    <mergeCell ref="E596:G596"/>
    <mergeCell ref="A597:B597"/>
    <mergeCell ref="C597:E597"/>
    <mergeCell ref="A598:G598"/>
    <mergeCell ref="A599:G599"/>
    <mergeCell ref="B600:C600"/>
    <mergeCell ref="B601:C601"/>
    <mergeCell ref="B602:C602"/>
    <mergeCell ref="B603:C603"/>
    <mergeCell ref="B604:C604"/>
    <mergeCell ref="B605:C605"/>
    <mergeCell ref="B606:C606"/>
    <mergeCell ref="B607:C607"/>
    <mergeCell ref="B608:C608"/>
    <mergeCell ref="B609:C609"/>
    <mergeCell ref="B610:C610"/>
    <mergeCell ref="B611:C611"/>
    <mergeCell ref="B612:C612"/>
    <mergeCell ref="B613:C613"/>
    <mergeCell ref="B614:C614"/>
    <mergeCell ref="A616:G616"/>
    <mergeCell ref="A617:B617"/>
    <mergeCell ref="E617:G617"/>
    <mergeCell ref="A618:B618"/>
    <mergeCell ref="C618:E618"/>
    <mergeCell ref="A619:G619"/>
    <mergeCell ref="A620:G620"/>
    <mergeCell ref="B621:C621"/>
    <mergeCell ref="B622:C622"/>
    <mergeCell ref="B623:C623"/>
    <mergeCell ref="B624:C624"/>
    <mergeCell ref="B625:C625"/>
    <mergeCell ref="B626:C626"/>
    <mergeCell ref="B627:C627"/>
    <mergeCell ref="B628:C628"/>
    <mergeCell ref="B629:C629"/>
    <mergeCell ref="B630:C630"/>
    <mergeCell ref="B631:C631"/>
    <mergeCell ref="B632:C632"/>
    <mergeCell ref="B633:C633"/>
    <mergeCell ref="B634:C634"/>
    <mergeCell ref="B635:C635"/>
    <mergeCell ref="A637:G637"/>
    <mergeCell ref="A638:B638"/>
    <mergeCell ref="E638:G638"/>
    <mergeCell ref="A639:B639"/>
    <mergeCell ref="C639:E639"/>
    <mergeCell ref="A640:G640"/>
    <mergeCell ref="A641:G641"/>
    <mergeCell ref="B642:C642"/>
    <mergeCell ref="B643:C643"/>
    <mergeCell ref="B644:C644"/>
    <mergeCell ref="B645:C645"/>
    <mergeCell ref="B646:C646"/>
    <mergeCell ref="B647:C647"/>
    <mergeCell ref="B648:C648"/>
    <mergeCell ref="B649:C649"/>
    <mergeCell ref="B650:C650"/>
    <mergeCell ref="B651:C651"/>
    <mergeCell ref="B652:C652"/>
    <mergeCell ref="B653:C653"/>
    <mergeCell ref="B654:C654"/>
    <mergeCell ref="B655:C655"/>
    <mergeCell ref="B656:C656"/>
    <mergeCell ref="A658:G658"/>
    <mergeCell ref="A659:B659"/>
    <mergeCell ref="E659:G659"/>
    <mergeCell ref="A660:B660"/>
    <mergeCell ref="C660:E660"/>
    <mergeCell ref="A661:G661"/>
    <mergeCell ref="A662:G662"/>
    <mergeCell ref="B663:C663"/>
    <mergeCell ref="B664:C664"/>
    <mergeCell ref="B665:C665"/>
    <mergeCell ref="B666:C666"/>
    <mergeCell ref="B667:C667"/>
    <mergeCell ref="B668:C668"/>
    <mergeCell ref="B669:C669"/>
    <mergeCell ref="B670:C670"/>
    <mergeCell ref="B671:C671"/>
    <mergeCell ref="B672:C672"/>
    <mergeCell ref="B673:C673"/>
    <mergeCell ref="B674:C674"/>
    <mergeCell ref="B675:C675"/>
    <mergeCell ref="B676:C676"/>
    <mergeCell ref="B677:C677"/>
    <mergeCell ref="A679:G679"/>
    <mergeCell ref="A680:B680"/>
    <mergeCell ref="E680:G680"/>
    <mergeCell ref="A681:B681"/>
    <mergeCell ref="C681:E681"/>
    <mergeCell ref="A682:G682"/>
    <mergeCell ref="A683:G683"/>
    <mergeCell ref="B684:C684"/>
    <mergeCell ref="B685:C685"/>
    <mergeCell ref="B686:C686"/>
    <mergeCell ref="B687:C687"/>
    <mergeCell ref="B688:C688"/>
    <mergeCell ref="B689:C689"/>
    <mergeCell ref="B690:C690"/>
    <mergeCell ref="B691:C691"/>
    <mergeCell ref="B692:C692"/>
    <mergeCell ref="B693:C693"/>
    <mergeCell ref="B694:C694"/>
    <mergeCell ref="B695:C695"/>
    <mergeCell ref="B696:C696"/>
    <mergeCell ref="B697:C697"/>
    <mergeCell ref="B698:C698"/>
    <mergeCell ref="B699:C699"/>
    <mergeCell ref="A702:G702"/>
    <mergeCell ref="A703:B703"/>
    <mergeCell ref="E703:G703"/>
    <mergeCell ref="A704:B704"/>
    <mergeCell ref="C704:E704"/>
    <mergeCell ref="A705:G705"/>
    <mergeCell ref="A706:G706"/>
    <mergeCell ref="B707:C707"/>
    <mergeCell ref="B708:C708"/>
    <mergeCell ref="B709:C709"/>
    <mergeCell ref="B710:C710"/>
    <mergeCell ref="B711:C711"/>
    <mergeCell ref="B712:C712"/>
    <mergeCell ref="B713:C713"/>
    <mergeCell ref="B714:C714"/>
    <mergeCell ref="B715:C715"/>
    <mergeCell ref="B716:C716"/>
    <mergeCell ref="B717:C717"/>
    <mergeCell ref="B718:C718"/>
    <mergeCell ref="B719:C719"/>
    <mergeCell ref="B720:C720"/>
    <mergeCell ref="B721:C721"/>
    <mergeCell ref="A723:G723"/>
    <mergeCell ref="A724:B724"/>
    <mergeCell ref="E724:G724"/>
    <mergeCell ref="A725:B725"/>
    <mergeCell ref="C725:E725"/>
    <mergeCell ref="A726:G726"/>
    <mergeCell ref="A727:G727"/>
    <mergeCell ref="B728:C728"/>
    <mergeCell ref="B729:C729"/>
    <mergeCell ref="B730:C730"/>
    <mergeCell ref="B731:C731"/>
    <mergeCell ref="B732:C732"/>
    <mergeCell ref="B733:C733"/>
    <mergeCell ref="B734:C734"/>
    <mergeCell ref="B735:C735"/>
    <mergeCell ref="B736:C736"/>
    <mergeCell ref="B737:C737"/>
    <mergeCell ref="B738:C738"/>
    <mergeCell ref="B739:C739"/>
    <mergeCell ref="B740:C740"/>
    <mergeCell ref="B741:C741"/>
    <mergeCell ref="B742:C742"/>
    <mergeCell ref="B743:C743"/>
    <mergeCell ref="A745:G745"/>
    <mergeCell ref="A746:B746"/>
    <mergeCell ref="E746:G746"/>
    <mergeCell ref="A747:B747"/>
    <mergeCell ref="C747:E747"/>
    <mergeCell ref="A748:G748"/>
    <mergeCell ref="A749:G749"/>
    <mergeCell ref="B750:C750"/>
    <mergeCell ref="B751:C751"/>
    <mergeCell ref="B752:C752"/>
    <mergeCell ref="B753:C753"/>
    <mergeCell ref="B754:C754"/>
    <mergeCell ref="B755:C755"/>
    <mergeCell ref="B756:C756"/>
    <mergeCell ref="B757:C757"/>
    <mergeCell ref="B758:C758"/>
    <mergeCell ref="B759:C759"/>
    <mergeCell ref="B760:C760"/>
    <mergeCell ref="B761:C761"/>
    <mergeCell ref="B762:C762"/>
    <mergeCell ref="B763:C763"/>
    <mergeCell ref="B764:C764"/>
    <mergeCell ref="B765:C765"/>
    <mergeCell ref="A767:G767"/>
    <mergeCell ref="A768:B768"/>
    <mergeCell ref="E768:G768"/>
    <mergeCell ref="A769:B769"/>
    <mergeCell ref="C769:E769"/>
    <mergeCell ref="A770:G770"/>
    <mergeCell ref="A771:G771"/>
    <mergeCell ref="B772:C772"/>
    <mergeCell ref="B773:C773"/>
    <mergeCell ref="B774:C774"/>
    <mergeCell ref="B775:C775"/>
    <mergeCell ref="B776:C776"/>
    <mergeCell ref="B777:C777"/>
    <mergeCell ref="B778:C778"/>
    <mergeCell ref="B779:C779"/>
    <mergeCell ref="B780:C780"/>
    <mergeCell ref="B781:C781"/>
    <mergeCell ref="B782:C782"/>
    <mergeCell ref="B783:C783"/>
    <mergeCell ref="B784:C784"/>
    <mergeCell ref="B785:C785"/>
    <mergeCell ref="B786:C786"/>
    <mergeCell ref="B787:C787"/>
    <mergeCell ref="B788:C788"/>
    <mergeCell ref="B789:C789"/>
    <mergeCell ref="A791:G791"/>
    <mergeCell ref="A792:B792"/>
    <mergeCell ref="E792:G792"/>
    <mergeCell ref="A793:B793"/>
    <mergeCell ref="C793:E793"/>
    <mergeCell ref="A794:G794"/>
    <mergeCell ref="A795:G795"/>
    <mergeCell ref="B796:C796"/>
    <mergeCell ref="B797:C797"/>
    <mergeCell ref="B798:C798"/>
    <mergeCell ref="B799:C799"/>
    <mergeCell ref="B800:C800"/>
    <mergeCell ref="B801:C801"/>
    <mergeCell ref="B802:C802"/>
    <mergeCell ref="B803:C803"/>
    <mergeCell ref="B804:C804"/>
    <mergeCell ref="B805:C805"/>
    <mergeCell ref="B806:C806"/>
    <mergeCell ref="B807:C807"/>
    <mergeCell ref="B811:C811"/>
    <mergeCell ref="B812:C812"/>
    <mergeCell ref="B813:C813"/>
    <mergeCell ref="B814:C814"/>
    <mergeCell ref="B815:C815"/>
    <mergeCell ref="B816:C816"/>
    <mergeCell ref="B817:C817"/>
    <mergeCell ref="B818:C818"/>
    <mergeCell ref="B819:C819"/>
    <mergeCell ref="B820:C820"/>
    <mergeCell ref="B821:C821"/>
    <mergeCell ref="B822:C822"/>
    <mergeCell ref="A824:G824"/>
    <mergeCell ref="A825:B825"/>
    <mergeCell ref="E825:G825"/>
    <mergeCell ref="A826:B826"/>
    <mergeCell ref="C826:E826"/>
    <mergeCell ref="A827:G827"/>
    <mergeCell ref="A828:G828"/>
    <mergeCell ref="B829:C829"/>
    <mergeCell ref="B830:C830"/>
    <mergeCell ref="B831:C831"/>
    <mergeCell ref="B832:C832"/>
    <mergeCell ref="B833:C833"/>
    <mergeCell ref="B834:C834"/>
    <mergeCell ref="B835:C835"/>
    <mergeCell ref="B836:C836"/>
    <mergeCell ref="B837:C837"/>
    <mergeCell ref="B838:C838"/>
    <mergeCell ref="B839:C839"/>
    <mergeCell ref="B840:C840"/>
    <mergeCell ref="B844:C844"/>
    <mergeCell ref="B845:C845"/>
    <mergeCell ref="B846:C846"/>
    <mergeCell ref="B847:C847"/>
    <mergeCell ref="B848:C848"/>
    <mergeCell ref="B849:C849"/>
    <mergeCell ref="B850:C850"/>
    <mergeCell ref="B851:C851"/>
    <mergeCell ref="B852:C852"/>
    <mergeCell ref="B853:C853"/>
    <mergeCell ref="B854:C854"/>
    <mergeCell ref="B855:C855"/>
    <mergeCell ref="A857:G857"/>
    <mergeCell ref="A858:B858"/>
    <mergeCell ref="E858:G858"/>
    <mergeCell ref="A859:B859"/>
    <mergeCell ref="C859:E859"/>
    <mergeCell ref="A860:G860"/>
    <mergeCell ref="A861:G861"/>
    <mergeCell ref="B862:C862"/>
    <mergeCell ref="B863:C863"/>
    <mergeCell ref="B864:C864"/>
    <mergeCell ref="B865:C865"/>
    <mergeCell ref="B866:C866"/>
    <mergeCell ref="B867:C867"/>
    <mergeCell ref="B868:C868"/>
    <mergeCell ref="B869:C869"/>
    <mergeCell ref="B870:C870"/>
    <mergeCell ref="B871:C871"/>
    <mergeCell ref="B872:C872"/>
    <mergeCell ref="B873:C873"/>
    <mergeCell ref="B877:C877"/>
    <mergeCell ref="B878:C878"/>
    <mergeCell ref="B879:C879"/>
    <mergeCell ref="B880:C880"/>
    <mergeCell ref="B881:C881"/>
    <mergeCell ref="B882:C882"/>
    <mergeCell ref="B883:C883"/>
    <mergeCell ref="B884:C884"/>
    <mergeCell ref="B885:C885"/>
    <mergeCell ref="B886:C886"/>
    <mergeCell ref="B887:C887"/>
    <mergeCell ref="B888:C888"/>
    <mergeCell ref="A890:G890"/>
    <mergeCell ref="A891:B891"/>
    <mergeCell ref="E891:G891"/>
    <mergeCell ref="A892:B892"/>
    <mergeCell ref="C892:E892"/>
    <mergeCell ref="A893:G893"/>
    <mergeCell ref="A894:G894"/>
    <mergeCell ref="B895:C895"/>
    <mergeCell ref="B896:C896"/>
    <mergeCell ref="B897:C897"/>
    <mergeCell ref="B898:C898"/>
    <mergeCell ref="B899:C899"/>
    <mergeCell ref="B900:C900"/>
    <mergeCell ref="B901:C901"/>
    <mergeCell ref="B902:C902"/>
    <mergeCell ref="B903:C903"/>
    <mergeCell ref="B904:C904"/>
    <mergeCell ref="B905:C905"/>
    <mergeCell ref="B906:C906"/>
    <mergeCell ref="B910:C910"/>
    <mergeCell ref="B911:C911"/>
    <mergeCell ref="B912:C912"/>
    <mergeCell ref="B913:C913"/>
    <mergeCell ref="B914:C914"/>
    <mergeCell ref="B915:C915"/>
    <mergeCell ref="B916:C916"/>
    <mergeCell ref="B917:C917"/>
    <mergeCell ref="B918:C918"/>
    <mergeCell ref="B919:C919"/>
    <mergeCell ref="B920:C920"/>
    <mergeCell ref="B921:C921"/>
    <mergeCell ref="A923:G923"/>
    <mergeCell ref="A924:B924"/>
    <mergeCell ref="E924:G924"/>
    <mergeCell ref="A925:B925"/>
    <mergeCell ref="C925:E925"/>
    <mergeCell ref="A926:G926"/>
    <mergeCell ref="A927:G927"/>
    <mergeCell ref="B928:C928"/>
    <mergeCell ref="B929:C929"/>
    <mergeCell ref="B930:C930"/>
    <mergeCell ref="B931:C931"/>
    <mergeCell ref="B932:C932"/>
    <mergeCell ref="B933:C933"/>
    <mergeCell ref="B934:C934"/>
    <mergeCell ref="B935:C935"/>
    <mergeCell ref="B936:C936"/>
    <mergeCell ref="B937:C937"/>
    <mergeCell ref="B938:C938"/>
    <mergeCell ref="B939:C939"/>
    <mergeCell ref="B943:C943"/>
    <mergeCell ref="B944:C944"/>
    <mergeCell ref="B945:C945"/>
    <mergeCell ref="B946:C946"/>
    <mergeCell ref="B947:C947"/>
    <mergeCell ref="B948:C948"/>
    <mergeCell ref="B949:C949"/>
    <mergeCell ref="B950:C950"/>
    <mergeCell ref="B951:C951"/>
    <mergeCell ref="B952:C952"/>
    <mergeCell ref="B953:C953"/>
    <mergeCell ref="B954:C954"/>
  </mergeCells>
  <printOptions horizontalCentered="1"/>
  <pageMargins left="0.979861111111111" right="0.75" top="0.979861111111111" bottom="0.979861111111111" header="0.509722222222222" footer="0.509722222222222"/>
  <pageSetup paperSize="9" orientation="portrait"/>
  <headerFooter alignWithMargins="0" scaleWithDoc="0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697"/>
  <sheetViews>
    <sheetView topLeftCell="A529" workbookViewId="0">
      <selection activeCell="I598" sqref="I598"/>
    </sheetView>
  </sheetViews>
  <sheetFormatPr defaultColWidth="9" defaultRowHeight="20.1" customHeight="1"/>
  <cols>
    <col min="1" max="2" width="6" style="92" customWidth="1"/>
    <col min="3" max="3" width="10.875" style="92" customWidth="1"/>
    <col min="4" max="4" width="9.375" style="92" customWidth="1"/>
    <col min="5" max="5" width="11.875" style="92" customWidth="1"/>
    <col min="6" max="6" width="11.375" style="92" customWidth="1"/>
    <col min="7" max="7" width="13.375" style="92" customWidth="1"/>
    <col min="8" max="8" width="13.625" style="92" customWidth="1"/>
    <col min="9" max="9" width="13.875" style="92" customWidth="1"/>
    <col min="10" max="10" width="10.75" style="92" customWidth="1"/>
    <col min="11" max="11" width="15.5" style="92" customWidth="1"/>
    <col min="12" max="12" width="11.125" style="92" customWidth="1"/>
    <col min="13" max="13" width="10.375" style="92" customWidth="1"/>
    <col min="14" max="14" width="11.625" style="92" customWidth="1"/>
    <col min="15" max="15" width="13.25" style="92" customWidth="1"/>
    <col min="16" max="16" width="9.5" style="92" customWidth="1"/>
    <col min="17" max="17" width="20.125" style="92" customWidth="1"/>
    <col min="18" max="18" width="9.125" style="92" customWidth="1"/>
    <col min="19" max="19" width="10.625" style="93" customWidth="1"/>
    <col min="20" max="20" width="11.375" style="93" customWidth="1"/>
    <col min="21" max="21" width="9.375" style="93" customWidth="1"/>
    <col min="22" max="22" width="9.5" style="93" customWidth="1"/>
    <col min="23" max="23" width="19.625" style="93" customWidth="1"/>
    <col min="24" max="24" width="9.5" style="93" customWidth="1"/>
    <col min="25" max="25" width="9.375" style="93" customWidth="1"/>
    <col min="26" max="26" width="11.125" style="93" customWidth="1"/>
    <col min="27" max="27" width="12.25" style="93" customWidth="1"/>
    <col min="28" max="28" width="8.5" style="93" customWidth="1"/>
    <col min="29" max="29" width="20.375" style="93" customWidth="1"/>
    <col min="30" max="30" width="8.5" style="93" customWidth="1"/>
    <col min="31" max="31" width="9.5" style="92" customWidth="1"/>
    <col min="32" max="32" width="10.75" style="92" customWidth="1"/>
    <col min="33" max="33" width="17.125" style="92" customWidth="1"/>
    <col min="34" max="34" width="24.5" style="92" customWidth="1"/>
    <col min="35" max="35" width="9" style="92"/>
    <col min="36" max="36" width="18.875" style="92" customWidth="1"/>
    <col min="37" max="37" width="9" style="92"/>
    <col min="38" max="38" width="11.5" style="92" customWidth="1"/>
    <col min="39" max="39" width="12.125" style="92" customWidth="1"/>
    <col min="40" max="40" width="16.625" style="92" customWidth="1"/>
    <col min="41" max="16384" width="9" style="92"/>
  </cols>
  <sheetData>
    <row r="1" ht="23.25" customHeight="1" spans="1:7">
      <c r="A1" s="308" t="s">
        <v>868</v>
      </c>
      <c r="B1" s="308"/>
      <c r="C1" s="308"/>
      <c r="D1" s="308"/>
      <c r="E1" s="308"/>
      <c r="F1" s="308"/>
      <c r="G1" s="308"/>
    </row>
    <row r="2" customHeight="1" spans="1:7">
      <c r="A2" s="309" t="s">
        <v>869</v>
      </c>
      <c r="B2" s="310"/>
      <c r="C2" s="310" t="s">
        <v>17</v>
      </c>
      <c r="D2" s="310" t="s">
        <v>870</v>
      </c>
      <c r="E2" s="311" t="s">
        <v>1225</v>
      </c>
      <c r="F2" s="312"/>
      <c r="G2" s="313"/>
    </row>
    <row r="3" customHeight="1" spans="1:7">
      <c r="A3" s="314" t="s">
        <v>507</v>
      </c>
      <c r="B3" s="315"/>
      <c r="C3" s="316" t="s">
        <v>1226</v>
      </c>
      <c r="D3" s="316"/>
      <c r="E3" s="316"/>
      <c r="F3" s="317" t="s">
        <v>873</v>
      </c>
      <c r="G3" s="318" t="s">
        <v>874</v>
      </c>
    </row>
    <row r="4" customHeight="1" spans="1:7">
      <c r="A4" s="319" t="s">
        <v>1227</v>
      </c>
      <c r="B4" s="320"/>
      <c r="C4" s="320"/>
      <c r="D4" s="320"/>
      <c r="E4" s="320"/>
      <c r="F4" s="320"/>
      <c r="G4" s="321"/>
    </row>
    <row r="5" customHeight="1" spans="1:7">
      <c r="A5" s="322" t="s">
        <v>1228</v>
      </c>
      <c r="B5" s="323"/>
      <c r="C5" s="324"/>
      <c r="D5" s="324"/>
      <c r="E5" s="324"/>
      <c r="F5" s="324"/>
      <c r="G5" s="325"/>
    </row>
    <row r="6" customHeight="1" spans="1:7">
      <c r="A6" s="314" t="s">
        <v>34</v>
      </c>
      <c r="B6" s="317" t="s">
        <v>761</v>
      </c>
      <c r="C6" s="317"/>
      <c r="D6" s="317" t="s">
        <v>60</v>
      </c>
      <c r="E6" s="326" t="s">
        <v>877</v>
      </c>
      <c r="F6" s="317" t="s">
        <v>878</v>
      </c>
      <c r="G6" s="318" t="s">
        <v>879</v>
      </c>
    </row>
    <row r="7" customHeight="1" spans="1:7">
      <c r="A7" s="314" t="s">
        <v>8</v>
      </c>
      <c r="B7" s="327" t="s">
        <v>880</v>
      </c>
      <c r="C7" s="328"/>
      <c r="D7" s="317"/>
      <c r="E7" s="326"/>
      <c r="F7" s="326"/>
      <c r="G7" s="329">
        <f>G8+G14</f>
        <v>272.8247088</v>
      </c>
    </row>
    <row r="8" customHeight="1" spans="1:7">
      <c r="A8" s="314" t="s">
        <v>881</v>
      </c>
      <c r="B8" s="327" t="s">
        <v>882</v>
      </c>
      <c r="C8" s="328"/>
      <c r="D8" s="317"/>
      <c r="E8" s="326"/>
      <c r="F8" s="326"/>
      <c r="G8" s="329">
        <f>G9+G12</f>
        <v>256.4142</v>
      </c>
    </row>
    <row r="9" customHeight="1" spans="1:7">
      <c r="A9" s="314" t="s">
        <v>17</v>
      </c>
      <c r="B9" s="327" t="s">
        <v>510</v>
      </c>
      <c r="C9" s="328"/>
      <c r="D9" s="317"/>
      <c r="E9" s="326"/>
      <c r="F9" s="326"/>
      <c r="G9" s="329">
        <f>SUM(G10:G11)</f>
        <v>244.204</v>
      </c>
    </row>
    <row r="10" customHeight="1" spans="1:7">
      <c r="A10" s="314"/>
      <c r="B10" s="327" t="s">
        <v>704</v>
      </c>
      <c r="C10" s="328"/>
      <c r="D10" s="317" t="s">
        <v>705</v>
      </c>
      <c r="E10" s="330">
        <v>0.8</v>
      </c>
      <c r="F10" s="330">
        <f>主要材料预算!$D$19</f>
        <v>8.1</v>
      </c>
      <c r="G10" s="329">
        <f t="shared" ref="G10:G18" si="0">E10*F10</f>
        <v>6.48</v>
      </c>
    </row>
    <row r="11" customHeight="1" spans="1:7">
      <c r="A11" s="314"/>
      <c r="B11" s="327" t="s">
        <v>706</v>
      </c>
      <c r="C11" s="328"/>
      <c r="D11" s="317" t="s">
        <v>705</v>
      </c>
      <c r="E11" s="330">
        <v>41.2</v>
      </c>
      <c r="F11" s="326">
        <f>主要材料预算!$D$20</f>
        <v>5.77</v>
      </c>
      <c r="G11" s="329">
        <f t="shared" si="0"/>
        <v>237.724</v>
      </c>
    </row>
    <row r="12" customHeight="1" spans="1:7">
      <c r="A12" s="314" t="s">
        <v>19</v>
      </c>
      <c r="B12" s="327" t="s">
        <v>511</v>
      </c>
      <c r="C12" s="328"/>
      <c r="D12" s="317"/>
      <c r="E12" s="326"/>
      <c r="F12" s="326"/>
      <c r="G12" s="329">
        <f>G13</f>
        <v>12.2102</v>
      </c>
    </row>
    <row r="13" customHeight="1" spans="1:7">
      <c r="A13" s="314"/>
      <c r="B13" s="327" t="s">
        <v>1008</v>
      </c>
      <c r="C13" s="328"/>
      <c r="D13" s="317" t="s">
        <v>894</v>
      </c>
      <c r="E13" s="147">
        <f>G9</f>
        <v>244.204</v>
      </c>
      <c r="F13" s="331">
        <v>5</v>
      </c>
      <c r="G13" s="329">
        <f>E13*F13/100</f>
        <v>12.2102</v>
      </c>
    </row>
    <row r="14" customHeight="1" spans="1:7">
      <c r="A14" s="314" t="s">
        <v>905</v>
      </c>
      <c r="B14" s="327" t="s">
        <v>514</v>
      </c>
      <c r="C14" s="328"/>
      <c r="D14" s="317"/>
      <c r="E14" s="332">
        <f>G8</f>
        <v>256.4142</v>
      </c>
      <c r="F14" s="333">
        <f>费率表!$C$12</f>
        <v>0.064</v>
      </c>
      <c r="G14" s="329">
        <f t="shared" si="0"/>
        <v>16.4105088</v>
      </c>
    </row>
    <row r="15" customHeight="1" spans="1:7">
      <c r="A15" s="314" t="s">
        <v>10</v>
      </c>
      <c r="B15" s="327" t="s">
        <v>770</v>
      </c>
      <c r="C15" s="328"/>
      <c r="D15" s="317"/>
      <c r="E15" s="326">
        <f>G7</f>
        <v>272.8247088</v>
      </c>
      <c r="F15" s="334">
        <f>费率表!$C$13</f>
        <v>0.05</v>
      </c>
      <c r="G15" s="329">
        <f t="shared" si="0"/>
        <v>13.64123544</v>
      </c>
    </row>
    <row r="16" customHeight="1" spans="1:7">
      <c r="A16" s="314" t="s">
        <v>12</v>
      </c>
      <c r="B16" s="327" t="s">
        <v>771</v>
      </c>
      <c r="C16" s="328"/>
      <c r="D16" s="317"/>
      <c r="E16" s="326">
        <f>G7+G15</f>
        <v>286.46594424</v>
      </c>
      <c r="F16" s="334">
        <f>费率表!$C$14</f>
        <v>0.07</v>
      </c>
      <c r="G16" s="329">
        <f t="shared" si="0"/>
        <v>20.0526160968</v>
      </c>
    </row>
    <row r="17" customHeight="1" spans="1:7">
      <c r="A17" s="314" t="s">
        <v>15</v>
      </c>
      <c r="B17" s="327" t="s">
        <v>772</v>
      </c>
      <c r="C17" s="328"/>
      <c r="D17" s="317"/>
      <c r="E17" s="326">
        <f>G7+G15++G16</f>
        <v>306.5185603368</v>
      </c>
      <c r="F17" s="334">
        <f>费率表!$C$15</f>
        <v>0.09</v>
      </c>
      <c r="G17" s="329">
        <f t="shared" si="0"/>
        <v>27.586670430312</v>
      </c>
    </row>
    <row r="18" customHeight="1" spans="1:7">
      <c r="A18" s="314"/>
      <c r="B18" s="327" t="s">
        <v>907</v>
      </c>
      <c r="C18" s="328"/>
      <c r="D18" s="317"/>
      <c r="E18" s="326">
        <f>G7+G15+G16+G17</f>
        <v>334.105230767112</v>
      </c>
      <c r="F18" s="334">
        <f>费率表!$I$19</f>
        <v>0.03</v>
      </c>
      <c r="G18" s="329">
        <f t="shared" si="0"/>
        <v>10.0231569230134</v>
      </c>
    </row>
    <row r="19" customHeight="1" spans="1:7">
      <c r="A19" s="335"/>
      <c r="B19" s="336" t="s">
        <v>39</v>
      </c>
      <c r="C19" s="337"/>
      <c r="D19" s="338"/>
      <c r="E19" s="339"/>
      <c r="F19" s="338"/>
      <c r="G19" s="340">
        <f>G7+G15+G16+G17+G18</f>
        <v>344.128387690125</v>
      </c>
    </row>
    <row r="20" customHeight="1" spans="1:7">
      <c r="A20" s="227"/>
      <c r="B20" s="227"/>
      <c r="C20" s="341"/>
      <c r="D20" s="227"/>
      <c r="E20" s="228"/>
      <c r="F20" s="227"/>
      <c r="G20" s="228"/>
    </row>
    <row r="21" customHeight="1" spans="1:7">
      <c r="A21" s="308" t="s">
        <v>868</v>
      </c>
      <c r="B21" s="308"/>
      <c r="C21" s="308"/>
      <c r="D21" s="308"/>
      <c r="E21" s="308"/>
      <c r="F21" s="308"/>
      <c r="G21" s="308"/>
    </row>
    <row r="22" customHeight="1" spans="1:7">
      <c r="A22" s="309" t="s">
        <v>869</v>
      </c>
      <c r="B22" s="310"/>
      <c r="C22" s="310" t="s">
        <v>17</v>
      </c>
      <c r="D22" s="310" t="s">
        <v>870</v>
      </c>
      <c r="E22" s="311" t="s">
        <v>1229</v>
      </c>
      <c r="F22" s="312"/>
      <c r="G22" s="313"/>
    </row>
    <row r="23" customHeight="1" spans="1:7">
      <c r="A23" s="314" t="s">
        <v>507</v>
      </c>
      <c r="B23" s="315"/>
      <c r="C23" s="316" t="s">
        <v>1230</v>
      </c>
      <c r="D23" s="316"/>
      <c r="E23" s="316"/>
      <c r="F23" s="317" t="s">
        <v>873</v>
      </c>
      <c r="G23" s="318" t="s">
        <v>874</v>
      </c>
    </row>
    <row r="24" customHeight="1" spans="1:7">
      <c r="A24" s="319" t="s">
        <v>1231</v>
      </c>
      <c r="B24" s="320"/>
      <c r="C24" s="320"/>
      <c r="D24" s="320"/>
      <c r="E24" s="320"/>
      <c r="F24" s="320"/>
      <c r="G24" s="321"/>
    </row>
    <row r="25" customHeight="1" spans="1:7">
      <c r="A25" s="322" t="s">
        <v>1228</v>
      </c>
      <c r="B25" s="323"/>
      <c r="C25" s="324"/>
      <c r="D25" s="324"/>
      <c r="E25" s="324"/>
      <c r="F25" s="324"/>
      <c r="G25" s="325"/>
    </row>
    <row r="26" customHeight="1" spans="1:7">
      <c r="A26" s="314" t="s">
        <v>34</v>
      </c>
      <c r="B26" s="317" t="s">
        <v>761</v>
      </c>
      <c r="C26" s="317"/>
      <c r="D26" s="317" t="s">
        <v>60</v>
      </c>
      <c r="E26" s="326" t="s">
        <v>877</v>
      </c>
      <c r="F26" s="317" t="s">
        <v>878</v>
      </c>
      <c r="G26" s="318" t="s">
        <v>879</v>
      </c>
    </row>
    <row r="27" customHeight="1" spans="1:7">
      <c r="A27" s="314" t="s">
        <v>8</v>
      </c>
      <c r="B27" s="327" t="s">
        <v>880</v>
      </c>
      <c r="C27" s="328"/>
      <c r="D27" s="317"/>
      <c r="E27" s="326"/>
      <c r="F27" s="326"/>
      <c r="G27" s="329">
        <f>G28+G34</f>
        <v>532.1123052</v>
      </c>
    </row>
    <row r="28" customHeight="1" spans="1:7">
      <c r="A28" s="314" t="s">
        <v>881</v>
      </c>
      <c r="B28" s="327" t="s">
        <v>882</v>
      </c>
      <c r="C28" s="328"/>
      <c r="D28" s="317"/>
      <c r="E28" s="326"/>
      <c r="F28" s="326"/>
      <c r="G28" s="329">
        <f>G29+G32</f>
        <v>500.10555</v>
      </c>
    </row>
    <row r="29" customHeight="1" spans="1:7">
      <c r="A29" s="314" t="s">
        <v>17</v>
      </c>
      <c r="B29" s="327" t="s">
        <v>510</v>
      </c>
      <c r="C29" s="328"/>
      <c r="D29" s="317"/>
      <c r="E29" s="326"/>
      <c r="F29" s="326"/>
      <c r="G29" s="329">
        <f>SUM(G30:G31)</f>
        <v>476.291</v>
      </c>
    </row>
    <row r="30" customHeight="1" spans="1:7">
      <c r="A30" s="314"/>
      <c r="B30" s="327" t="s">
        <v>704</v>
      </c>
      <c r="C30" s="328"/>
      <c r="D30" s="317" t="s">
        <v>705</v>
      </c>
      <c r="E30" s="330">
        <v>1.6</v>
      </c>
      <c r="F30" s="330">
        <f>主要材料预算!$D$19</f>
        <v>8.1</v>
      </c>
      <c r="G30" s="329">
        <f t="shared" ref="G30:G38" si="1">E30*F30</f>
        <v>12.96</v>
      </c>
    </row>
    <row r="31" customHeight="1" spans="1:7">
      <c r="A31" s="314"/>
      <c r="B31" s="327" t="s">
        <v>706</v>
      </c>
      <c r="C31" s="328"/>
      <c r="D31" s="317" t="s">
        <v>705</v>
      </c>
      <c r="E31" s="330">
        <v>80.3</v>
      </c>
      <c r="F31" s="326">
        <f>主要材料预算!$D$20</f>
        <v>5.77</v>
      </c>
      <c r="G31" s="329">
        <f t="shared" si="1"/>
        <v>463.331</v>
      </c>
    </row>
    <row r="32" customHeight="1" spans="1:7">
      <c r="A32" s="314" t="s">
        <v>19</v>
      </c>
      <c r="B32" s="327" t="s">
        <v>511</v>
      </c>
      <c r="C32" s="328"/>
      <c r="D32" s="317"/>
      <c r="E32" s="326"/>
      <c r="F32" s="326"/>
      <c r="G32" s="329">
        <f>G33</f>
        <v>23.81455</v>
      </c>
    </row>
    <row r="33" customHeight="1" spans="1:7">
      <c r="A33" s="314"/>
      <c r="B33" s="327" t="s">
        <v>1008</v>
      </c>
      <c r="C33" s="328"/>
      <c r="D33" s="317" t="s">
        <v>894</v>
      </c>
      <c r="E33" s="147">
        <f>G29</f>
        <v>476.291</v>
      </c>
      <c r="F33" s="331">
        <v>5</v>
      </c>
      <c r="G33" s="329">
        <f>E33*F33/100</f>
        <v>23.81455</v>
      </c>
    </row>
    <row r="34" customHeight="1" spans="1:7">
      <c r="A34" s="314" t="s">
        <v>905</v>
      </c>
      <c r="B34" s="327" t="s">
        <v>514</v>
      </c>
      <c r="C34" s="328"/>
      <c r="D34" s="317"/>
      <c r="E34" s="332">
        <f>G28</f>
        <v>500.10555</v>
      </c>
      <c r="F34" s="333">
        <f>费率表!$C$12</f>
        <v>0.064</v>
      </c>
      <c r="G34" s="329">
        <f t="shared" si="1"/>
        <v>32.0067552</v>
      </c>
    </row>
    <row r="35" customHeight="1" spans="1:7">
      <c r="A35" s="314" t="s">
        <v>10</v>
      </c>
      <c r="B35" s="327" t="s">
        <v>770</v>
      </c>
      <c r="C35" s="328"/>
      <c r="D35" s="317"/>
      <c r="E35" s="326">
        <f>G27</f>
        <v>532.1123052</v>
      </c>
      <c r="F35" s="334">
        <f>费率表!$C$13</f>
        <v>0.05</v>
      </c>
      <c r="G35" s="329">
        <f t="shared" si="1"/>
        <v>26.60561526</v>
      </c>
    </row>
    <row r="36" customHeight="1" spans="1:7">
      <c r="A36" s="314" t="s">
        <v>12</v>
      </c>
      <c r="B36" s="327" t="s">
        <v>771</v>
      </c>
      <c r="C36" s="328"/>
      <c r="D36" s="317"/>
      <c r="E36" s="326">
        <f>G27+G35</f>
        <v>558.71792046</v>
      </c>
      <c r="F36" s="334">
        <f>费率表!$C$14</f>
        <v>0.07</v>
      </c>
      <c r="G36" s="329">
        <f t="shared" si="1"/>
        <v>39.1102544322</v>
      </c>
    </row>
    <row r="37" customHeight="1" spans="1:7">
      <c r="A37" s="314" t="s">
        <v>15</v>
      </c>
      <c r="B37" s="327" t="s">
        <v>772</v>
      </c>
      <c r="C37" s="328"/>
      <c r="D37" s="317"/>
      <c r="E37" s="326">
        <f>G27+G35++G36</f>
        <v>597.8281748922</v>
      </c>
      <c r="F37" s="334">
        <f>费率表!$C$15</f>
        <v>0.09</v>
      </c>
      <c r="G37" s="329">
        <f t="shared" si="1"/>
        <v>53.804535740298</v>
      </c>
    </row>
    <row r="38" customHeight="1" spans="1:7">
      <c r="A38" s="314"/>
      <c r="B38" s="327" t="s">
        <v>907</v>
      </c>
      <c r="C38" s="328"/>
      <c r="D38" s="317"/>
      <c r="E38" s="326">
        <f>G27+G35+G36+G37</f>
        <v>651.632710632498</v>
      </c>
      <c r="F38" s="334">
        <f>费率表!$I$19</f>
        <v>0.03</v>
      </c>
      <c r="G38" s="329">
        <f t="shared" si="1"/>
        <v>19.5489813189749</v>
      </c>
    </row>
    <row r="39" customHeight="1" spans="1:7">
      <c r="A39" s="335"/>
      <c r="B39" s="336" t="s">
        <v>39</v>
      </c>
      <c r="C39" s="337"/>
      <c r="D39" s="338"/>
      <c r="E39" s="339"/>
      <c r="F39" s="338"/>
      <c r="G39" s="340">
        <f>G27+G35+G36+G37+G38</f>
        <v>671.181691951473</v>
      </c>
    </row>
    <row r="40" customHeight="1" spans="1:7">
      <c r="A40" s="308" t="s">
        <v>868</v>
      </c>
      <c r="B40" s="308"/>
      <c r="C40" s="308"/>
      <c r="D40" s="308"/>
      <c r="E40" s="308"/>
      <c r="F40" s="308"/>
      <c r="G40" s="308"/>
    </row>
    <row r="41" customHeight="1" spans="1:7">
      <c r="A41" s="309" t="s">
        <v>869</v>
      </c>
      <c r="B41" s="310"/>
      <c r="C41" s="310" t="s">
        <v>19</v>
      </c>
      <c r="D41" s="310" t="s">
        <v>870</v>
      </c>
      <c r="E41" s="311" t="s">
        <v>1232</v>
      </c>
      <c r="F41" s="312"/>
      <c r="G41" s="313"/>
    </row>
    <row r="42" customHeight="1" spans="1:7">
      <c r="A42" s="314" t="s">
        <v>507</v>
      </c>
      <c r="B42" s="315"/>
      <c r="C42" s="316" t="s">
        <v>1233</v>
      </c>
      <c r="D42" s="316"/>
      <c r="E42" s="316"/>
      <c r="F42" s="317" t="s">
        <v>873</v>
      </c>
      <c r="G42" s="318" t="s">
        <v>874</v>
      </c>
    </row>
    <row r="43" customHeight="1" spans="1:7">
      <c r="A43" s="319" t="s">
        <v>1234</v>
      </c>
      <c r="B43" s="320"/>
      <c r="C43" s="320"/>
      <c r="D43" s="320"/>
      <c r="E43" s="320"/>
      <c r="F43" s="320"/>
      <c r="G43" s="321"/>
    </row>
    <row r="44" customHeight="1" spans="1:7">
      <c r="A44" s="322" t="s">
        <v>1235</v>
      </c>
      <c r="B44" s="323"/>
      <c r="C44" s="324"/>
      <c r="D44" s="324"/>
      <c r="E44" s="324"/>
      <c r="F44" s="324"/>
      <c r="G44" s="325"/>
    </row>
    <row r="45" customHeight="1" spans="1:7">
      <c r="A45" s="314" t="s">
        <v>34</v>
      </c>
      <c r="B45" s="317" t="s">
        <v>761</v>
      </c>
      <c r="C45" s="317"/>
      <c r="D45" s="317" t="s">
        <v>60</v>
      </c>
      <c r="E45" s="326" t="s">
        <v>877</v>
      </c>
      <c r="F45" s="317" t="s">
        <v>878</v>
      </c>
      <c r="G45" s="318" t="s">
        <v>879</v>
      </c>
    </row>
    <row r="46" customHeight="1" spans="1:7">
      <c r="A46" s="314" t="s">
        <v>8</v>
      </c>
      <c r="B46" s="327" t="s">
        <v>880</v>
      </c>
      <c r="C46" s="328"/>
      <c r="D46" s="317"/>
      <c r="E46" s="326"/>
      <c r="F46" s="326"/>
      <c r="G46" s="329">
        <f>G47+G53</f>
        <v>684.583011504</v>
      </c>
    </row>
    <row r="47" customHeight="1" spans="1:7">
      <c r="A47" s="314" t="s">
        <v>881</v>
      </c>
      <c r="B47" s="327" t="s">
        <v>882</v>
      </c>
      <c r="C47" s="328"/>
      <c r="D47" s="317"/>
      <c r="E47" s="326"/>
      <c r="F47" s="326"/>
      <c r="G47" s="329">
        <f>G48+G51</f>
        <v>643.405086</v>
      </c>
    </row>
    <row r="48" customHeight="1" spans="1:7">
      <c r="A48" s="314" t="s">
        <v>17</v>
      </c>
      <c r="B48" s="327" t="s">
        <v>510</v>
      </c>
      <c r="C48" s="328"/>
      <c r="D48" s="317"/>
      <c r="E48" s="326"/>
      <c r="F48" s="326"/>
      <c r="G48" s="329">
        <f>SUM(G49:G50)</f>
        <v>630.7893</v>
      </c>
    </row>
    <row r="49" customHeight="1" spans="1:7">
      <c r="A49" s="314"/>
      <c r="B49" s="327" t="s">
        <v>704</v>
      </c>
      <c r="C49" s="328"/>
      <c r="D49" s="317" t="s">
        <v>705</v>
      </c>
      <c r="E49" s="330">
        <f>2.4*0.9</f>
        <v>2.16</v>
      </c>
      <c r="F49" s="330">
        <f>主要材料预算!$D$19</f>
        <v>8.1</v>
      </c>
      <c r="G49" s="329">
        <f t="shared" ref="G49:G57" si="2">E49*F49</f>
        <v>17.496</v>
      </c>
    </row>
    <row r="50" customHeight="1" spans="1:7">
      <c r="A50" s="314"/>
      <c r="B50" s="327" t="s">
        <v>706</v>
      </c>
      <c r="C50" s="328"/>
      <c r="D50" s="317" t="s">
        <v>705</v>
      </c>
      <c r="E50" s="330">
        <f>118.1*0.9</f>
        <v>106.29</v>
      </c>
      <c r="F50" s="326">
        <f>主要材料预算!$D$20</f>
        <v>5.77</v>
      </c>
      <c r="G50" s="329">
        <f t="shared" si="2"/>
        <v>613.2933</v>
      </c>
    </row>
    <row r="51" customHeight="1" spans="1:7">
      <c r="A51" s="314" t="s">
        <v>19</v>
      </c>
      <c r="B51" s="327" t="s">
        <v>511</v>
      </c>
      <c r="C51" s="328"/>
      <c r="D51" s="317"/>
      <c r="E51" s="326"/>
      <c r="F51" s="326"/>
      <c r="G51" s="329">
        <f>G52</f>
        <v>12.615786</v>
      </c>
    </row>
    <row r="52" customHeight="1" spans="1:7">
      <c r="A52" s="314"/>
      <c r="B52" s="327" t="s">
        <v>1008</v>
      </c>
      <c r="C52" s="328"/>
      <c r="D52" s="317" t="s">
        <v>894</v>
      </c>
      <c r="E52" s="147">
        <f>G48</f>
        <v>630.7893</v>
      </c>
      <c r="F52" s="331">
        <v>2</v>
      </c>
      <c r="G52" s="329">
        <f>E52*F52/100</f>
        <v>12.615786</v>
      </c>
    </row>
    <row r="53" customHeight="1" spans="1:7">
      <c r="A53" s="314" t="s">
        <v>905</v>
      </c>
      <c r="B53" s="327" t="s">
        <v>514</v>
      </c>
      <c r="C53" s="328"/>
      <c r="D53" s="317"/>
      <c r="E53" s="332">
        <f>G47</f>
        <v>643.405086</v>
      </c>
      <c r="F53" s="333">
        <f>费率表!$C$12</f>
        <v>0.064</v>
      </c>
      <c r="G53" s="329">
        <f t="shared" si="2"/>
        <v>41.177925504</v>
      </c>
    </row>
    <row r="54" customHeight="1" spans="1:7">
      <c r="A54" s="314" t="s">
        <v>10</v>
      </c>
      <c r="B54" s="327" t="s">
        <v>770</v>
      </c>
      <c r="C54" s="328"/>
      <c r="D54" s="317"/>
      <c r="E54" s="326">
        <f>G46</f>
        <v>684.583011504</v>
      </c>
      <c r="F54" s="334">
        <f>费率表!$C$13</f>
        <v>0.05</v>
      </c>
      <c r="G54" s="329">
        <f t="shared" si="2"/>
        <v>34.2291505752</v>
      </c>
    </row>
    <row r="55" customHeight="1" spans="1:7">
      <c r="A55" s="314" t="s">
        <v>12</v>
      </c>
      <c r="B55" s="327" t="s">
        <v>771</v>
      </c>
      <c r="C55" s="328"/>
      <c r="D55" s="317"/>
      <c r="E55" s="326">
        <f>G46+G54</f>
        <v>718.8121620792</v>
      </c>
      <c r="F55" s="334">
        <f>费率表!$C$14</f>
        <v>0.07</v>
      </c>
      <c r="G55" s="329">
        <f t="shared" si="2"/>
        <v>50.316851345544</v>
      </c>
    </row>
    <row r="56" customHeight="1" spans="1:7">
      <c r="A56" s="314" t="s">
        <v>15</v>
      </c>
      <c r="B56" s="327" t="s">
        <v>772</v>
      </c>
      <c r="C56" s="328"/>
      <c r="D56" s="317"/>
      <c r="E56" s="326">
        <f>G46+G54++G55</f>
        <v>769.129013424744</v>
      </c>
      <c r="F56" s="334">
        <f>费率表!$C$15</f>
        <v>0.09</v>
      </c>
      <c r="G56" s="329">
        <f t="shared" si="2"/>
        <v>69.2216112082269</v>
      </c>
    </row>
    <row r="57" customHeight="1" spans="1:7">
      <c r="A57" s="314"/>
      <c r="B57" s="327" t="s">
        <v>907</v>
      </c>
      <c r="C57" s="328"/>
      <c r="D57" s="317"/>
      <c r="E57" s="326">
        <f>G46+G54+G55+G56</f>
        <v>838.350624632971</v>
      </c>
      <c r="F57" s="334">
        <f>费率表!$I$19</f>
        <v>0.03</v>
      </c>
      <c r="G57" s="329">
        <f t="shared" si="2"/>
        <v>25.1505187389891</v>
      </c>
    </row>
    <row r="58" customHeight="1" spans="1:7">
      <c r="A58" s="335"/>
      <c r="B58" s="336" t="s">
        <v>39</v>
      </c>
      <c r="C58" s="337"/>
      <c r="D58" s="338"/>
      <c r="E58" s="339"/>
      <c r="F58" s="338"/>
      <c r="G58" s="340">
        <f>G46+G54+G55+G56+G57</f>
        <v>863.50114337196</v>
      </c>
    </row>
    <row r="59" customHeight="1" spans="1:7">
      <c r="A59" s="227"/>
      <c r="B59" s="227"/>
      <c r="C59" s="227"/>
      <c r="D59" s="227"/>
      <c r="E59" s="228"/>
      <c r="F59" s="227"/>
      <c r="G59" s="228"/>
    </row>
    <row r="60" customHeight="1" spans="1:7">
      <c r="A60" s="308" t="s">
        <v>868</v>
      </c>
      <c r="B60" s="308"/>
      <c r="C60" s="308"/>
      <c r="D60" s="308"/>
      <c r="E60" s="308"/>
      <c r="F60" s="308"/>
      <c r="G60" s="308"/>
    </row>
    <row r="61" customHeight="1" spans="1:7">
      <c r="A61" s="309" t="s">
        <v>869</v>
      </c>
      <c r="B61" s="310"/>
      <c r="C61" s="310" t="s">
        <v>19</v>
      </c>
      <c r="D61" s="310" t="s">
        <v>870</v>
      </c>
      <c r="E61" s="311" t="s">
        <v>1236</v>
      </c>
      <c r="F61" s="312"/>
      <c r="G61" s="313"/>
    </row>
    <row r="62" customHeight="1" spans="1:7">
      <c r="A62" s="314" t="s">
        <v>507</v>
      </c>
      <c r="B62" s="315"/>
      <c r="C62" s="316" t="s">
        <v>1233</v>
      </c>
      <c r="D62" s="316"/>
      <c r="E62" s="316"/>
      <c r="F62" s="317" t="s">
        <v>873</v>
      </c>
      <c r="G62" s="318" t="s">
        <v>874</v>
      </c>
    </row>
    <row r="63" customHeight="1" spans="1:7">
      <c r="A63" s="319" t="s">
        <v>1237</v>
      </c>
      <c r="B63" s="320"/>
      <c r="C63" s="320"/>
      <c r="D63" s="320"/>
      <c r="E63" s="320"/>
      <c r="F63" s="320"/>
      <c r="G63" s="321"/>
    </row>
    <row r="64" customHeight="1" spans="1:7">
      <c r="A64" s="322" t="s">
        <v>1235</v>
      </c>
      <c r="B64" s="323"/>
      <c r="C64" s="324"/>
      <c r="D64" s="324"/>
      <c r="E64" s="324"/>
      <c r="F64" s="324"/>
      <c r="G64" s="325"/>
    </row>
    <row r="65" customHeight="1" spans="1:7">
      <c r="A65" s="314" t="s">
        <v>34</v>
      </c>
      <c r="B65" s="317" t="s">
        <v>761</v>
      </c>
      <c r="C65" s="317"/>
      <c r="D65" s="317" t="s">
        <v>60</v>
      </c>
      <c r="E65" s="326" t="s">
        <v>877</v>
      </c>
      <c r="F65" s="317" t="s">
        <v>878</v>
      </c>
      <c r="G65" s="318" t="s">
        <v>879</v>
      </c>
    </row>
    <row r="66" customHeight="1" spans="1:7">
      <c r="A66" s="314" t="s">
        <v>8</v>
      </c>
      <c r="B66" s="327" t="s">
        <v>880</v>
      </c>
      <c r="C66" s="328"/>
      <c r="D66" s="317"/>
      <c r="E66" s="326"/>
      <c r="F66" s="326"/>
      <c r="G66" s="329">
        <f>G67+G73</f>
        <v>1318.13984736</v>
      </c>
    </row>
    <row r="67" customHeight="1" spans="1:7">
      <c r="A67" s="314" t="s">
        <v>881</v>
      </c>
      <c r="B67" s="327" t="s">
        <v>882</v>
      </c>
      <c r="C67" s="328"/>
      <c r="D67" s="317"/>
      <c r="E67" s="326"/>
      <c r="F67" s="326"/>
      <c r="G67" s="329">
        <f>G68+G71</f>
        <v>1238.85324</v>
      </c>
    </row>
    <row r="68" customHeight="1" spans="1:7">
      <c r="A68" s="314" t="s">
        <v>17</v>
      </c>
      <c r="B68" s="327" t="s">
        <v>510</v>
      </c>
      <c r="C68" s="328"/>
      <c r="D68" s="317"/>
      <c r="E68" s="326"/>
      <c r="F68" s="326"/>
      <c r="G68" s="329">
        <f>SUM(G69:G70)</f>
        <v>1214.562</v>
      </c>
    </row>
    <row r="69" customHeight="1" spans="1:7">
      <c r="A69" s="314"/>
      <c r="B69" s="327" t="s">
        <v>704</v>
      </c>
      <c r="C69" s="328"/>
      <c r="D69" s="317" t="s">
        <v>705</v>
      </c>
      <c r="E69" s="330">
        <f>4.2</f>
        <v>4.2</v>
      </c>
      <c r="F69" s="330">
        <f>主要材料预算!$D$19</f>
        <v>8.1</v>
      </c>
      <c r="G69" s="329">
        <f t="shared" ref="G69:G77" si="3">E69*F69</f>
        <v>34.02</v>
      </c>
    </row>
    <row r="70" customHeight="1" spans="1:7">
      <c r="A70" s="314"/>
      <c r="B70" s="327" t="s">
        <v>706</v>
      </c>
      <c r="C70" s="328"/>
      <c r="D70" s="317" t="s">
        <v>705</v>
      </c>
      <c r="E70" s="330">
        <f>204.6</f>
        <v>204.6</v>
      </c>
      <c r="F70" s="326">
        <f>主要材料预算!$D$20</f>
        <v>5.77</v>
      </c>
      <c r="G70" s="329">
        <f t="shared" si="3"/>
        <v>1180.542</v>
      </c>
    </row>
    <row r="71" customHeight="1" spans="1:7">
      <c r="A71" s="314" t="s">
        <v>19</v>
      </c>
      <c r="B71" s="327" t="s">
        <v>511</v>
      </c>
      <c r="C71" s="328"/>
      <c r="D71" s="317"/>
      <c r="E71" s="326"/>
      <c r="F71" s="326"/>
      <c r="G71" s="329">
        <f>G72</f>
        <v>24.29124</v>
      </c>
    </row>
    <row r="72" customHeight="1" spans="1:7">
      <c r="A72" s="314"/>
      <c r="B72" s="327" t="s">
        <v>1008</v>
      </c>
      <c r="C72" s="328"/>
      <c r="D72" s="317" t="s">
        <v>894</v>
      </c>
      <c r="E72" s="147">
        <f>G68</f>
        <v>1214.562</v>
      </c>
      <c r="F72" s="331">
        <v>2</v>
      </c>
      <c r="G72" s="329">
        <f>E72*F72/100</f>
        <v>24.29124</v>
      </c>
    </row>
    <row r="73" customHeight="1" spans="1:7">
      <c r="A73" s="314" t="s">
        <v>905</v>
      </c>
      <c r="B73" s="327" t="s">
        <v>514</v>
      </c>
      <c r="C73" s="328"/>
      <c r="D73" s="317"/>
      <c r="E73" s="332">
        <f>G67</f>
        <v>1238.85324</v>
      </c>
      <c r="F73" s="333">
        <f>费率表!$C$12</f>
        <v>0.064</v>
      </c>
      <c r="G73" s="329">
        <f t="shared" si="3"/>
        <v>79.28660736</v>
      </c>
    </row>
    <row r="74" customHeight="1" spans="1:7">
      <c r="A74" s="314" t="s">
        <v>10</v>
      </c>
      <c r="B74" s="327" t="s">
        <v>770</v>
      </c>
      <c r="C74" s="328"/>
      <c r="D74" s="317"/>
      <c r="E74" s="326">
        <f>G66</f>
        <v>1318.13984736</v>
      </c>
      <c r="F74" s="334">
        <f>费率表!$C$13</f>
        <v>0.05</v>
      </c>
      <c r="G74" s="329">
        <f t="shared" si="3"/>
        <v>65.906992368</v>
      </c>
    </row>
    <row r="75" customHeight="1" spans="1:7">
      <c r="A75" s="314" t="s">
        <v>12</v>
      </c>
      <c r="B75" s="327" t="s">
        <v>771</v>
      </c>
      <c r="C75" s="328"/>
      <c r="D75" s="317"/>
      <c r="E75" s="326">
        <f>G66+G74</f>
        <v>1384.046839728</v>
      </c>
      <c r="F75" s="334">
        <f>费率表!$C$14</f>
        <v>0.07</v>
      </c>
      <c r="G75" s="329">
        <f t="shared" si="3"/>
        <v>96.88327878096</v>
      </c>
    </row>
    <row r="76" customHeight="1" spans="1:7">
      <c r="A76" s="314" t="s">
        <v>15</v>
      </c>
      <c r="B76" s="327" t="s">
        <v>772</v>
      </c>
      <c r="C76" s="328"/>
      <c r="D76" s="317"/>
      <c r="E76" s="326">
        <f>G66+G74++G75</f>
        <v>1480.93011850896</v>
      </c>
      <c r="F76" s="334">
        <f>费率表!$C$15</f>
        <v>0.09</v>
      </c>
      <c r="G76" s="329">
        <f t="shared" si="3"/>
        <v>133.283710665806</v>
      </c>
    </row>
    <row r="77" customHeight="1" spans="1:7">
      <c r="A77" s="314"/>
      <c r="B77" s="327" t="s">
        <v>907</v>
      </c>
      <c r="C77" s="328"/>
      <c r="D77" s="317"/>
      <c r="E77" s="326">
        <f>G66+G74+G75+G76</f>
        <v>1614.21382917477</v>
      </c>
      <c r="F77" s="334">
        <f>费率表!$I$19</f>
        <v>0.03</v>
      </c>
      <c r="G77" s="329">
        <f t="shared" si="3"/>
        <v>48.426414875243</v>
      </c>
    </row>
    <row r="78" customHeight="1" spans="1:7">
      <c r="A78" s="335"/>
      <c r="B78" s="336" t="s">
        <v>39</v>
      </c>
      <c r="C78" s="337"/>
      <c r="D78" s="338"/>
      <c r="E78" s="339"/>
      <c r="F78" s="338"/>
      <c r="G78" s="340">
        <f>G66+G74+G75+G76+G77</f>
        <v>1662.64024405001</v>
      </c>
    </row>
    <row r="79" customHeight="1" spans="1:7">
      <c r="A79" s="227"/>
      <c r="B79" s="227"/>
      <c r="C79" s="341"/>
      <c r="D79" s="227"/>
      <c r="E79" s="228"/>
      <c r="F79" s="227"/>
      <c r="G79" s="228"/>
    </row>
    <row r="80" customHeight="1" spans="1:7">
      <c r="A80" s="308" t="s">
        <v>868</v>
      </c>
      <c r="B80" s="308"/>
      <c r="C80" s="308"/>
      <c r="D80" s="308"/>
      <c r="E80" s="308"/>
      <c r="F80" s="308"/>
      <c r="G80" s="308"/>
    </row>
    <row r="81" customHeight="1" spans="1:7">
      <c r="A81" s="309" t="s">
        <v>869</v>
      </c>
      <c r="B81" s="310"/>
      <c r="C81" s="310" t="s">
        <v>21</v>
      </c>
      <c r="D81" s="310" t="s">
        <v>870</v>
      </c>
      <c r="E81" s="311" t="s">
        <v>1238</v>
      </c>
      <c r="F81" s="312"/>
      <c r="G81" s="313"/>
    </row>
    <row r="82" customHeight="1" spans="1:7">
      <c r="A82" s="314" t="s">
        <v>507</v>
      </c>
      <c r="B82" s="315"/>
      <c r="C82" s="316" t="s">
        <v>1239</v>
      </c>
      <c r="D82" s="316"/>
      <c r="E82" s="316"/>
      <c r="F82" s="317" t="s">
        <v>873</v>
      </c>
      <c r="G82" s="318" t="s">
        <v>874</v>
      </c>
    </row>
    <row r="83" customHeight="1" spans="1:7">
      <c r="A83" s="319" t="s">
        <v>1240</v>
      </c>
      <c r="B83" s="320"/>
      <c r="C83" s="320"/>
      <c r="D83" s="320"/>
      <c r="E83" s="320"/>
      <c r="F83" s="320"/>
      <c r="G83" s="321"/>
    </row>
    <row r="84" customHeight="1" spans="1:7">
      <c r="A84" s="322" t="s">
        <v>1235</v>
      </c>
      <c r="B84" s="323"/>
      <c r="C84" s="324"/>
      <c r="D84" s="324"/>
      <c r="E84" s="324"/>
      <c r="F84" s="324"/>
      <c r="G84" s="325"/>
    </row>
    <row r="85" customHeight="1" spans="1:7">
      <c r="A85" s="314" t="s">
        <v>34</v>
      </c>
      <c r="B85" s="317" t="s">
        <v>761</v>
      </c>
      <c r="C85" s="317"/>
      <c r="D85" s="317" t="s">
        <v>60</v>
      </c>
      <c r="E85" s="326" t="s">
        <v>877</v>
      </c>
      <c r="F85" s="317" t="s">
        <v>878</v>
      </c>
      <c r="G85" s="318" t="s">
        <v>879</v>
      </c>
    </row>
    <row r="86" customHeight="1" spans="1:7">
      <c r="A86" s="314" t="s">
        <v>8</v>
      </c>
      <c r="B86" s="327" t="s">
        <v>880</v>
      </c>
      <c r="C86" s="328"/>
      <c r="D86" s="317"/>
      <c r="E86" s="326"/>
      <c r="F86" s="326"/>
      <c r="G86" s="329">
        <f>G87+G93</f>
        <v>1240.35782976</v>
      </c>
    </row>
    <row r="87" customHeight="1" spans="1:7">
      <c r="A87" s="314" t="s">
        <v>881</v>
      </c>
      <c r="B87" s="327" t="s">
        <v>882</v>
      </c>
      <c r="C87" s="328"/>
      <c r="D87" s="317"/>
      <c r="E87" s="326"/>
      <c r="F87" s="326"/>
      <c r="G87" s="329">
        <f>G88+G91</f>
        <v>1165.74984</v>
      </c>
    </row>
    <row r="88" customHeight="1" spans="1:7">
      <c r="A88" s="314" t="s">
        <v>17</v>
      </c>
      <c r="B88" s="327" t="s">
        <v>510</v>
      </c>
      <c r="C88" s="328"/>
      <c r="D88" s="317"/>
      <c r="E88" s="326"/>
      <c r="F88" s="326"/>
      <c r="G88" s="329">
        <f>SUM(G89:G90)</f>
        <v>1142.892</v>
      </c>
    </row>
    <row r="89" customHeight="1" spans="1:7">
      <c r="A89" s="314"/>
      <c r="B89" s="327" t="s">
        <v>704</v>
      </c>
      <c r="C89" s="328"/>
      <c r="D89" s="317" t="s">
        <v>705</v>
      </c>
      <c r="E89" s="330">
        <v>3.9</v>
      </c>
      <c r="F89" s="330">
        <f>主要材料预算!D19</f>
        <v>8.1</v>
      </c>
      <c r="G89" s="329">
        <f t="shared" ref="G89:G97" si="4">E89*F89</f>
        <v>31.59</v>
      </c>
    </row>
    <row r="90" customHeight="1" spans="1:7">
      <c r="A90" s="314"/>
      <c r="B90" s="327" t="s">
        <v>706</v>
      </c>
      <c r="C90" s="328"/>
      <c r="D90" s="317" t="s">
        <v>705</v>
      </c>
      <c r="E90" s="330">
        <v>192.6</v>
      </c>
      <c r="F90" s="326">
        <f>主要材料预算!D20</f>
        <v>5.77</v>
      </c>
      <c r="G90" s="329">
        <f t="shared" si="4"/>
        <v>1111.302</v>
      </c>
    </row>
    <row r="91" customHeight="1" spans="1:7">
      <c r="A91" s="314" t="s">
        <v>19</v>
      </c>
      <c r="B91" s="327" t="s">
        <v>511</v>
      </c>
      <c r="C91" s="328"/>
      <c r="D91" s="317"/>
      <c r="E91" s="326"/>
      <c r="F91" s="326"/>
      <c r="G91" s="329">
        <f>G92</f>
        <v>22.85784</v>
      </c>
    </row>
    <row r="92" customHeight="1" spans="1:7">
      <c r="A92" s="314"/>
      <c r="B92" s="327" t="s">
        <v>1008</v>
      </c>
      <c r="C92" s="328"/>
      <c r="D92" s="317" t="s">
        <v>894</v>
      </c>
      <c r="E92" s="147">
        <f>G88</f>
        <v>1142.892</v>
      </c>
      <c r="F92" s="331">
        <v>2</v>
      </c>
      <c r="G92" s="329">
        <f>E92*F92/100</f>
        <v>22.85784</v>
      </c>
    </row>
    <row r="93" customHeight="1" spans="1:7">
      <c r="A93" s="314" t="s">
        <v>905</v>
      </c>
      <c r="B93" s="327" t="s">
        <v>514</v>
      </c>
      <c r="C93" s="328"/>
      <c r="D93" s="317"/>
      <c r="E93" s="332">
        <f>G87</f>
        <v>1165.74984</v>
      </c>
      <c r="F93" s="333">
        <f>费率表!$C$12</f>
        <v>0.064</v>
      </c>
      <c r="G93" s="329">
        <f t="shared" si="4"/>
        <v>74.60798976</v>
      </c>
    </row>
    <row r="94" customHeight="1" spans="1:7">
      <c r="A94" s="314" t="s">
        <v>10</v>
      </c>
      <c r="B94" s="327" t="s">
        <v>770</v>
      </c>
      <c r="C94" s="328"/>
      <c r="D94" s="317"/>
      <c r="E94" s="326">
        <f>G86</f>
        <v>1240.35782976</v>
      </c>
      <c r="F94" s="334">
        <f>费率表!$C$13</f>
        <v>0.05</v>
      </c>
      <c r="G94" s="329">
        <f t="shared" si="4"/>
        <v>62.017891488</v>
      </c>
    </row>
    <row r="95" customHeight="1" spans="1:7">
      <c r="A95" s="314" t="s">
        <v>12</v>
      </c>
      <c r="B95" s="327" t="s">
        <v>771</v>
      </c>
      <c r="C95" s="328"/>
      <c r="D95" s="317"/>
      <c r="E95" s="326">
        <f>G86+G94</f>
        <v>1302.375721248</v>
      </c>
      <c r="F95" s="334">
        <f>费率表!$C$14</f>
        <v>0.07</v>
      </c>
      <c r="G95" s="329">
        <f t="shared" si="4"/>
        <v>91.16630048736</v>
      </c>
    </row>
    <row r="96" customHeight="1" spans="1:7">
      <c r="A96" s="314" t="s">
        <v>15</v>
      </c>
      <c r="B96" s="327" t="s">
        <v>772</v>
      </c>
      <c r="C96" s="328"/>
      <c r="D96" s="317"/>
      <c r="E96" s="326">
        <f>G86+G94++G95</f>
        <v>1393.54202173536</v>
      </c>
      <c r="F96" s="334">
        <f>费率表!$C$15</f>
        <v>0.09</v>
      </c>
      <c r="G96" s="329">
        <f t="shared" si="4"/>
        <v>125.418781956182</v>
      </c>
    </row>
    <row r="97" customHeight="1" spans="1:7">
      <c r="A97" s="314"/>
      <c r="B97" s="327" t="s">
        <v>907</v>
      </c>
      <c r="C97" s="328"/>
      <c r="D97" s="317"/>
      <c r="E97" s="326">
        <f>G86+G94+G95+G96</f>
        <v>1518.96080369154</v>
      </c>
      <c r="F97" s="334">
        <f>费率表!$I$19</f>
        <v>0.03</v>
      </c>
      <c r="G97" s="329">
        <f t="shared" si="4"/>
        <v>45.5688241107463</v>
      </c>
    </row>
    <row r="98" customHeight="1" spans="1:7">
      <c r="A98" s="335"/>
      <c r="B98" s="336" t="s">
        <v>39</v>
      </c>
      <c r="C98" s="337"/>
      <c r="D98" s="338"/>
      <c r="E98" s="339"/>
      <c r="F98" s="338"/>
      <c r="G98" s="340">
        <f>G86+G94+G95+G96+G97</f>
        <v>1564.52962780229</v>
      </c>
    </row>
    <row r="99" customHeight="1" spans="1:7">
      <c r="A99" s="342"/>
      <c r="B99" s="342"/>
      <c r="C99" s="195"/>
      <c r="D99" s="342"/>
      <c r="E99" s="193"/>
      <c r="F99" s="342"/>
      <c r="G99" s="193"/>
    </row>
    <row r="100" customHeight="1" spans="1:7">
      <c r="A100" s="308" t="s">
        <v>868</v>
      </c>
      <c r="B100" s="308"/>
      <c r="C100" s="308"/>
      <c r="D100" s="308"/>
      <c r="E100" s="308"/>
      <c r="F100" s="308"/>
      <c r="G100" s="308"/>
    </row>
    <row r="101" customHeight="1" spans="1:7">
      <c r="A101" s="309" t="s">
        <v>869</v>
      </c>
      <c r="B101" s="310"/>
      <c r="C101" s="310" t="s">
        <v>23</v>
      </c>
      <c r="D101" s="310" t="s">
        <v>870</v>
      </c>
      <c r="E101" s="311" t="s">
        <v>1241</v>
      </c>
      <c r="F101" s="312"/>
      <c r="G101" s="313"/>
    </row>
    <row r="102" customHeight="1" spans="1:7">
      <c r="A102" s="314" t="s">
        <v>507</v>
      </c>
      <c r="B102" s="315"/>
      <c r="C102" s="316" t="s">
        <v>1242</v>
      </c>
      <c r="D102" s="316"/>
      <c r="E102" s="316"/>
      <c r="F102" s="317" t="s">
        <v>873</v>
      </c>
      <c r="G102" s="318" t="s">
        <v>874</v>
      </c>
    </row>
    <row r="103" customHeight="1" spans="1:7">
      <c r="A103" s="319" t="s">
        <v>1243</v>
      </c>
      <c r="B103" s="320"/>
      <c r="C103" s="320"/>
      <c r="D103" s="320"/>
      <c r="E103" s="320"/>
      <c r="F103" s="320"/>
      <c r="G103" s="321"/>
    </row>
    <row r="104" customHeight="1" spans="1:7">
      <c r="A104" s="322" t="s">
        <v>1244</v>
      </c>
      <c r="B104" s="323"/>
      <c r="C104" s="324"/>
      <c r="D104" s="324"/>
      <c r="E104" s="324"/>
      <c r="F104" s="324"/>
      <c r="G104" s="325"/>
    </row>
    <row r="105" customHeight="1" spans="1:7">
      <c r="A105" s="314" t="s">
        <v>34</v>
      </c>
      <c r="B105" s="317" t="s">
        <v>761</v>
      </c>
      <c r="C105" s="317"/>
      <c r="D105" s="317" t="s">
        <v>60</v>
      </c>
      <c r="E105" s="326" t="s">
        <v>877</v>
      </c>
      <c r="F105" s="317" t="s">
        <v>878</v>
      </c>
      <c r="G105" s="318" t="s">
        <v>879</v>
      </c>
    </row>
    <row r="106" customHeight="1" spans="1:7">
      <c r="A106" s="314" t="s">
        <v>8</v>
      </c>
      <c r="B106" s="327" t="s">
        <v>880</v>
      </c>
      <c r="C106" s="328"/>
      <c r="D106" s="317"/>
      <c r="E106" s="326"/>
      <c r="F106" s="326"/>
      <c r="G106" s="329">
        <f>G107+G113</f>
        <v>2541.5901</v>
      </c>
    </row>
    <row r="107" customHeight="1" spans="1:7">
      <c r="A107" s="314" t="s">
        <v>881</v>
      </c>
      <c r="B107" s="327" t="s">
        <v>882</v>
      </c>
      <c r="C107" s="328"/>
      <c r="D107" s="317"/>
      <c r="E107" s="326"/>
      <c r="F107" s="326"/>
      <c r="G107" s="329">
        <f>G108+G111</f>
        <v>2388.7125</v>
      </c>
    </row>
    <row r="108" customHeight="1" spans="1:7">
      <c r="A108" s="314" t="s">
        <v>17</v>
      </c>
      <c r="B108" s="327" t="s">
        <v>510</v>
      </c>
      <c r="C108" s="328"/>
      <c r="D108" s="317"/>
      <c r="E108" s="326"/>
      <c r="F108" s="326"/>
      <c r="G108" s="329">
        <f>SUM(G109:G110)</f>
        <v>2341.875</v>
      </c>
    </row>
    <row r="109" customHeight="1" spans="1:7">
      <c r="A109" s="314"/>
      <c r="B109" s="327" t="s">
        <v>704</v>
      </c>
      <c r="C109" s="328"/>
      <c r="D109" s="317" t="s">
        <v>705</v>
      </c>
      <c r="E109" s="330">
        <v>8.1</v>
      </c>
      <c r="F109" s="330">
        <f>主要材料预算!D19</f>
        <v>8.1</v>
      </c>
      <c r="G109" s="329">
        <f t="shared" ref="G109:G117" si="5">E109*F109</f>
        <v>65.61</v>
      </c>
    </row>
    <row r="110" customHeight="1" spans="1:7">
      <c r="A110" s="314"/>
      <c r="B110" s="327" t="s">
        <v>706</v>
      </c>
      <c r="C110" s="328"/>
      <c r="D110" s="317" t="s">
        <v>705</v>
      </c>
      <c r="E110" s="330">
        <v>394.5</v>
      </c>
      <c r="F110" s="326">
        <f>主要材料预算!D20</f>
        <v>5.77</v>
      </c>
      <c r="G110" s="329">
        <f t="shared" si="5"/>
        <v>2276.265</v>
      </c>
    </row>
    <row r="111" customHeight="1" spans="1:7">
      <c r="A111" s="314" t="s">
        <v>19</v>
      </c>
      <c r="B111" s="327" t="s">
        <v>511</v>
      </c>
      <c r="C111" s="328"/>
      <c r="D111" s="317"/>
      <c r="E111" s="326"/>
      <c r="F111" s="326"/>
      <c r="G111" s="329">
        <f>G112</f>
        <v>46.8375</v>
      </c>
    </row>
    <row r="112" customHeight="1" spans="1:7">
      <c r="A112" s="314"/>
      <c r="B112" s="327" t="s">
        <v>1008</v>
      </c>
      <c r="C112" s="328"/>
      <c r="D112" s="317" t="s">
        <v>894</v>
      </c>
      <c r="E112" s="147">
        <f>G108</f>
        <v>2341.875</v>
      </c>
      <c r="F112" s="331">
        <v>2</v>
      </c>
      <c r="G112" s="329">
        <f>E112*F112/100</f>
        <v>46.8375</v>
      </c>
    </row>
    <row r="113" customHeight="1" spans="1:7">
      <c r="A113" s="314" t="s">
        <v>905</v>
      </c>
      <c r="B113" s="327" t="s">
        <v>514</v>
      </c>
      <c r="C113" s="328"/>
      <c r="D113" s="317"/>
      <c r="E113" s="332">
        <f>G107</f>
        <v>2388.7125</v>
      </c>
      <c r="F113" s="333">
        <f>费率表!$C$12</f>
        <v>0.064</v>
      </c>
      <c r="G113" s="329">
        <f t="shared" si="5"/>
        <v>152.8776</v>
      </c>
    </row>
    <row r="114" customHeight="1" spans="1:7">
      <c r="A114" s="314" t="s">
        <v>10</v>
      </c>
      <c r="B114" s="327" t="s">
        <v>770</v>
      </c>
      <c r="C114" s="328"/>
      <c r="D114" s="317"/>
      <c r="E114" s="326">
        <f>G106</f>
        <v>2541.5901</v>
      </c>
      <c r="F114" s="334">
        <f>费率表!$C$13</f>
        <v>0.05</v>
      </c>
      <c r="G114" s="329">
        <f t="shared" si="5"/>
        <v>127.079505</v>
      </c>
    </row>
    <row r="115" customHeight="1" spans="1:7">
      <c r="A115" s="314" t="s">
        <v>12</v>
      </c>
      <c r="B115" s="327" t="s">
        <v>771</v>
      </c>
      <c r="C115" s="328"/>
      <c r="D115" s="317"/>
      <c r="E115" s="326">
        <f>G106+G114</f>
        <v>2668.669605</v>
      </c>
      <c r="F115" s="334">
        <f>费率表!$C$14</f>
        <v>0.07</v>
      </c>
      <c r="G115" s="329">
        <f t="shared" si="5"/>
        <v>186.80687235</v>
      </c>
    </row>
    <row r="116" customHeight="1" spans="1:7">
      <c r="A116" s="314" t="s">
        <v>15</v>
      </c>
      <c r="B116" s="327" t="s">
        <v>772</v>
      </c>
      <c r="C116" s="328"/>
      <c r="D116" s="317"/>
      <c r="E116" s="326">
        <f>G106+G114++G115</f>
        <v>2855.47647735</v>
      </c>
      <c r="F116" s="334">
        <f>费率表!$C$15</f>
        <v>0.09</v>
      </c>
      <c r="G116" s="329">
        <f t="shared" si="5"/>
        <v>256.9928829615</v>
      </c>
    </row>
    <row r="117" customHeight="1" spans="1:7">
      <c r="A117" s="314"/>
      <c r="B117" s="327" t="s">
        <v>907</v>
      </c>
      <c r="C117" s="328"/>
      <c r="D117" s="317"/>
      <c r="E117" s="326">
        <f>G106+G114+G115+G116</f>
        <v>3112.4693603115</v>
      </c>
      <c r="F117" s="334">
        <f>费率表!$I$19</f>
        <v>0.03</v>
      </c>
      <c r="G117" s="329">
        <f t="shared" si="5"/>
        <v>93.374080809345</v>
      </c>
    </row>
    <row r="118" customHeight="1" spans="1:7">
      <c r="A118" s="335"/>
      <c r="B118" s="336" t="s">
        <v>39</v>
      </c>
      <c r="C118" s="337"/>
      <c r="D118" s="338"/>
      <c r="E118" s="339"/>
      <c r="F118" s="338"/>
      <c r="G118" s="340">
        <f>G106+G114+G115+G116+G117</f>
        <v>3205.84344112085</v>
      </c>
    </row>
    <row r="119" customHeight="1" spans="1:7">
      <c r="A119" s="227"/>
      <c r="B119" s="227"/>
      <c r="C119" s="227"/>
      <c r="D119" s="227"/>
      <c r="E119" s="228"/>
      <c r="F119" s="227"/>
      <c r="G119" s="228"/>
    </row>
    <row r="120" customHeight="1" spans="1:7">
      <c r="A120" s="308" t="s">
        <v>868</v>
      </c>
      <c r="B120" s="308"/>
      <c r="C120" s="308"/>
      <c r="D120" s="308"/>
      <c r="E120" s="308"/>
      <c r="F120" s="308"/>
      <c r="G120" s="308"/>
    </row>
    <row r="121" customHeight="1" spans="1:7">
      <c r="A121" s="309" t="s">
        <v>869</v>
      </c>
      <c r="B121" s="310"/>
      <c r="C121" s="310" t="s">
        <v>25</v>
      </c>
      <c r="D121" s="310" t="s">
        <v>870</v>
      </c>
      <c r="E121" s="343" t="s">
        <v>1245</v>
      </c>
      <c r="F121" s="343"/>
      <c r="G121" s="344"/>
    </row>
    <row r="122" customHeight="1" spans="1:7">
      <c r="A122" s="314" t="s">
        <v>507</v>
      </c>
      <c r="B122" s="315"/>
      <c r="C122" s="316" t="s">
        <v>1246</v>
      </c>
      <c r="D122" s="316"/>
      <c r="E122" s="316"/>
      <c r="F122" s="317" t="s">
        <v>873</v>
      </c>
      <c r="G122" s="318" t="s">
        <v>874</v>
      </c>
    </row>
    <row r="123" customHeight="1" spans="1:7">
      <c r="A123" s="345" t="s">
        <v>1247</v>
      </c>
      <c r="B123" s="316"/>
      <c r="C123" s="316"/>
      <c r="D123" s="316"/>
      <c r="E123" s="316"/>
      <c r="F123" s="316"/>
      <c r="G123" s="346"/>
    </row>
    <row r="124" customHeight="1" spans="1:7">
      <c r="A124" s="322" t="s">
        <v>1248</v>
      </c>
      <c r="B124" s="323"/>
      <c r="C124" s="324"/>
      <c r="D124" s="324"/>
      <c r="E124" s="324"/>
      <c r="F124" s="324"/>
      <c r="G124" s="325"/>
    </row>
    <row r="125" customHeight="1" spans="1:7">
      <c r="A125" s="314" t="s">
        <v>34</v>
      </c>
      <c r="B125" s="317" t="s">
        <v>761</v>
      </c>
      <c r="C125" s="317"/>
      <c r="D125" s="317" t="s">
        <v>60</v>
      </c>
      <c r="E125" s="326" t="s">
        <v>877</v>
      </c>
      <c r="F125" s="317" t="s">
        <v>878</v>
      </c>
      <c r="G125" s="318" t="s">
        <v>879</v>
      </c>
    </row>
    <row r="126" customHeight="1" spans="1:7">
      <c r="A126" s="314" t="s">
        <v>8</v>
      </c>
      <c r="B126" s="347" t="s">
        <v>880</v>
      </c>
      <c r="C126" s="347"/>
      <c r="D126" s="317"/>
      <c r="E126" s="326"/>
      <c r="F126" s="326"/>
      <c r="G126" s="329">
        <f>G127+G135</f>
        <v>144.550720580592</v>
      </c>
    </row>
    <row r="127" customHeight="1" spans="1:7">
      <c r="A127" s="314" t="s">
        <v>881</v>
      </c>
      <c r="B127" s="347" t="s">
        <v>882</v>
      </c>
      <c r="C127" s="347"/>
      <c r="D127" s="317"/>
      <c r="E127" s="326"/>
      <c r="F127" s="326"/>
      <c r="G127" s="329">
        <f>G128+G131+G133</f>
        <v>135.855940395293</v>
      </c>
    </row>
    <row r="128" customHeight="1" spans="1:7">
      <c r="A128" s="314" t="s">
        <v>17</v>
      </c>
      <c r="B128" s="347" t="s">
        <v>510</v>
      </c>
      <c r="C128" s="347"/>
      <c r="D128" s="317"/>
      <c r="E128" s="326"/>
      <c r="F128" s="326"/>
      <c r="G128" s="329">
        <f>SUM(G129:G130)</f>
        <v>23.657</v>
      </c>
    </row>
    <row r="129" customHeight="1" spans="1:7">
      <c r="A129" s="314"/>
      <c r="B129" s="347" t="s">
        <v>704</v>
      </c>
      <c r="C129" s="347"/>
      <c r="D129" s="317" t="s">
        <v>705</v>
      </c>
      <c r="E129" s="326"/>
      <c r="F129" s="326"/>
      <c r="G129" s="329">
        <f t="shared" ref="G129:G137" si="6">E129*F129</f>
        <v>0</v>
      </c>
    </row>
    <row r="130" customHeight="1" spans="1:7">
      <c r="A130" s="314"/>
      <c r="B130" s="347" t="s">
        <v>706</v>
      </c>
      <c r="C130" s="347"/>
      <c r="D130" s="317" t="s">
        <v>705</v>
      </c>
      <c r="E130" s="330">
        <v>4.1</v>
      </c>
      <c r="F130" s="326">
        <f>主要材料预算!D20</f>
        <v>5.77</v>
      </c>
      <c r="G130" s="329">
        <f t="shared" si="6"/>
        <v>23.657</v>
      </c>
    </row>
    <row r="131" customHeight="1" spans="1:7">
      <c r="A131" s="314" t="s">
        <v>19</v>
      </c>
      <c r="B131" s="327" t="s">
        <v>511</v>
      </c>
      <c r="C131" s="328"/>
      <c r="D131" s="317"/>
      <c r="E131" s="326"/>
      <c r="F131" s="326"/>
      <c r="G131" s="329">
        <f>G132</f>
        <v>6.46933049501396</v>
      </c>
    </row>
    <row r="132" customHeight="1" spans="1:7">
      <c r="A132" s="314"/>
      <c r="B132" s="347" t="s">
        <v>1008</v>
      </c>
      <c r="C132" s="347"/>
      <c r="D132" s="317" t="s">
        <v>894</v>
      </c>
      <c r="E132" s="147">
        <f>G128+G133</f>
        <v>129.386609900279</v>
      </c>
      <c r="F132" s="331">
        <v>5</v>
      </c>
      <c r="G132" s="329">
        <f>E132*F132/100</f>
        <v>6.46933049501396</v>
      </c>
    </row>
    <row r="133" customHeight="1" spans="1:7">
      <c r="A133" s="314" t="s">
        <v>21</v>
      </c>
      <c r="B133" s="347" t="s">
        <v>895</v>
      </c>
      <c r="C133" s="347"/>
      <c r="D133" s="347"/>
      <c r="E133" s="147"/>
      <c r="F133" s="326"/>
      <c r="G133" s="329">
        <f>G134</f>
        <v>105.729609900279</v>
      </c>
    </row>
    <row r="134" customHeight="1" spans="1:7">
      <c r="A134" s="314"/>
      <c r="B134" s="348" t="s">
        <v>1249</v>
      </c>
      <c r="C134" s="348"/>
      <c r="D134" s="317" t="s">
        <v>896</v>
      </c>
      <c r="E134" s="147">
        <f>0.86</f>
        <v>0.86</v>
      </c>
      <c r="F134" s="326">
        <f>施工机械台时费!E6</f>
        <v>122.94140686079</v>
      </c>
      <c r="G134" s="329">
        <f t="shared" si="6"/>
        <v>105.729609900279</v>
      </c>
    </row>
    <row r="135" customHeight="1" spans="1:7">
      <c r="A135" s="314" t="s">
        <v>905</v>
      </c>
      <c r="B135" s="347" t="s">
        <v>514</v>
      </c>
      <c r="C135" s="347"/>
      <c r="D135" s="317"/>
      <c r="E135" s="332">
        <f>G127</f>
        <v>135.855940395293</v>
      </c>
      <c r="F135" s="333">
        <f>费率表!$C$12</f>
        <v>0.064</v>
      </c>
      <c r="G135" s="329">
        <f t="shared" si="6"/>
        <v>8.69478018529876</v>
      </c>
    </row>
    <row r="136" customHeight="1" spans="1:7">
      <c r="A136" s="314" t="s">
        <v>10</v>
      </c>
      <c r="B136" s="347" t="s">
        <v>770</v>
      </c>
      <c r="C136" s="347"/>
      <c r="D136" s="317"/>
      <c r="E136" s="326">
        <f>G126</f>
        <v>144.550720580592</v>
      </c>
      <c r="F136" s="334">
        <f>费率表!$C$13</f>
        <v>0.05</v>
      </c>
      <c r="G136" s="329">
        <f t="shared" si="6"/>
        <v>7.2275360290296</v>
      </c>
    </row>
    <row r="137" customHeight="1" spans="1:7">
      <c r="A137" s="314" t="s">
        <v>12</v>
      </c>
      <c r="B137" s="347" t="s">
        <v>771</v>
      </c>
      <c r="C137" s="347"/>
      <c r="D137" s="317"/>
      <c r="E137" s="326">
        <f>G126+G136</f>
        <v>151.778256609622</v>
      </c>
      <c r="F137" s="334">
        <f>费率表!$C$14</f>
        <v>0.07</v>
      </c>
      <c r="G137" s="329">
        <f t="shared" si="6"/>
        <v>10.6244779626735</v>
      </c>
    </row>
    <row r="138" customHeight="1" spans="1:7">
      <c r="A138" s="314" t="s">
        <v>15</v>
      </c>
      <c r="B138" s="327" t="s">
        <v>517</v>
      </c>
      <c r="C138" s="328"/>
      <c r="D138" s="317"/>
      <c r="E138" s="326"/>
      <c r="F138" s="349"/>
      <c r="G138" s="329">
        <f>G139</f>
        <v>77.6736069867947</v>
      </c>
    </row>
    <row r="139" customHeight="1" spans="1:7">
      <c r="A139" s="314" t="s">
        <v>17</v>
      </c>
      <c r="B139" s="327" t="s">
        <v>694</v>
      </c>
      <c r="C139" s="328"/>
      <c r="D139" s="317"/>
      <c r="E139" s="326">
        <f>E134*14.9</f>
        <v>12.814</v>
      </c>
      <c r="F139" s="326">
        <f>主要材料预算!N13</f>
        <v>6.0616206482593</v>
      </c>
      <c r="G139" s="329">
        <f t="shared" ref="G139:G141" si="7">E139*F139</f>
        <v>77.6736069867947</v>
      </c>
    </row>
    <row r="140" customHeight="1" spans="1:7">
      <c r="A140" s="314" t="s">
        <v>906</v>
      </c>
      <c r="B140" s="347" t="s">
        <v>772</v>
      </c>
      <c r="C140" s="347"/>
      <c r="D140" s="317"/>
      <c r="E140" s="326">
        <f>G126+G136+G137+G138</f>
        <v>240.07634155909</v>
      </c>
      <c r="F140" s="350">
        <f>费率表!C7</f>
        <v>0.09</v>
      </c>
      <c r="G140" s="329">
        <f t="shared" si="7"/>
        <v>21.6068707403181</v>
      </c>
    </row>
    <row r="141" customHeight="1" spans="1:7">
      <c r="A141" s="314"/>
      <c r="B141" s="347" t="s">
        <v>907</v>
      </c>
      <c r="C141" s="347"/>
      <c r="D141" s="317"/>
      <c r="E141" s="326">
        <f>G126+G136+G137+G138+G140</f>
        <v>261.683212299408</v>
      </c>
      <c r="F141" s="351">
        <f>费率表!$I$19</f>
        <v>0.03</v>
      </c>
      <c r="G141" s="329">
        <f t="shared" si="7"/>
        <v>7.85049636898223</v>
      </c>
    </row>
    <row r="142" customHeight="1" spans="1:7">
      <c r="A142" s="335"/>
      <c r="B142" s="338" t="s">
        <v>39</v>
      </c>
      <c r="C142" s="338"/>
      <c r="D142" s="338"/>
      <c r="E142" s="339"/>
      <c r="F142" s="338"/>
      <c r="G142" s="340">
        <f>G126+G136+G137+G138+G140+G141</f>
        <v>269.53370866839</v>
      </c>
    </row>
    <row r="144" customHeight="1" spans="1:7">
      <c r="A144" s="308" t="s">
        <v>868</v>
      </c>
      <c r="B144" s="308"/>
      <c r="C144" s="308"/>
      <c r="D144" s="308"/>
      <c r="E144" s="308"/>
      <c r="F144" s="308"/>
      <c r="G144" s="308"/>
    </row>
    <row r="145" customHeight="1" spans="1:7">
      <c r="A145" s="309" t="s">
        <v>869</v>
      </c>
      <c r="B145" s="310"/>
      <c r="C145" s="310" t="s">
        <v>27</v>
      </c>
      <c r="D145" s="310" t="s">
        <v>870</v>
      </c>
      <c r="E145" s="343" t="s">
        <v>1250</v>
      </c>
      <c r="F145" s="343"/>
      <c r="G145" s="344"/>
    </row>
    <row r="146" customHeight="1" spans="1:7">
      <c r="A146" s="314" t="s">
        <v>507</v>
      </c>
      <c r="B146" s="315"/>
      <c r="C146" s="316" t="s">
        <v>1251</v>
      </c>
      <c r="D146" s="316"/>
      <c r="E146" s="316"/>
      <c r="F146" s="317" t="s">
        <v>873</v>
      </c>
      <c r="G146" s="318" t="s">
        <v>874</v>
      </c>
    </row>
    <row r="147" customHeight="1" spans="1:7">
      <c r="A147" s="345" t="s">
        <v>1252</v>
      </c>
      <c r="B147" s="316"/>
      <c r="C147" s="316"/>
      <c r="D147" s="316"/>
      <c r="E147" s="316"/>
      <c r="F147" s="316"/>
      <c r="G147" s="346"/>
    </row>
    <row r="148" customHeight="1" spans="1:7">
      <c r="A148" s="322" t="s">
        <v>1253</v>
      </c>
      <c r="B148" s="323"/>
      <c r="C148" s="324"/>
      <c r="D148" s="324"/>
      <c r="E148" s="324"/>
      <c r="F148" s="324"/>
      <c r="G148" s="325"/>
    </row>
    <row r="149" customHeight="1" spans="1:7">
      <c r="A149" s="314" t="s">
        <v>34</v>
      </c>
      <c r="B149" s="317" t="s">
        <v>761</v>
      </c>
      <c r="C149" s="317"/>
      <c r="D149" s="317" t="s">
        <v>60</v>
      </c>
      <c r="E149" s="326" t="s">
        <v>877</v>
      </c>
      <c r="F149" s="317" t="s">
        <v>878</v>
      </c>
      <c r="G149" s="318" t="s">
        <v>879</v>
      </c>
    </row>
    <row r="150" customHeight="1" spans="1:7">
      <c r="A150" s="314" t="s">
        <v>8</v>
      </c>
      <c r="B150" s="347" t="s">
        <v>880</v>
      </c>
      <c r="C150" s="347"/>
      <c r="D150" s="317"/>
      <c r="E150" s="326"/>
      <c r="F150" s="326"/>
      <c r="G150" s="329">
        <f>G151+G159</f>
        <v>320.274646856582</v>
      </c>
    </row>
    <row r="151" customHeight="1" spans="1:7">
      <c r="A151" s="314" t="s">
        <v>881</v>
      </c>
      <c r="B151" s="347" t="s">
        <v>882</v>
      </c>
      <c r="C151" s="347"/>
      <c r="D151" s="317"/>
      <c r="E151" s="326"/>
      <c r="F151" s="326"/>
      <c r="G151" s="329">
        <f>G152+G155+G157</f>
        <v>301.010006444156</v>
      </c>
    </row>
    <row r="152" customHeight="1" spans="1:7">
      <c r="A152" s="314" t="s">
        <v>17</v>
      </c>
      <c r="B152" s="347" t="s">
        <v>510</v>
      </c>
      <c r="C152" s="347"/>
      <c r="D152" s="317"/>
      <c r="E152" s="326"/>
      <c r="F152" s="326"/>
      <c r="G152" s="329">
        <f>SUM(G153:G154)</f>
        <v>24.811</v>
      </c>
    </row>
    <row r="153" customHeight="1" spans="1:7">
      <c r="A153" s="314"/>
      <c r="B153" s="347" t="s">
        <v>704</v>
      </c>
      <c r="C153" s="347"/>
      <c r="D153" s="317" t="s">
        <v>705</v>
      </c>
      <c r="E153" s="326"/>
      <c r="F153" s="326"/>
      <c r="G153" s="329">
        <f t="shared" ref="G153:G161" si="8">E153*F153</f>
        <v>0</v>
      </c>
    </row>
    <row r="154" customHeight="1" spans="1:7">
      <c r="A154" s="314"/>
      <c r="B154" s="347" t="s">
        <v>706</v>
      </c>
      <c r="C154" s="347"/>
      <c r="D154" s="317" t="s">
        <v>705</v>
      </c>
      <c r="E154" s="330">
        <v>4.3</v>
      </c>
      <c r="F154" s="326">
        <f>主要材料预算!D20</f>
        <v>5.77</v>
      </c>
      <c r="G154" s="329">
        <f t="shared" si="8"/>
        <v>24.811</v>
      </c>
    </row>
    <row r="155" customHeight="1" spans="1:7">
      <c r="A155" s="314" t="s">
        <v>19</v>
      </c>
      <c r="B155" s="327" t="s">
        <v>511</v>
      </c>
      <c r="C155" s="328"/>
      <c r="D155" s="317"/>
      <c r="E155" s="326"/>
      <c r="F155" s="326"/>
      <c r="G155" s="329">
        <f>G156</f>
        <v>14.3338098306741</v>
      </c>
    </row>
    <row r="156" customHeight="1" spans="1:7">
      <c r="A156" s="314"/>
      <c r="B156" s="347" t="s">
        <v>1008</v>
      </c>
      <c r="C156" s="347"/>
      <c r="D156" s="317" t="s">
        <v>894</v>
      </c>
      <c r="E156" s="147">
        <f>G152+G157</f>
        <v>286.676196613482</v>
      </c>
      <c r="F156" s="331">
        <v>5</v>
      </c>
      <c r="G156" s="329">
        <f>E156*F156/100</f>
        <v>14.3338098306741</v>
      </c>
    </row>
    <row r="157" customHeight="1" spans="1:7">
      <c r="A157" s="314" t="s">
        <v>21</v>
      </c>
      <c r="B157" s="347" t="s">
        <v>895</v>
      </c>
      <c r="C157" s="347"/>
      <c r="D157" s="347"/>
      <c r="E157" s="147"/>
      <c r="F157" s="326"/>
      <c r="G157" s="329">
        <f>G158</f>
        <v>261.865196613482</v>
      </c>
    </row>
    <row r="158" customHeight="1" spans="1:7">
      <c r="A158" s="314"/>
      <c r="B158" s="348" t="s">
        <v>1249</v>
      </c>
      <c r="C158" s="348"/>
      <c r="D158" s="317" t="s">
        <v>896</v>
      </c>
      <c r="E158" s="147">
        <f>2.13</f>
        <v>2.13</v>
      </c>
      <c r="F158" s="326">
        <f>施工机械台时费!E6</f>
        <v>122.94140686079</v>
      </c>
      <c r="G158" s="329">
        <f t="shared" si="8"/>
        <v>261.865196613482</v>
      </c>
    </row>
    <row r="159" customHeight="1" spans="1:7">
      <c r="A159" s="314" t="s">
        <v>905</v>
      </c>
      <c r="B159" s="347" t="s">
        <v>514</v>
      </c>
      <c r="C159" s="347"/>
      <c r="D159" s="317"/>
      <c r="E159" s="332">
        <f>G151</f>
        <v>301.010006444156</v>
      </c>
      <c r="F159" s="333">
        <f>费率表!$C$12</f>
        <v>0.064</v>
      </c>
      <c r="G159" s="329">
        <f t="shared" si="8"/>
        <v>19.264640412426</v>
      </c>
    </row>
    <row r="160" customHeight="1" spans="1:7">
      <c r="A160" s="314" t="s">
        <v>10</v>
      </c>
      <c r="B160" s="347" t="s">
        <v>770</v>
      </c>
      <c r="C160" s="347"/>
      <c r="D160" s="317"/>
      <c r="E160" s="326">
        <f>G150</f>
        <v>320.274646856582</v>
      </c>
      <c r="F160" s="334">
        <f>费率表!$C$13</f>
        <v>0.05</v>
      </c>
      <c r="G160" s="329">
        <f t="shared" si="8"/>
        <v>16.0137323428291</v>
      </c>
    </row>
    <row r="161" customHeight="1" spans="1:7">
      <c r="A161" s="314" t="s">
        <v>12</v>
      </c>
      <c r="B161" s="347" t="s">
        <v>771</v>
      </c>
      <c r="C161" s="347"/>
      <c r="D161" s="317"/>
      <c r="E161" s="326">
        <f>G150+G160</f>
        <v>336.288379199412</v>
      </c>
      <c r="F161" s="334">
        <f>费率表!$C$14</f>
        <v>0.07</v>
      </c>
      <c r="G161" s="329">
        <f t="shared" si="8"/>
        <v>23.5401865439588</v>
      </c>
    </row>
    <row r="162" customHeight="1" spans="1:7">
      <c r="A162" s="314" t="s">
        <v>15</v>
      </c>
      <c r="B162" s="327" t="s">
        <v>517</v>
      </c>
      <c r="C162" s="328"/>
      <c r="D162" s="317"/>
      <c r="E162" s="326"/>
      <c r="F162" s="349"/>
      <c r="G162" s="329">
        <f>G163</f>
        <v>192.377654513805</v>
      </c>
    </row>
    <row r="163" customHeight="1" spans="1:7">
      <c r="A163" s="314" t="s">
        <v>17</v>
      </c>
      <c r="B163" s="327" t="s">
        <v>694</v>
      </c>
      <c r="C163" s="328"/>
      <c r="D163" s="317" t="s">
        <v>695</v>
      </c>
      <c r="E163" s="326">
        <f>E158*14.9</f>
        <v>31.737</v>
      </c>
      <c r="F163" s="326">
        <f>主要材料预算!N13</f>
        <v>6.0616206482593</v>
      </c>
      <c r="G163" s="329">
        <f t="shared" ref="G163:G165" si="9">E163*F163</f>
        <v>192.377654513805</v>
      </c>
    </row>
    <row r="164" customHeight="1" spans="1:7">
      <c r="A164" s="314" t="s">
        <v>906</v>
      </c>
      <c r="B164" s="347" t="s">
        <v>772</v>
      </c>
      <c r="C164" s="347"/>
      <c r="D164" s="317"/>
      <c r="E164" s="326">
        <f>G150+G160+G161+G162</f>
        <v>552.206220257175</v>
      </c>
      <c r="F164" s="334">
        <f>费率表!$C$15</f>
        <v>0.09</v>
      </c>
      <c r="G164" s="329">
        <f t="shared" si="9"/>
        <v>49.6985598231458</v>
      </c>
    </row>
    <row r="165" customHeight="1" spans="1:7">
      <c r="A165" s="314"/>
      <c r="B165" s="347" t="s">
        <v>907</v>
      </c>
      <c r="C165" s="347"/>
      <c r="D165" s="317"/>
      <c r="E165" s="326">
        <f>G150+G160+G161+G162+G164</f>
        <v>601.904780080321</v>
      </c>
      <c r="F165" s="334">
        <f>费率表!$I$19</f>
        <v>0.03</v>
      </c>
      <c r="G165" s="329">
        <f t="shared" si="9"/>
        <v>18.0571434024096</v>
      </c>
    </row>
    <row r="166" customHeight="1" spans="1:7">
      <c r="A166" s="335"/>
      <c r="B166" s="338" t="s">
        <v>39</v>
      </c>
      <c r="C166" s="338"/>
      <c r="D166" s="338"/>
      <c r="E166" s="339"/>
      <c r="F166" s="338"/>
      <c r="G166" s="340">
        <f>G150+G160+G161+G162+G164+G165</f>
        <v>619.961923482731</v>
      </c>
    </row>
    <row r="167" customHeight="1" spans="1:7">
      <c r="A167" s="197"/>
      <c r="B167" s="197"/>
      <c r="C167" s="195"/>
      <c r="D167" s="232"/>
      <c r="E167" s="233"/>
      <c r="F167" s="232"/>
      <c r="G167" s="233"/>
    </row>
    <row r="168" customHeight="1" spans="1:7">
      <c r="A168" s="352" t="s">
        <v>868</v>
      </c>
      <c r="B168" s="352"/>
      <c r="C168" s="352"/>
      <c r="D168" s="352"/>
      <c r="E168" s="352"/>
      <c r="F168" s="352"/>
      <c r="G168" s="352"/>
    </row>
    <row r="169" customHeight="1" spans="1:7">
      <c r="A169" s="309" t="s">
        <v>869</v>
      </c>
      <c r="B169" s="310"/>
      <c r="C169" s="310" t="s">
        <v>29</v>
      </c>
      <c r="D169" s="310" t="s">
        <v>870</v>
      </c>
      <c r="E169" s="343" t="s">
        <v>1254</v>
      </c>
      <c r="F169" s="343"/>
      <c r="G169" s="344"/>
    </row>
    <row r="170" customHeight="1" spans="1:7">
      <c r="A170" s="314" t="s">
        <v>507</v>
      </c>
      <c r="B170" s="315"/>
      <c r="C170" s="316" t="s">
        <v>1255</v>
      </c>
      <c r="D170" s="316"/>
      <c r="E170" s="316"/>
      <c r="F170" s="317" t="s">
        <v>873</v>
      </c>
      <c r="G170" s="318" t="s">
        <v>874</v>
      </c>
    </row>
    <row r="171" customHeight="1" spans="1:7">
      <c r="A171" s="345" t="s">
        <v>1256</v>
      </c>
      <c r="B171" s="316"/>
      <c r="C171" s="316"/>
      <c r="D171" s="316"/>
      <c r="E171" s="316"/>
      <c r="F171" s="316"/>
      <c r="G171" s="346"/>
    </row>
    <row r="172" customHeight="1" spans="1:7">
      <c r="A172" s="322" t="s">
        <v>1257</v>
      </c>
      <c r="B172" s="323"/>
      <c r="C172" s="324"/>
      <c r="D172" s="324"/>
      <c r="E172" s="324"/>
      <c r="F172" s="324"/>
      <c r="G172" s="325"/>
    </row>
    <row r="173" customHeight="1" spans="1:7">
      <c r="A173" s="314" t="s">
        <v>34</v>
      </c>
      <c r="B173" s="317" t="s">
        <v>761</v>
      </c>
      <c r="C173" s="317"/>
      <c r="D173" s="317" t="s">
        <v>60</v>
      </c>
      <c r="E173" s="326" t="s">
        <v>877</v>
      </c>
      <c r="F173" s="317" t="s">
        <v>878</v>
      </c>
      <c r="G173" s="318" t="s">
        <v>879</v>
      </c>
    </row>
    <row r="174" customHeight="1" spans="1:7">
      <c r="A174" s="314" t="s">
        <v>8</v>
      </c>
      <c r="B174" s="347" t="s">
        <v>880</v>
      </c>
      <c r="C174" s="347"/>
      <c r="D174" s="317"/>
      <c r="E174" s="326"/>
      <c r="F174" s="326"/>
      <c r="G174" s="329">
        <f>G175+G183</f>
        <v>89.0815185254471</v>
      </c>
    </row>
    <row r="175" customHeight="1" spans="1:7">
      <c r="A175" s="314" t="s">
        <v>881</v>
      </c>
      <c r="B175" s="347" t="s">
        <v>882</v>
      </c>
      <c r="C175" s="347"/>
      <c r="D175" s="317"/>
      <c r="E175" s="326"/>
      <c r="F175" s="326"/>
      <c r="G175" s="329">
        <f>G176+G179+G181</f>
        <v>83.7232316968488</v>
      </c>
    </row>
    <row r="176" customHeight="1" spans="1:7">
      <c r="A176" s="314" t="s">
        <v>17</v>
      </c>
      <c r="B176" s="347" t="s">
        <v>510</v>
      </c>
      <c r="C176" s="347"/>
      <c r="D176" s="317"/>
      <c r="E176" s="326"/>
      <c r="F176" s="326"/>
      <c r="G176" s="329">
        <f>SUM(G177:G178)</f>
        <v>6.347</v>
      </c>
    </row>
    <row r="177" customHeight="1" spans="1:7">
      <c r="A177" s="314"/>
      <c r="B177" s="347" t="s">
        <v>704</v>
      </c>
      <c r="C177" s="347"/>
      <c r="D177" s="317" t="s">
        <v>705</v>
      </c>
      <c r="E177" s="326"/>
      <c r="F177" s="326"/>
      <c r="G177" s="329">
        <f t="shared" ref="G177:G185" si="10">E177*F177</f>
        <v>0</v>
      </c>
    </row>
    <row r="178" customHeight="1" spans="1:7">
      <c r="A178" s="314"/>
      <c r="B178" s="347" t="s">
        <v>706</v>
      </c>
      <c r="C178" s="347"/>
      <c r="D178" s="317" t="s">
        <v>705</v>
      </c>
      <c r="E178" s="330">
        <v>1.1</v>
      </c>
      <c r="F178" s="326">
        <f>主要材料预算!D20</f>
        <v>5.77</v>
      </c>
      <c r="G178" s="329">
        <f t="shared" si="10"/>
        <v>6.347</v>
      </c>
    </row>
    <row r="179" customHeight="1" spans="1:7">
      <c r="A179" s="314" t="s">
        <v>19</v>
      </c>
      <c r="B179" s="327" t="s">
        <v>511</v>
      </c>
      <c r="C179" s="328"/>
      <c r="D179" s="317"/>
      <c r="E179" s="326"/>
      <c r="F179" s="326"/>
      <c r="G179" s="329">
        <f>G180</f>
        <v>7.61120288153171</v>
      </c>
    </row>
    <row r="180" customHeight="1" spans="1:7">
      <c r="A180" s="314"/>
      <c r="B180" s="347" t="s">
        <v>1008</v>
      </c>
      <c r="C180" s="347"/>
      <c r="D180" s="317" t="s">
        <v>894</v>
      </c>
      <c r="E180" s="147">
        <f>G176+G181</f>
        <v>76.1120288153171</v>
      </c>
      <c r="F180" s="331">
        <v>10</v>
      </c>
      <c r="G180" s="329">
        <f>E180*F180/100</f>
        <v>7.61120288153171</v>
      </c>
    </row>
    <row r="181" customHeight="1" spans="1:7">
      <c r="A181" s="314" t="s">
        <v>21</v>
      </c>
      <c r="B181" s="347" t="s">
        <v>895</v>
      </c>
      <c r="C181" s="347"/>
      <c r="D181" s="347"/>
      <c r="E181" s="147"/>
      <c r="F181" s="326"/>
      <c r="G181" s="329">
        <f>G182</f>
        <v>69.7650288153171</v>
      </c>
    </row>
    <row r="182" customHeight="1" spans="1:7">
      <c r="A182" s="314"/>
      <c r="B182" s="348" t="s">
        <v>807</v>
      </c>
      <c r="C182" s="348"/>
      <c r="D182" s="317" t="s">
        <v>896</v>
      </c>
      <c r="E182" s="147">
        <v>0.78</v>
      </c>
      <c r="F182" s="326">
        <f>施工机械台时费!E13</f>
        <v>89.4423446350219</v>
      </c>
      <c r="G182" s="329">
        <f t="shared" si="10"/>
        <v>69.7650288153171</v>
      </c>
    </row>
    <row r="183" customHeight="1" spans="1:7">
      <c r="A183" s="314" t="s">
        <v>905</v>
      </c>
      <c r="B183" s="347" t="s">
        <v>514</v>
      </c>
      <c r="C183" s="347"/>
      <c r="D183" s="317"/>
      <c r="E183" s="332">
        <f>G175</f>
        <v>83.7232316968488</v>
      </c>
      <c r="F183" s="333">
        <f>费率表!$C$12</f>
        <v>0.064</v>
      </c>
      <c r="G183" s="329">
        <f t="shared" si="10"/>
        <v>5.35828682859832</v>
      </c>
    </row>
    <row r="184" customHeight="1" spans="1:7">
      <c r="A184" s="314" t="s">
        <v>10</v>
      </c>
      <c r="B184" s="347" t="s">
        <v>770</v>
      </c>
      <c r="C184" s="347"/>
      <c r="D184" s="317"/>
      <c r="E184" s="326">
        <f>G174</f>
        <v>89.0815185254471</v>
      </c>
      <c r="F184" s="334">
        <f>费率表!$C$13</f>
        <v>0.05</v>
      </c>
      <c r="G184" s="329">
        <f t="shared" si="10"/>
        <v>4.45407592627236</v>
      </c>
    </row>
    <row r="185" customHeight="1" spans="1:7">
      <c r="A185" s="314" t="s">
        <v>12</v>
      </c>
      <c r="B185" s="347" t="s">
        <v>771</v>
      </c>
      <c r="C185" s="347"/>
      <c r="D185" s="317"/>
      <c r="E185" s="326">
        <f>G174+G184</f>
        <v>93.5355944517195</v>
      </c>
      <c r="F185" s="334">
        <f>费率表!$C$14</f>
        <v>0.07</v>
      </c>
      <c r="G185" s="329">
        <f t="shared" si="10"/>
        <v>6.54749161162036</v>
      </c>
    </row>
    <row r="186" customHeight="1" spans="1:7">
      <c r="A186" s="314" t="s">
        <v>15</v>
      </c>
      <c r="B186" s="327" t="s">
        <v>517</v>
      </c>
      <c r="C186" s="328"/>
      <c r="D186" s="317"/>
      <c r="E186" s="326"/>
      <c r="F186" s="349"/>
      <c r="G186" s="329">
        <f>G187</f>
        <v>50.1174795198079</v>
      </c>
    </row>
    <row r="187" customHeight="1" spans="1:7">
      <c r="A187" s="314" t="s">
        <v>17</v>
      </c>
      <c r="B187" s="327" t="s">
        <v>694</v>
      </c>
      <c r="C187" s="328"/>
      <c r="D187" s="317" t="s">
        <v>695</v>
      </c>
      <c r="E187" s="326">
        <f>E182*10.6</f>
        <v>8.268</v>
      </c>
      <c r="F187" s="326">
        <f>主要材料预算!N13</f>
        <v>6.0616206482593</v>
      </c>
      <c r="G187" s="329">
        <f t="shared" ref="G187:G189" si="11">E187*F187</f>
        <v>50.1174795198079</v>
      </c>
    </row>
    <row r="188" customHeight="1" spans="1:7">
      <c r="A188" s="314" t="s">
        <v>906</v>
      </c>
      <c r="B188" s="347" t="s">
        <v>772</v>
      </c>
      <c r="C188" s="347"/>
      <c r="D188" s="317"/>
      <c r="E188" s="326">
        <f>G174+G184+G185+G186</f>
        <v>150.200565583148</v>
      </c>
      <c r="F188" s="334">
        <f>费率表!$C$15</f>
        <v>0.09</v>
      </c>
      <c r="G188" s="329">
        <f t="shared" si="11"/>
        <v>13.5180509024833</v>
      </c>
    </row>
    <row r="189" customHeight="1" spans="1:7">
      <c r="A189" s="314"/>
      <c r="B189" s="347" t="s">
        <v>907</v>
      </c>
      <c r="C189" s="347"/>
      <c r="D189" s="317"/>
      <c r="E189" s="326">
        <f>G174+G184+G185+G186+G188</f>
        <v>163.718616485631</v>
      </c>
      <c r="F189" s="334">
        <f>费率表!$I$19</f>
        <v>0.03</v>
      </c>
      <c r="G189" s="329">
        <f t="shared" si="11"/>
        <v>4.91155849456893</v>
      </c>
    </row>
    <row r="190" customHeight="1" spans="1:7">
      <c r="A190" s="335"/>
      <c r="B190" s="338" t="s">
        <v>39</v>
      </c>
      <c r="C190" s="338"/>
      <c r="D190" s="338"/>
      <c r="E190" s="339"/>
      <c r="F190" s="338"/>
      <c r="G190" s="340">
        <f>G174+G184+G185+G186+G188+G189</f>
        <v>168.6301749802</v>
      </c>
    </row>
    <row r="191" customHeight="1" spans="1:7">
      <c r="A191" s="197"/>
      <c r="B191" s="197"/>
      <c r="C191" s="195"/>
      <c r="D191" s="232"/>
      <c r="E191" s="233"/>
      <c r="F191" s="232"/>
      <c r="G191" s="233"/>
    </row>
    <row r="192" customHeight="1" spans="1:7">
      <c r="A192" s="352" t="s">
        <v>868</v>
      </c>
      <c r="B192" s="352"/>
      <c r="C192" s="352"/>
      <c r="D192" s="352"/>
      <c r="E192" s="352"/>
      <c r="F192" s="352"/>
      <c r="G192" s="352"/>
    </row>
    <row r="193" customHeight="1" spans="1:7">
      <c r="A193" s="309" t="s">
        <v>869</v>
      </c>
      <c r="B193" s="310"/>
      <c r="C193" s="310" t="s">
        <v>131</v>
      </c>
      <c r="D193" s="310" t="s">
        <v>870</v>
      </c>
      <c r="E193" s="343" t="s">
        <v>638</v>
      </c>
      <c r="F193" s="343"/>
      <c r="G193" s="344"/>
    </row>
    <row r="194" customHeight="1" spans="1:7">
      <c r="A194" s="314" t="s">
        <v>507</v>
      </c>
      <c r="B194" s="315"/>
      <c r="C194" s="316" t="s">
        <v>1258</v>
      </c>
      <c r="D194" s="316"/>
      <c r="E194" s="316"/>
      <c r="F194" s="317" t="s">
        <v>873</v>
      </c>
      <c r="G194" s="318" t="s">
        <v>874</v>
      </c>
    </row>
    <row r="195" customHeight="1" spans="1:7">
      <c r="A195" s="345" t="s">
        <v>1256</v>
      </c>
      <c r="B195" s="316"/>
      <c r="C195" s="316"/>
      <c r="D195" s="316"/>
      <c r="E195" s="316"/>
      <c r="F195" s="316"/>
      <c r="G195" s="346"/>
    </row>
    <row r="196" customHeight="1" spans="1:7">
      <c r="A196" s="322" t="s">
        <v>1257</v>
      </c>
      <c r="B196" s="323"/>
      <c r="C196" s="324"/>
      <c r="D196" s="324"/>
      <c r="E196" s="324"/>
      <c r="F196" s="324"/>
      <c r="G196" s="325"/>
    </row>
    <row r="197" customHeight="1" spans="1:7">
      <c r="A197" s="314" t="s">
        <v>34</v>
      </c>
      <c r="B197" s="317" t="s">
        <v>761</v>
      </c>
      <c r="C197" s="317"/>
      <c r="D197" s="317" t="s">
        <v>60</v>
      </c>
      <c r="E197" s="326" t="s">
        <v>877</v>
      </c>
      <c r="F197" s="317" t="s">
        <v>878</v>
      </c>
      <c r="G197" s="318" t="s">
        <v>879</v>
      </c>
    </row>
    <row r="198" customHeight="1" spans="1:7">
      <c r="A198" s="314" t="s">
        <v>8</v>
      </c>
      <c r="B198" s="347" t="s">
        <v>880</v>
      </c>
      <c r="C198" s="347"/>
      <c r="D198" s="317"/>
      <c r="E198" s="326"/>
      <c r="F198" s="326"/>
      <c r="G198" s="329">
        <f>G199+G207</f>
        <v>130.144117783346</v>
      </c>
    </row>
    <row r="199" customHeight="1" spans="1:7">
      <c r="A199" s="314" t="s">
        <v>881</v>
      </c>
      <c r="B199" s="347" t="s">
        <v>882</v>
      </c>
      <c r="C199" s="347"/>
      <c r="D199" s="317"/>
      <c r="E199" s="326"/>
      <c r="F199" s="326"/>
      <c r="G199" s="329">
        <f>G200+G203+G205</f>
        <v>122.315900172317</v>
      </c>
    </row>
    <row r="200" customHeight="1" spans="1:7">
      <c r="A200" s="314" t="s">
        <v>17</v>
      </c>
      <c r="B200" s="347" t="s">
        <v>510</v>
      </c>
      <c r="C200" s="347"/>
      <c r="D200" s="317"/>
      <c r="E200" s="326"/>
      <c r="F200" s="326"/>
      <c r="G200" s="329">
        <f>SUM(G201:G202)</f>
        <v>9.232</v>
      </c>
    </row>
    <row r="201" customHeight="1" spans="1:7">
      <c r="A201" s="314"/>
      <c r="B201" s="347" t="s">
        <v>704</v>
      </c>
      <c r="C201" s="347"/>
      <c r="D201" s="317" t="s">
        <v>705</v>
      </c>
      <c r="E201" s="326"/>
      <c r="F201" s="326"/>
      <c r="G201" s="329">
        <f t="shared" ref="G201:G209" si="12">E201*F201</f>
        <v>0</v>
      </c>
    </row>
    <row r="202" customHeight="1" spans="1:7">
      <c r="A202" s="314"/>
      <c r="B202" s="347" t="s">
        <v>706</v>
      </c>
      <c r="C202" s="347"/>
      <c r="D202" s="317" t="s">
        <v>705</v>
      </c>
      <c r="E202" s="330">
        <v>1.6</v>
      </c>
      <c r="F202" s="326">
        <f>主要材料预算!D20</f>
        <v>5.77</v>
      </c>
      <c r="G202" s="329">
        <f t="shared" si="12"/>
        <v>9.232</v>
      </c>
    </row>
    <row r="203" customHeight="1" spans="1:7">
      <c r="A203" s="314" t="s">
        <v>19</v>
      </c>
      <c r="B203" s="327" t="s">
        <v>511</v>
      </c>
      <c r="C203" s="328"/>
      <c r="D203" s="317"/>
      <c r="E203" s="326"/>
      <c r="F203" s="326"/>
      <c r="G203" s="329">
        <f>G204</f>
        <v>11.1196272883925</v>
      </c>
    </row>
    <row r="204" customHeight="1" spans="1:7">
      <c r="A204" s="314"/>
      <c r="B204" s="347" t="s">
        <v>1008</v>
      </c>
      <c r="C204" s="347"/>
      <c r="D204" s="317" t="s">
        <v>894</v>
      </c>
      <c r="E204" s="147">
        <f>G200+G205</f>
        <v>111.196272883925</v>
      </c>
      <c r="F204" s="331">
        <v>10</v>
      </c>
      <c r="G204" s="329">
        <f>E204*F204/100</f>
        <v>11.1196272883925</v>
      </c>
    </row>
    <row r="205" customHeight="1" spans="1:7">
      <c r="A205" s="314" t="s">
        <v>21</v>
      </c>
      <c r="B205" s="347" t="s">
        <v>895</v>
      </c>
      <c r="C205" s="347"/>
      <c r="D205" s="347"/>
      <c r="E205" s="147"/>
      <c r="F205" s="326"/>
      <c r="G205" s="329">
        <f>G206</f>
        <v>101.964272883925</v>
      </c>
    </row>
    <row r="206" customHeight="1" spans="1:7">
      <c r="A206" s="314"/>
      <c r="B206" s="348" t="s">
        <v>807</v>
      </c>
      <c r="C206" s="348"/>
      <c r="D206" s="317" t="s">
        <v>896</v>
      </c>
      <c r="E206" s="147">
        <v>1.14</v>
      </c>
      <c r="F206" s="326">
        <f>施工机械台时费!E13</f>
        <v>89.4423446350219</v>
      </c>
      <c r="G206" s="329">
        <f t="shared" si="12"/>
        <v>101.964272883925</v>
      </c>
    </row>
    <row r="207" customHeight="1" spans="1:7">
      <c r="A207" s="314" t="s">
        <v>905</v>
      </c>
      <c r="B207" s="347" t="s">
        <v>514</v>
      </c>
      <c r="C207" s="347"/>
      <c r="D207" s="317"/>
      <c r="E207" s="332">
        <f>G199</f>
        <v>122.315900172317</v>
      </c>
      <c r="F207" s="333">
        <f>费率表!$C$12</f>
        <v>0.064</v>
      </c>
      <c r="G207" s="329">
        <f t="shared" si="12"/>
        <v>7.82821761102832</v>
      </c>
    </row>
    <row r="208" customHeight="1" spans="1:7">
      <c r="A208" s="314" t="s">
        <v>10</v>
      </c>
      <c r="B208" s="347" t="s">
        <v>770</v>
      </c>
      <c r="C208" s="347"/>
      <c r="D208" s="317"/>
      <c r="E208" s="326">
        <f>G198</f>
        <v>130.144117783346</v>
      </c>
      <c r="F208" s="334">
        <f>费率表!$C$13</f>
        <v>0.05</v>
      </c>
      <c r="G208" s="329">
        <f t="shared" si="12"/>
        <v>6.50720588916729</v>
      </c>
    </row>
    <row r="209" customHeight="1" spans="1:7">
      <c r="A209" s="314" t="s">
        <v>12</v>
      </c>
      <c r="B209" s="347" t="s">
        <v>771</v>
      </c>
      <c r="C209" s="347"/>
      <c r="D209" s="317"/>
      <c r="E209" s="326">
        <f>G198+G208</f>
        <v>136.651323672513</v>
      </c>
      <c r="F209" s="334">
        <f>费率表!$C$14</f>
        <v>0.07</v>
      </c>
      <c r="G209" s="329">
        <f t="shared" si="12"/>
        <v>9.56559265707592</v>
      </c>
    </row>
    <row r="210" customHeight="1" spans="1:7">
      <c r="A210" s="314" t="s">
        <v>15</v>
      </c>
      <c r="B210" s="327" t="s">
        <v>517</v>
      </c>
      <c r="C210" s="328"/>
      <c r="D210" s="317"/>
      <c r="E210" s="326"/>
      <c r="F210" s="349"/>
      <c r="G210" s="329">
        <f>G211</f>
        <v>73.2486239135654</v>
      </c>
    </row>
    <row r="211" customHeight="1" spans="1:7">
      <c r="A211" s="314" t="s">
        <v>17</v>
      </c>
      <c r="B211" s="327" t="s">
        <v>694</v>
      </c>
      <c r="C211" s="328"/>
      <c r="D211" s="317" t="s">
        <v>695</v>
      </c>
      <c r="E211" s="326">
        <f>E206*10.6</f>
        <v>12.084</v>
      </c>
      <c r="F211" s="326">
        <f>主要材料预算!N13</f>
        <v>6.0616206482593</v>
      </c>
      <c r="G211" s="329">
        <f t="shared" ref="G211:G213" si="13">E211*F211</f>
        <v>73.2486239135654</v>
      </c>
    </row>
    <row r="212" customHeight="1" spans="1:7">
      <c r="A212" s="314" t="s">
        <v>906</v>
      </c>
      <c r="B212" s="347" t="s">
        <v>772</v>
      </c>
      <c r="C212" s="347"/>
      <c r="D212" s="317"/>
      <c r="E212" s="326">
        <f>G198+G208+G209+G210</f>
        <v>219.465540243155</v>
      </c>
      <c r="F212" s="334">
        <f>费率表!$C$15</f>
        <v>0.09</v>
      </c>
      <c r="G212" s="329">
        <f t="shared" si="13"/>
        <v>19.7518986218839</v>
      </c>
    </row>
    <row r="213" customHeight="1" spans="1:7">
      <c r="A213" s="314"/>
      <c r="B213" s="347" t="s">
        <v>907</v>
      </c>
      <c r="C213" s="347"/>
      <c r="D213" s="317"/>
      <c r="E213" s="326">
        <f>G198+G208+G209+G210+G212</f>
        <v>239.217438865039</v>
      </c>
      <c r="F213" s="334">
        <f>费率表!$I$19</f>
        <v>0.03</v>
      </c>
      <c r="G213" s="329">
        <f t="shared" si="13"/>
        <v>7.17652316595115</v>
      </c>
    </row>
    <row r="214" customHeight="1" spans="1:7">
      <c r="A214" s="335"/>
      <c r="B214" s="338" t="s">
        <v>39</v>
      </c>
      <c r="C214" s="338"/>
      <c r="D214" s="338"/>
      <c r="E214" s="339"/>
      <c r="F214" s="338"/>
      <c r="G214" s="340">
        <f>G198+G208+G209+G210+G212+G213</f>
        <v>246.39396203099</v>
      </c>
    </row>
    <row r="215" customHeight="1" spans="1:7">
      <c r="A215" s="197"/>
      <c r="B215" s="197"/>
      <c r="C215" s="195"/>
      <c r="D215" s="232"/>
      <c r="E215" s="233"/>
      <c r="F215" s="232"/>
      <c r="G215" s="233"/>
    </row>
    <row r="216" customHeight="1" spans="1:7">
      <c r="A216" s="352" t="s">
        <v>868</v>
      </c>
      <c r="B216" s="352"/>
      <c r="C216" s="352"/>
      <c r="D216" s="352"/>
      <c r="E216" s="352"/>
      <c r="F216" s="352"/>
      <c r="G216" s="352"/>
    </row>
    <row r="217" customHeight="1" spans="1:7">
      <c r="A217" s="309" t="s">
        <v>869</v>
      </c>
      <c r="B217" s="310"/>
      <c r="C217" s="310" t="s">
        <v>137</v>
      </c>
      <c r="D217" s="310" t="s">
        <v>870</v>
      </c>
      <c r="E217" s="343" t="s">
        <v>639</v>
      </c>
      <c r="F217" s="343"/>
      <c r="G217" s="344"/>
    </row>
    <row r="218" customHeight="1" spans="1:7">
      <c r="A218" s="314" t="s">
        <v>507</v>
      </c>
      <c r="B218" s="315"/>
      <c r="C218" s="316" t="s">
        <v>1259</v>
      </c>
      <c r="D218" s="316"/>
      <c r="E218" s="316"/>
      <c r="F218" s="317" t="s">
        <v>873</v>
      </c>
      <c r="G218" s="318" t="s">
        <v>874</v>
      </c>
    </row>
    <row r="219" customHeight="1" spans="1:7">
      <c r="A219" s="345" t="s">
        <v>1256</v>
      </c>
      <c r="B219" s="316"/>
      <c r="C219" s="316"/>
      <c r="D219" s="316"/>
      <c r="E219" s="316"/>
      <c r="F219" s="316"/>
      <c r="G219" s="346"/>
    </row>
    <row r="220" customHeight="1" spans="1:7">
      <c r="A220" s="322" t="s">
        <v>1257</v>
      </c>
      <c r="B220" s="323"/>
      <c r="C220" s="324"/>
      <c r="D220" s="324"/>
      <c r="E220" s="324"/>
      <c r="F220" s="324"/>
      <c r="G220" s="325"/>
    </row>
    <row r="221" customHeight="1" spans="1:7">
      <c r="A221" s="314" t="s">
        <v>34</v>
      </c>
      <c r="B221" s="317" t="s">
        <v>761</v>
      </c>
      <c r="C221" s="317"/>
      <c r="D221" s="317" t="s">
        <v>60</v>
      </c>
      <c r="E221" s="326" t="s">
        <v>877</v>
      </c>
      <c r="F221" s="317" t="s">
        <v>878</v>
      </c>
      <c r="G221" s="318" t="s">
        <v>879</v>
      </c>
    </row>
    <row r="222" customHeight="1" spans="1:7">
      <c r="A222" s="314" t="s">
        <v>8</v>
      </c>
      <c r="B222" s="347" t="s">
        <v>880</v>
      </c>
      <c r="C222" s="347"/>
      <c r="D222" s="317"/>
      <c r="E222" s="326"/>
      <c r="F222" s="326"/>
      <c r="G222" s="329">
        <f>G223+G231</f>
        <v>186.909215065369</v>
      </c>
    </row>
    <row r="223" customHeight="1" spans="1:7">
      <c r="A223" s="314" t="s">
        <v>881</v>
      </c>
      <c r="B223" s="347" t="s">
        <v>882</v>
      </c>
      <c r="C223" s="347"/>
      <c r="D223" s="317"/>
      <c r="E223" s="326"/>
      <c r="F223" s="326"/>
      <c r="G223" s="329">
        <f>G224+G227+G229</f>
        <v>175.666555512565</v>
      </c>
    </row>
    <row r="224" customHeight="1" spans="1:7">
      <c r="A224" s="314" t="s">
        <v>17</v>
      </c>
      <c r="B224" s="347" t="s">
        <v>510</v>
      </c>
      <c r="C224" s="347"/>
      <c r="D224" s="317"/>
      <c r="E224" s="326"/>
      <c r="F224" s="326"/>
      <c r="G224" s="329">
        <f>SUM(G225:G226)</f>
        <v>12.117</v>
      </c>
    </row>
    <row r="225" customHeight="1" spans="1:7">
      <c r="A225" s="314"/>
      <c r="B225" s="347" t="s">
        <v>704</v>
      </c>
      <c r="C225" s="347"/>
      <c r="D225" s="317" t="s">
        <v>705</v>
      </c>
      <c r="E225" s="326"/>
      <c r="F225" s="326"/>
      <c r="G225" s="329">
        <f t="shared" ref="G225:G233" si="14">E225*F225</f>
        <v>0</v>
      </c>
    </row>
    <row r="226" customHeight="1" spans="1:7">
      <c r="A226" s="314"/>
      <c r="B226" s="347" t="s">
        <v>706</v>
      </c>
      <c r="C226" s="347"/>
      <c r="D226" s="317" t="s">
        <v>705</v>
      </c>
      <c r="E226" s="330">
        <v>2.1</v>
      </c>
      <c r="F226" s="326">
        <f>主要材料预算!D20</f>
        <v>5.77</v>
      </c>
      <c r="G226" s="329">
        <f t="shared" si="14"/>
        <v>12.117</v>
      </c>
    </row>
    <row r="227" customHeight="1" spans="1:7">
      <c r="A227" s="314" t="s">
        <v>19</v>
      </c>
      <c r="B227" s="327" t="s">
        <v>511</v>
      </c>
      <c r="C227" s="328"/>
      <c r="D227" s="317"/>
      <c r="E227" s="326"/>
      <c r="F227" s="326"/>
      <c r="G227" s="329">
        <f>G228</f>
        <v>15.9696868647786</v>
      </c>
    </row>
    <row r="228" customHeight="1" spans="1:7">
      <c r="A228" s="314"/>
      <c r="B228" s="347" t="s">
        <v>1008</v>
      </c>
      <c r="C228" s="347"/>
      <c r="D228" s="317" t="s">
        <v>894</v>
      </c>
      <c r="E228" s="147">
        <f>G224+G229</f>
        <v>159.696868647786</v>
      </c>
      <c r="F228" s="331">
        <v>10</v>
      </c>
      <c r="G228" s="329">
        <f>E228*F228/100</f>
        <v>15.9696868647786</v>
      </c>
    </row>
    <row r="229" customHeight="1" spans="1:7">
      <c r="A229" s="314" t="s">
        <v>21</v>
      </c>
      <c r="B229" s="347" t="s">
        <v>895</v>
      </c>
      <c r="C229" s="347"/>
      <c r="D229" s="347"/>
      <c r="E229" s="147"/>
      <c r="F229" s="326"/>
      <c r="G229" s="329">
        <f>G230</f>
        <v>147.579868647786</v>
      </c>
    </row>
    <row r="230" customHeight="1" spans="1:7">
      <c r="A230" s="314"/>
      <c r="B230" s="348" t="s">
        <v>807</v>
      </c>
      <c r="C230" s="348"/>
      <c r="D230" s="317" t="s">
        <v>896</v>
      </c>
      <c r="E230" s="147">
        <v>1.65</v>
      </c>
      <c r="F230" s="326">
        <f>施工机械台时费!E13</f>
        <v>89.4423446350219</v>
      </c>
      <c r="G230" s="329">
        <f t="shared" si="14"/>
        <v>147.579868647786</v>
      </c>
    </row>
    <row r="231" customHeight="1" spans="1:7">
      <c r="A231" s="314" t="s">
        <v>905</v>
      </c>
      <c r="B231" s="347" t="s">
        <v>514</v>
      </c>
      <c r="C231" s="347"/>
      <c r="D231" s="317"/>
      <c r="E231" s="332">
        <f>G223</f>
        <v>175.666555512565</v>
      </c>
      <c r="F231" s="333">
        <f>费率表!$C$12</f>
        <v>0.064</v>
      </c>
      <c r="G231" s="329">
        <f t="shared" si="14"/>
        <v>11.2426595528041</v>
      </c>
    </row>
    <row r="232" customHeight="1" spans="1:7">
      <c r="A232" s="314" t="s">
        <v>10</v>
      </c>
      <c r="B232" s="347" t="s">
        <v>770</v>
      </c>
      <c r="C232" s="347"/>
      <c r="D232" s="317"/>
      <c r="E232" s="326">
        <f>G222</f>
        <v>186.909215065369</v>
      </c>
      <c r="F232" s="334">
        <f>费率表!$C$13</f>
        <v>0.05</v>
      </c>
      <c r="G232" s="329">
        <f t="shared" si="14"/>
        <v>9.34546075326845</v>
      </c>
    </row>
    <row r="233" customHeight="1" spans="1:7">
      <c r="A233" s="314" t="s">
        <v>12</v>
      </c>
      <c r="B233" s="347" t="s">
        <v>771</v>
      </c>
      <c r="C233" s="347"/>
      <c r="D233" s="317"/>
      <c r="E233" s="326">
        <f>G222+G232</f>
        <v>196.254675818637</v>
      </c>
      <c r="F233" s="334">
        <f>费率表!$C$14</f>
        <v>0.07</v>
      </c>
      <c r="G233" s="329">
        <f t="shared" si="14"/>
        <v>13.7378273073046</v>
      </c>
    </row>
    <row r="234" customHeight="1" spans="1:7">
      <c r="A234" s="314" t="s">
        <v>15</v>
      </c>
      <c r="B234" s="327" t="s">
        <v>517</v>
      </c>
      <c r="C234" s="328"/>
      <c r="D234" s="317"/>
      <c r="E234" s="326"/>
      <c r="F234" s="349"/>
      <c r="G234" s="329">
        <f>G235</f>
        <v>106.017745138055</v>
      </c>
    </row>
    <row r="235" customHeight="1" spans="1:7">
      <c r="A235" s="314" t="s">
        <v>17</v>
      </c>
      <c r="B235" s="327" t="s">
        <v>694</v>
      </c>
      <c r="C235" s="328"/>
      <c r="D235" s="317" t="s">
        <v>695</v>
      </c>
      <c r="E235" s="326">
        <f>E230*10.6</f>
        <v>17.49</v>
      </c>
      <c r="F235" s="326">
        <f>主要材料预算!N13</f>
        <v>6.0616206482593</v>
      </c>
      <c r="G235" s="329">
        <f t="shared" ref="G235:G237" si="15">E235*F235</f>
        <v>106.017745138055</v>
      </c>
    </row>
    <row r="236" customHeight="1" spans="1:7">
      <c r="A236" s="314" t="s">
        <v>906</v>
      </c>
      <c r="B236" s="347" t="s">
        <v>772</v>
      </c>
      <c r="C236" s="347"/>
      <c r="D236" s="317"/>
      <c r="E236" s="326">
        <f>G222+G232+G233+G234</f>
        <v>316.010248263997</v>
      </c>
      <c r="F236" s="334">
        <f>费率表!$C$15</f>
        <v>0.09</v>
      </c>
      <c r="G236" s="329">
        <f t="shared" si="15"/>
        <v>28.4409223437597</v>
      </c>
    </row>
    <row r="237" customHeight="1" spans="1:7">
      <c r="A237" s="314"/>
      <c r="B237" s="347" t="s">
        <v>907</v>
      </c>
      <c r="C237" s="347"/>
      <c r="D237" s="317"/>
      <c r="E237" s="326">
        <f>G222+G232+G233+G234+G236</f>
        <v>344.451170607757</v>
      </c>
      <c r="F237" s="334">
        <f>费率表!$I$19</f>
        <v>0.03</v>
      </c>
      <c r="G237" s="329">
        <f t="shared" si="15"/>
        <v>10.3335351182327</v>
      </c>
    </row>
    <row r="238" customHeight="1" spans="1:7">
      <c r="A238" s="335"/>
      <c r="B238" s="338" t="s">
        <v>39</v>
      </c>
      <c r="C238" s="338"/>
      <c r="D238" s="338"/>
      <c r="E238" s="339"/>
      <c r="F238" s="338"/>
      <c r="G238" s="340">
        <f>G222+G232+G233+G234+G236+G237</f>
        <v>354.78470572599</v>
      </c>
    </row>
    <row r="239" customHeight="1" spans="1:7">
      <c r="A239" s="197"/>
      <c r="B239" s="197"/>
      <c r="C239" s="195"/>
      <c r="D239" s="232"/>
      <c r="E239" s="233"/>
      <c r="F239" s="232"/>
      <c r="G239" s="233"/>
    </row>
    <row r="240" customHeight="1" spans="1:7">
      <c r="A240" s="353" t="s">
        <v>868</v>
      </c>
      <c r="B240" s="353"/>
      <c r="C240" s="353"/>
      <c r="D240" s="353"/>
      <c r="E240" s="353"/>
      <c r="F240" s="353"/>
      <c r="G240" s="353"/>
    </row>
    <row r="241" customHeight="1" spans="1:7">
      <c r="A241" s="309" t="s">
        <v>869</v>
      </c>
      <c r="B241" s="310"/>
      <c r="C241" s="310" t="s">
        <v>142</v>
      </c>
      <c r="D241" s="310" t="s">
        <v>870</v>
      </c>
      <c r="E241" s="343" t="s">
        <v>1260</v>
      </c>
      <c r="F241" s="343"/>
      <c r="G241" s="344"/>
    </row>
    <row r="242" customHeight="1" spans="1:7">
      <c r="A242" s="314" t="s">
        <v>507</v>
      </c>
      <c r="B242" s="315"/>
      <c r="C242" s="316" t="s">
        <v>1261</v>
      </c>
      <c r="D242" s="316"/>
      <c r="E242" s="316"/>
      <c r="F242" s="317" t="s">
        <v>873</v>
      </c>
      <c r="G242" s="318" t="s">
        <v>874</v>
      </c>
    </row>
    <row r="243" customHeight="1" spans="1:7">
      <c r="A243" s="345" t="s">
        <v>1262</v>
      </c>
      <c r="B243" s="316"/>
      <c r="C243" s="316"/>
      <c r="D243" s="316"/>
      <c r="E243" s="316"/>
      <c r="F243" s="316"/>
      <c r="G243" s="346"/>
    </row>
    <row r="244" customHeight="1" spans="1:7">
      <c r="A244" s="322" t="s">
        <v>1098</v>
      </c>
      <c r="B244" s="323"/>
      <c r="C244" s="324"/>
      <c r="D244" s="324"/>
      <c r="E244" s="324"/>
      <c r="F244" s="324"/>
      <c r="G244" s="325"/>
    </row>
    <row r="245" customHeight="1" spans="1:7">
      <c r="A245" s="314" t="s">
        <v>34</v>
      </c>
      <c r="B245" s="317" t="s">
        <v>761</v>
      </c>
      <c r="C245" s="317"/>
      <c r="D245" s="317" t="s">
        <v>60</v>
      </c>
      <c r="E245" s="326" t="s">
        <v>877</v>
      </c>
      <c r="F245" s="317" t="s">
        <v>878</v>
      </c>
      <c r="G245" s="318" t="s">
        <v>879</v>
      </c>
    </row>
    <row r="246" customHeight="1" spans="1:7">
      <c r="A246" s="314" t="s">
        <v>8</v>
      </c>
      <c r="B246" s="347" t="s">
        <v>880</v>
      </c>
      <c r="C246" s="347"/>
      <c r="D246" s="317"/>
      <c r="E246" s="326"/>
      <c r="F246" s="326"/>
      <c r="G246" s="329">
        <f>G247+G257</f>
        <v>604.477405980562</v>
      </c>
    </row>
    <row r="247" customHeight="1" spans="1:7">
      <c r="A247" s="314" t="s">
        <v>881</v>
      </c>
      <c r="B247" s="347" t="s">
        <v>882</v>
      </c>
      <c r="C247" s="347"/>
      <c r="D247" s="317"/>
      <c r="E247" s="326"/>
      <c r="F247" s="326"/>
      <c r="G247" s="329">
        <f>G248+G251+G253</f>
        <v>568.117862763686</v>
      </c>
    </row>
    <row r="248" customHeight="1" spans="1:7">
      <c r="A248" s="314" t="s">
        <v>17</v>
      </c>
      <c r="B248" s="347" t="s">
        <v>510</v>
      </c>
      <c r="C248" s="347"/>
      <c r="D248" s="317"/>
      <c r="E248" s="326"/>
      <c r="F248" s="326"/>
      <c r="G248" s="329">
        <f>SUM(G249:G250)</f>
        <v>30.004</v>
      </c>
    </row>
    <row r="249" customHeight="1" spans="1:7">
      <c r="A249" s="314"/>
      <c r="B249" s="347" t="s">
        <v>704</v>
      </c>
      <c r="C249" s="347"/>
      <c r="D249" s="317" t="s">
        <v>705</v>
      </c>
      <c r="E249" s="326"/>
      <c r="F249" s="326"/>
      <c r="G249" s="329"/>
    </row>
    <row r="250" customHeight="1" spans="1:7">
      <c r="A250" s="314"/>
      <c r="B250" s="347" t="s">
        <v>706</v>
      </c>
      <c r="C250" s="347"/>
      <c r="D250" s="317" t="s">
        <v>705</v>
      </c>
      <c r="E250" s="330">
        <v>5.2</v>
      </c>
      <c r="F250" s="326">
        <f>主要材料预算!$D$20</f>
        <v>5.77</v>
      </c>
      <c r="G250" s="329">
        <f>E250*F250</f>
        <v>30.004</v>
      </c>
    </row>
    <row r="251" customHeight="1" spans="1:7">
      <c r="A251" s="314" t="s">
        <v>19</v>
      </c>
      <c r="B251" s="327" t="s">
        <v>511</v>
      </c>
      <c r="C251" s="328"/>
      <c r="D251" s="317"/>
      <c r="E251" s="326"/>
      <c r="F251" s="326"/>
      <c r="G251" s="329">
        <f>G252</f>
        <v>27.0532315601755</v>
      </c>
    </row>
    <row r="252" customHeight="1" spans="1:7">
      <c r="A252" s="314"/>
      <c r="B252" s="347" t="s">
        <v>1008</v>
      </c>
      <c r="C252" s="347"/>
      <c r="D252" s="317" t="s">
        <v>894</v>
      </c>
      <c r="E252" s="147">
        <f>G248+G253</f>
        <v>541.06463120351</v>
      </c>
      <c r="F252" s="331">
        <v>5</v>
      </c>
      <c r="G252" s="329">
        <f>E252*F252/100</f>
        <v>27.0532315601755</v>
      </c>
    </row>
    <row r="253" customHeight="1" spans="1:7">
      <c r="A253" s="314" t="s">
        <v>21</v>
      </c>
      <c r="B253" s="347" t="s">
        <v>895</v>
      </c>
      <c r="C253" s="347"/>
      <c r="D253" s="347"/>
      <c r="E253" s="147"/>
      <c r="F253" s="326"/>
      <c r="G253" s="329">
        <f>SUM(G254:G256)</f>
        <v>511.06063120351</v>
      </c>
    </row>
    <row r="254" customHeight="1" spans="1:7">
      <c r="A254" s="314"/>
      <c r="B254" s="327" t="s">
        <v>1263</v>
      </c>
      <c r="C254" s="328"/>
      <c r="D254" s="317" t="s">
        <v>896</v>
      </c>
      <c r="E254" s="147">
        <f>1.04*1.24</f>
        <v>1.2896</v>
      </c>
      <c r="F254" s="326">
        <f>施工机械台时费!$E$6</f>
        <v>122.94140686079</v>
      </c>
      <c r="G254" s="329">
        <f t="shared" ref="G254:G259" si="16">E254*F254</f>
        <v>158.545238287675</v>
      </c>
    </row>
    <row r="255" customHeight="1" spans="1:7">
      <c r="A255" s="314"/>
      <c r="B255" s="327" t="s">
        <v>1264</v>
      </c>
      <c r="C255" s="328"/>
      <c r="D255" s="317" t="s">
        <v>896</v>
      </c>
      <c r="E255" s="147">
        <v>0.52</v>
      </c>
      <c r="F255" s="326">
        <f>施工机械台时费!$E$12</f>
        <v>66.3822584762664</v>
      </c>
      <c r="G255" s="329">
        <f t="shared" si="16"/>
        <v>34.5187744076586</v>
      </c>
    </row>
    <row r="256" customHeight="1" spans="1:7">
      <c r="A256" s="314"/>
      <c r="B256" s="327" t="s">
        <v>827</v>
      </c>
      <c r="C256" s="328"/>
      <c r="D256" s="317" t="s">
        <v>896</v>
      </c>
      <c r="E256" s="147">
        <v>4.35</v>
      </c>
      <c r="F256" s="326">
        <f>施工机械台时费!$E$32</f>
        <v>73.10267092142</v>
      </c>
      <c r="G256" s="329">
        <f t="shared" si="16"/>
        <v>317.996618508177</v>
      </c>
    </row>
    <row r="257" customHeight="1" spans="1:7">
      <c r="A257" s="314" t="s">
        <v>905</v>
      </c>
      <c r="B257" s="347" t="s">
        <v>514</v>
      </c>
      <c r="C257" s="347"/>
      <c r="D257" s="317"/>
      <c r="E257" s="332">
        <f>G247</f>
        <v>568.117862763686</v>
      </c>
      <c r="F257" s="333">
        <f>费率表!$C$12</f>
        <v>0.064</v>
      </c>
      <c r="G257" s="329">
        <f t="shared" si="16"/>
        <v>36.3595432168759</v>
      </c>
    </row>
    <row r="258" customHeight="1" spans="1:7">
      <c r="A258" s="314" t="s">
        <v>10</v>
      </c>
      <c r="B258" s="347" t="s">
        <v>770</v>
      </c>
      <c r="C258" s="347"/>
      <c r="D258" s="317"/>
      <c r="E258" s="326">
        <f>G246</f>
        <v>604.477405980562</v>
      </c>
      <c r="F258" s="334">
        <f>费率表!$C$13</f>
        <v>0.05</v>
      </c>
      <c r="G258" s="329">
        <f t="shared" si="16"/>
        <v>30.2238702990281</v>
      </c>
    </row>
    <row r="259" customHeight="1" spans="1:7">
      <c r="A259" s="314" t="s">
        <v>12</v>
      </c>
      <c r="B259" s="347" t="s">
        <v>771</v>
      </c>
      <c r="C259" s="347"/>
      <c r="D259" s="317"/>
      <c r="E259" s="326">
        <f>G246+G258</f>
        <v>634.70127627959</v>
      </c>
      <c r="F259" s="334">
        <f>费率表!$C$14</f>
        <v>0.07</v>
      </c>
      <c r="G259" s="329">
        <f t="shared" si="16"/>
        <v>44.4290893395713</v>
      </c>
    </row>
    <row r="260" customHeight="1" spans="1:7">
      <c r="A260" s="314" t="s">
        <v>15</v>
      </c>
      <c r="B260" s="327" t="s">
        <v>517</v>
      </c>
      <c r="C260" s="328"/>
      <c r="D260" s="317"/>
      <c r="E260" s="326"/>
      <c r="F260" s="349"/>
      <c r="G260" s="329">
        <f>G261</f>
        <v>411.90555037599</v>
      </c>
    </row>
    <row r="261" customHeight="1" spans="1:7">
      <c r="A261" s="314" t="s">
        <v>17</v>
      </c>
      <c r="B261" s="327" t="s">
        <v>694</v>
      </c>
      <c r="C261" s="328"/>
      <c r="D261" s="317" t="s">
        <v>695</v>
      </c>
      <c r="E261" s="326">
        <f>E254*14.9+E255*8.4+E256*10.2</f>
        <v>67.95304</v>
      </c>
      <c r="F261" s="326">
        <f>主要材料预算!$N$13</f>
        <v>6.0616206482593</v>
      </c>
      <c r="G261" s="329">
        <f t="shared" ref="G261:G263" si="17">E261*F261</f>
        <v>411.90555037599</v>
      </c>
    </row>
    <row r="262" customHeight="1" spans="1:7">
      <c r="A262" s="314" t="s">
        <v>906</v>
      </c>
      <c r="B262" s="347" t="s">
        <v>772</v>
      </c>
      <c r="C262" s="347"/>
      <c r="D262" s="317"/>
      <c r="E262" s="326">
        <f>G246+G258+G259+G260</f>
        <v>1091.03591599515</v>
      </c>
      <c r="F262" s="334">
        <f>费率表!$C$15</f>
        <v>0.09</v>
      </c>
      <c r="G262" s="329">
        <f t="shared" si="17"/>
        <v>98.1932324395637</v>
      </c>
    </row>
    <row r="263" customHeight="1" spans="1:7">
      <c r="A263" s="314"/>
      <c r="B263" s="347" t="s">
        <v>907</v>
      </c>
      <c r="C263" s="347"/>
      <c r="D263" s="317"/>
      <c r="E263" s="326">
        <f>G246+G258+G259+G260+G262</f>
        <v>1189.22914843472</v>
      </c>
      <c r="F263" s="334">
        <f>费率表!$I$19</f>
        <v>0.03</v>
      </c>
      <c r="G263" s="329">
        <f t="shared" si="17"/>
        <v>35.6768744530415</v>
      </c>
    </row>
    <row r="264" customHeight="1" spans="1:7">
      <c r="A264" s="335"/>
      <c r="B264" s="338" t="s">
        <v>39</v>
      </c>
      <c r="C264" s="338"/>
      <c r="D264" s="338"/>
      <c r="E264" s="339"/>
      <c r="F264" s="338"/>
      <c r="G264" s="340">
        <f>G246+G258+G259+G260+G262+G263</f>
        <v>1224.90602288776</v>
      </c>
    </row>
    <row r="265" customHeight="1" spans="1:7">
      <c r="A265" s="227"/>
      <c r="B265" s="227"/>
      <c r="C265" s="227"/>
      <c r="D265" s="227"/>
      <c r="E265" s="228"/>
      <c r="F265" s="227"/>
      <c r="G265" s="228"/>
    </row>
    <row r="266" customHeight="1" spans="1:7">
      <c r="A266" s="353" t="s">
        <v>868</v>
      </c>
      <c r="B266" s="353"/>
      <c r="C266" s="353"/>
      <c r="D266" s="353"/>
      <c r="E266" s="353"/>
      <c r="F266" s="353"/>
      <c r="G266" s="353"/>
    </row>
    <row r="267" customHeight="1" spans="1:7">
      <c r="A267" s="309" t="s">
        <v>869</v>
      </c>
      <c r="B267" s="310"/>
      <c r="C267" s="310" t="s">
        <v>148</v>
      </c>
      <c r="D267" s="310" t="s">
        <v>870</v>
      </c>
      <c r="E267" s="343" t="s">
        <v>1265</v>
      </c>
      <c r="F267" s="343"/>
      <c r="G267" s="344"/>
    </row>
    <row r="268" customHeight="1" spans="1:7">
      <c r="A268" s="314" t="s">
        <v>507</v>
      </c>
      <c r="B268" s="315"/>
      <c r="C268" s="316" t="s">
        <v>1261</v>
      </c>
      <c r="D268" s="316"/>
      <c r="E268" s="316"/>
      <c r="F268" s="317" t="s">
        <v>873</v>
      </c>
      <c r="G268" s="318" t="s">
        <v>874</v>
      </c>
    </row>
    <row r="269" customHeight="1" spans="1:7">
      <c r="A269" s="345" t="s">
        <v>1262</v>
      </c>
      <c r="B269" s="316"/>
      <c r="C269" s="316"/>
      <c r="D269" s="316"/>
      <c r="E269" s="316"/>
      <c r="F269" s="316"/>
      <c r="G269" s="346"/>
    </row>
    <row r="270" customHeight="1" spans="1:7">
      <c r="A270" s="322" t="s">
        <v>1098</v>
      </c>
      <c r="B270" s="323"/>
      <c r="C270" s="324"/>
      <c r="D270" s="324"/>
      <c r="E270" s="324"/>
      <c r="F270" s="324"/>
      <c r="G270" s="325"/>
    </row>
    <row r="271" customHeight="1" spans="1:7">
      <c r="A271" s="314" t="s">
        <v>34</v>
      </c>
      <c r="B271" s="317" t="s">
        <v>761</v>
      </c>
      <c r="C271" s="317"/>
      <c r="D271" s="317" t="s">
        <v>60</v>
      </c>
      <c r="E271" s="326" t="s">
        <v>877</v>
      </c>
      <c r="F271" s="317" t="s">
        <v>878</v>
      </c>
      <c r="G271" s="318" t="s">
        <v>879</v>
      </c>
    </row>
    <row r="272" customHeight="1" spans="1:7">
      <c r="A272" s="314" t="s">
        <v>8</v>
      </c>
      <c r="B272" s="347" t="s">
        <v>880</v>
      </c>
      <c r="C272" s="347"/>
      <c r="D272" s="317"/>
      <c r="E272" s="326"/>
      <c r="F272" s="326"/>
      <c r="G272" s="329">
        <f>G273+G283</f>
        <v>858.49098405578</v>
      </c>
    </row>
    <row r="273" customHeight="1" spans="1:7">
      <c r="A273" s="314" t="s">
        <v>881</v>
      </c>
      <c r="B273" s="347" t="s">
        <v>882</v>
      </c>
      <c r="C273" s="347"/>
      <c r="D273" s="317"/>
      <c r="E273" s="326"/>
      <c r="F273" s="326"/>
      <c r="G273" s="329">
        <f>G274+G277+G279</f>
        <v>806.852428623853</v>
      </c>
    </row>
    <row r="274" customHeight="1" spans="1:7">
      <c r="A274" s="314" t="s">
        <v>17</v>
      </c>
      <c r="B274" s="347" t="s">
        <v>510</v>
      </c>
      <c r="C274" s="347"/>
      <c r="D274" s="317"/>
      <c r="E274" s="326"/>
      <c r="F274" s="326"/>
      <c r="G274" s="329">
        <f>SUM(G275:G276)</f>
        <v>30.004</v>
      </c>
    </row>
    <row r="275" customHeight="1" spans="1:7">
      <c r="A275" s="314"/>
      <c r="B275" s="347" t="s">
        <v>704</v>
      </c>
      <c r="C275" s="347"/>
      <c r="D275" s="317" t="s">
        <v>705</v>
      </c>
      <c r="E275" s="326"/>
      <c r="F275" s="326"/>
      <c r="G275" s="329"/>
    </row>
    <row r="276" customHeight="1" spans="1:7">
      <c r="A276" s="314"/>
      <c r="B276" s="347" t="s">
        <v>706</v>
      </c>
      <c r="C276" s="347"/>
      <c r="D276" s="317" t="s">
        <v>705</v>
      </c>
      <c r="E276" s="330">
        <v>5.2</v>
      </c>
      <c r="F276" s="326">
        <f>主要材料预算!D20</f>
        <v>5.77</v>
      </c>
      <c r="G276" s="329">
        <f>E276*F276</f>
        <v>30.004</v>
      </c>
    </row>
    <row r="277" customHeight="1" spans="1:7">
      <c r="A277" s="314" t="s">
        <v>19</v>
      </c>
      <c r="B277" s="327" t="s">
        <v>511</v>
      </c>
      <c r="C277" s="328"/>
      <c r="D277" s="317"/>
      <c r="E277" s="326"/>
      <c r="F277" s="326"/>
      <c r="G277" s="329">
        <f>G278</f>
        <v>38.4215442201835</v>
      </c>
    </row>
    <row r="278" customHeight="1" spans="1:7">
      <c r="A278" s="314"/>
      <c r="B278" s="347" t="s">
        <v>1008</v>
      </c>
      <c r="C278" s="347"/>
      <c r="D278" s="317" t="s">
        <v>894</v>
      </c>
      <c r="E278" s="147">
        <f>G274+G279</f>
        <v>768.43088440367</v>
      </c>
      <c r="F278" s="331">
        <v>5</v>
      </c>
      <c r="G278" s="329">
        <f>E278*F278/100</f>
        <v>38.4215442201835</v>
      </c>
    </row>
    <row r="279" customHeight="1" spans="1:7">
      <c r="A279" s="314" t="s">
        <v>21</v>
      </c>
      <c r="B279" s="347" t="s">
        <v>895</v>
      </c>
      <c r="C279" s="347"/>
      <c r="D279" s="347"/>
      <c r="E279" s="147"/>
      <c r="F279" s="326"/>
      <c r="G279" s="329">
        <f>SUM(G280:G282)</f>
        <v>738.42688440367</v>
      </c>
    </row>
    <row r="280" customHeight="1" spans="1:7">
      <c r="A280" s="314"/>
      <c r="B280" s="327" t="s">
        <v>1263</v>
      </c>
      <c r="C280" s="328"/>
      <c r="D280" s="317" t="s">
        <v>896</v>
      </c>
      <c r="E280" s="147">
        <f>1.04</f>
        <v>1.04</v>
      </c>
      <c r="F280" s="326">
        <f>施工机械台时费!E6</f>
        <v>122.94140686079</v>
      </c>
      <c r="G280" s="329">
        <f t="shared" ref="G280:G285" si="18">E280*F280</f>
        <v>127.859063135221</v>
      </c>
    </row>
    <row r="281" customHeight="1" spans="1:7">
      <c r="A281" s="314"/>
      <c r="B281" s="327" t="s">
        <v>1264</v>
      </c>
      <c r="C281" s="328"/>
      <c r="D281" s="317" t="s">
        <v>896</v>
      </c>
      <c r="E281" s="147">
        <v>0.52</v>
      </c>
      <c r="F281" s="326">
        <f>施工机械台时费!E12</f>
        <v>66.3822584762664</v>
      </c>
      <c r="G281" s="329">
        <f t="shared" si="18"/>
        <v>34.5187744076586</v>
      </c>
    </row>
    <row r="282" customHeight="1" spans="1:7">
      <c r="A282" s="314"/>
      <c r="B282" s="327" t="s">
        <v>827</v>
      </c>
      <c r="C282" s="328"/>
      <c r="D282" s="317" t="s">
        <v>896</v>
      </c>
      <c r="E282" s="147">
        <f>7.88</f>
        <v>7.88</v>
      </c>
      <c r="F282" s="326">
        <f>施工机械台时费!E32</f>
        <v>73.10267092142</v>
      </c>
      <c r="G282" s="329">
        <f t="shared" si="18"/>
        <v>576.04904686079</v>
      </c>
    </row>
    <row r="283" customHeight="1" spans="1:7">
      <c r="A283" s="314" t="s">
        <v>905</v>
      </c>
      <c r="B283" s="347" t="s">
        <v>514</v>
      </c>
      <c r="C283" s="347"/>
      <c r="D283" s="317"/>
      <c r="E283" s="332">
        <f>G273</f>
        <v>806.852428623853</v>
      </c>
      <c r="F283" s="333">
        <f>费率表!$C$12</f>
        <v>0.064</v>
      </c>
      <c r="G283" s="329">
        <f t="shared" si="18"/>
        <v>51.6385554319266</v>
      </c>
    </row>
    <row r="284" customHeight="1" spans="1:7">
      <c r="A284" s="314" t="s">
        <v>10</v>
      </c>
      <c r="B284" s="347" t="s">
        <v>770</v>
      </c>
      <c r="C284" s="347"/>
      <c r="D284" s="317"/>
      <c r="E284" s="326">
        <f>G272</f>
        <v>858.49098405578</v>
      </c>
      <c r="F284" s="334">
        <f>费率表!$C$13</f>
        <v>0.05</v>
      </c>
      <c r="G284" s="329">
        <f t="shared" si="18"/>
        <v>42.924549202789</v>
      </c>
    </row>
    <row r="285" customHeight="1" spans="1:7">
      <c r="A285" s="314" t="s">
        <v>12</v>
      </c>
      <c r="B285" s="347" t="s">
        <v>771</v>
      </c>
      <c r="C285" s="347"/>
      <c r="D285" s="317"/>
      <c r="E285" s="326">
        <f>G272+G284</f>
        <v>901.415533258569</v>
      </c>
      <c r="F285" s="334">
        <f>费率表!$C$14</f>
        <v>0.07</v>
      </c>
      <c r="G285" s="329">
        <f t="shared" si="18"/>
        <v>63.0990873280998</v>
      </c>
    </row>
    <row r="286" customHeight="1" spans="1:7">
      <c r="A286" s="314" t="s">
        <v>15</v>
      </c>
      <c r="B286" s="327" t="s">
        <v>517</v>
      </c>
      <c r="C286" s="328"/>
      <c r="D286" s="317"/>
      <c r="E286" s="326"/>
      <c r="F286" s="349"/>
      <c r="G286" s="329">
        <f>G287</f>
        <v>607.616853781512</v>
      </c>
    </row>
    <row r="287" customHeight="1" spans="1:7">
      <c r="A287" s="314" t="s">
        <v>17</v>
      </c>
      <c r="B287" s="327" t="s">
        <v>694</v>
      </c>
      <c r="C287" s="328"/>
      <c r="D287" s="317" t="s">
        <v>695</v>
      </c>
      <c r="E287" s="326">
        <f>E280*14.9+E281*8.4+E282*10.2</f>
        <v>100.24</v>
      </c>
      <c r="F287" s="326">
        <f>主要材料预算!N13</f>
        <v>6.0616206482593</v>
      </c>
      <c r="G287" s="329">
        <f t="shared" ref="G287:G289" si="19">E287*F287</f>
        <v>607.616853781512</v>
      </c>
    </row>
    <row r="288" customHeight="1" spans="1:7">
      <c r="A288" s="314" t="s">
        <v>906</v>
      </c>
      <c r="B288" s="347" t="s">
        <v>772</v>
      </c>
      <c r="C288" s="347"/>
      <c r="D288" s="317"/>
      <c r="E288" s="326">
        <f>G272+G284+G285+G286</f>
        <v>1572.13147436818</v>
      </c>
      <c r="F288" s="334">
        <f>费率表!$C$15</f>
        <v>0.09</v>
      </c>
      <c r="G288" s="329">
        <f t="shared" si="19"/>
        <v>141.491832693136</v>
      </c>
    </row>
    <row r="289" customHeight="1" spans="1:34">
      <c r="A289" s="314"/>
      <c r="B289" s="347" t="s">
        <v>907</v>
      </c>
      <c r="C289" s="347"/>
      <c r="D289" s="317"/>
      <c r="E289" s="326">
        <f>G272+G284+G285+G286+G288</f>
        <v>1713.62330706132</v>
      </c>
      <c r="F289" s="334">
        <f>费率表!$I$19</f>
        <v>0.03</v>
      </c>
      <c r="G289" s="329">
        <f t="shared" si="19"/>
        <v>51.4086992118395</v>
      </c>
    </row>
    <row r="290" customHeight="1" spans="1:34">
      <c r="A290" s="335"/>
      <c r="B290" s="338" t="s">
        <v>39</v>
      </c>
      <c r="C290" s="338"/>
      <c r="D290" s="338"/>
      <c r="E290" s="339"/>
      <c r="F290" s="338"/>
      <c r="G290" s="340">
        <f>G272+G284+G285+G286+G288+G289</f>
        <v>1765.03200627316</v>
      </c>
    </row>
    <row r="292" customHeight="1" spans="1:34">
      <c r="A292" s="353" t="s">
        <v>868</v>
      </c>
      <c r="B292" s="353"/>
      <c r="C292" s="353"/>
      <c r="D292" s="353"/>
      <c r="E292" s="353"/>
      <c r="F292" s="353"/>
      <c r="G292" s="353"/>
    </row>
    <row r="293" customHeight="1" spans="1:34">
      <c r="A293" s="309" t="s">
        <v>869</v>
      </c>
      <c r="B293" s="310"/>
      <c r="C293" s="310" t="s">
        <v>154</v>
      </c>
      <c r="D293" s="310" t="s">
        <v>870</v>
      </c>
      <c r="E293" s="343" t="s">
        <v>1266</v>
      </c>
      <c r="F293" s="343"/>
      <c r="G293" s="344"/>
    </row>
    <row r="294" customHeight="1" spans="1:34">
      <c r="A294" s="314" t="s">
        <v>507</v>
      </c>
      <c r="B294" s="315"/>
      <c r="C294" s="316" t="s">
        <v>1261</v>
      </c>
      <c r="D294" s="316"/>
      <c r="E294" s="316"/>
      <c r="F294" s="317" t="s">
        <v>873</v>
      </c>
      <c r="G294" s="318" t="s">
        <v>874</v>
      </c>
    </row>
    <row r="295" customHeight="1" spans="1:34">
      <c r="A295" s="345" t="s">
        <v>1262</v>
      </c>
      <c r="B295" s="316"/>
      <c r="C295" s="316"/>
      <c r="D295" s="316"/>
      <c r="E295" s="316"/>
      <c r="F295" s="316"/>
      <c r="G295" s="346"/>
    </row>
    <row r="296" customHeight="1" spans="1:34">
      <c r="A296" s="322" t="s">
        <v>1098</v>
      </c>
      <c r="B296" s="323"/>
      <c r="C296" s="324"/>
      <c r="D296" s="324"/>
      <c r="E296" s="324"/>
      <c r="F296" s="324"/>
      <c r="G296" s="325"/>
    </row>
    <row r="297" customHeight="1" spans="1:34">
      <c r="A297" s="314" t="s">
        <v>34</v>
      </c>
      <c r="B297" s="317" t="s">
        <v>761</v>
      </c>
      <c r="C297" s="317"/>
      <c r="D297" s="317" t="s">
        <v>60</v>
      </c>
      <c r="E297" s="326" t="s">
        <v>877</v>
      </c>
      <c r="F297" s="317" t="s">
        <v>878</v>
      </c>
      <c r="G297" s="318" t="s">
        <v>879</v>
      </c>
    </row>
    <row r="298" customHeight="1" spans="1:34">
      <c r="A298" s="314" t="s">
        <v>8</v>
      </c>
      <c r="B298" s="347" t="s">
        <v>880</v>
      </c>
      <c r="C298" s="347"/>
      <c r="D298" s="317"/>
      <c r="E298" s="326"/>
      <c r="F298" s="326"/>
      <c r="G298" s="329">
        <f>G299+G309</f>
        <v>976.096221748691</v>
      </c>
    </row>
    <row r="299" customHeight="1" spans="1:34">
      <c r="A299" s="314" t="s">
        <v>881</v>
      </c>
      <c r="B299" s="347" t="s">
        <v>882</v>
      </c>
      <c r="C299" s="347"/>
      <c r="D299" s="317"/>
      <c r="E299" s="326"/>
      <c r="F299" s="326"/>
      <c r="G299" s="329">
        <f>G300+G303+G305</f>
        <v>917.38366705704</v>
      </c>
      <c r="H299" s="354"/>
      <c r="I299" s="354"/>
      <c r="J299" s="354"/>
      <c r="K299" s="354"/>
      <c r="L299" s="354"/>
      <c r="M299" s="354"/>
      <c r="N299" s="354"/>
      <c r="O299" s="354"/>
      <c r="S299" s="308"/>
      <c r="T299" s="308"/>
      <c r="U299" s="308"/>
      <c r="V299" s="308"/>
      <c r="W299" s="308"/>
      <c r="X299" s="308"/>
      <c r="Y299" s="308"/>
      <c r="Z299" s="308"/>
      <c r="AA299" s="308"/>
      <c r="AB299" s="308"/>
      <c r="AC299" s="308"/>
      <c r="AD299" s="308"/>
      <c r="AE299" s="308"/>
      <c r="AF299" s="308"/>
      <c r="AG299" s="308"/>
      <c r="AH299" s="308"/>
    </row>
    <row r="300" customHeight="1" spans="1:34">
      <c r="A300" s="314" t="s">
        <v>17</v>
      </c>
      <c r="B300" s="347" t="s">
        <v>510</v>
      </c>
      <c r="C300" s="347"/>
      <c r="D300" s="317"/>
      <c r="E300" s="326"/>
      <c r="F300" s="326"/>
      <c r="G300" s="329">
        <f>SUM(G301:G302)</f>
        <v>30.004</v>
      </c>
      <c r="H300" s="354"/>
      <c r="I300" s="354"/>
      <c r="J300" s="354"/>
      <c r="K300" s="354"/>
      <c r="L300" s="354"/>
      <c r="M300" s="354"/>
      <c r="N300" s="354"/>
      <c r="O300" s="354"/>
      <c r="S300" s="308"/>
      <c r="T300" s="308"/>
      <c r="U300" s="308"/>
      <c r="V300" s="308"/>
      <c r="W300" s="308"/>
      <c r="X300" s="308"/>
      <c r="Y300" s="308"/>
      <c r="Z300" s="308"/>
      <c r="AA300" s="308"/>
      <c r="AB300" s="308"/>
      <c r="AC300" s="308"/>
      <c r="AD300" s="308"/>
      <c r="AE300" s="308"/>
      <c r="AF300" s="308"/>
      <c r="AG300" s="308"/>
      <c r="AH300" s="308"/>
    </row>
    <row r="301" customHeight="1" spans="1:34">
      <c r="A301" s="314"/>
      <c r="B301" s="347" t="s">
        <v>704</v>
      </c>
      <c r="C301" s="347"/>
      <c r="D301" s="317" t="s">
        <v>705</v>
      </c>
      <c r="E301" s="326"/>
      <c r="F301" s="326"/>
      <c r="G301" s="329"/>
      <c r="H301" s="354"/>
      <c r="I301" s="354"/>
      <c r="J301" s="354"/>
      <c r="K301" s="354"/>
      <c r="L301" s="354"/>
      <c r="M301" s="354"/>
      <c r="N301" s="354"/>
      <c r="O301" s="354"/>
      <c r="S301" s="308"/>
      <c r="T301" s="308"/>
      <c r="U301" s="308"/>
      <c r="V301" s="308"/>
      <c r="W301" s="308"/>
      <c r="X301" s="308"/>
      <c r="Y301" s="308"/>
      <c r="Z301" s="308"/>
      <c r="AA301" s="308"/>
      <c r="AB301" s="308"/>
      <c r="AC301" s="308"/>
      <c r="AD301" s="308"/>
      <c r="AE301" s="308"/>
      <c r="AF301" s="308"/>
      <c r="AG301" s="308"/>
      <c r="AH301" s="308"/>
    </row>
    <row r="302" customHeight="1" spans="1:34">
      <c r="A302" s="314"/>
      <c r="B302" s="347" t="s">
        <v>706</v>
      </c>
      <c r="C302" s="347"/>
      <c r="D302" s="317" t="s">
        <v>705</v>
      </c>
      <c r="E302" s="330">
        <v>5.2</v>
      </c>
      <c r="F302" s="326">
        <f>主要材料预算!D20</f>
        <v>5.77</v>
      </c>
      <c r="G302" s="329">
        <f>E302*F302</f>
        <v>30.004</v>
      </c>
      <c r="H302" s="354"/>
      <c r="I302" s="354"/>
      <c r="J302" s="354"/>
      <c r="K302" s="354"/>
      <c r="L302" s="354"/>
      <c r="M302" s="354"/>
      <c r="N302" s="354"/>
      <c r="O302" s="354"/>
      <c r="S302" s="308"/>
      <c r="T302" s="308"/>
      <c r="U302" s="308"/>
      <c r="V302" s="308"/>
      <c r="W302" s="308"/>
      <c r="X302" s="308"/>
      <c r="Y302" s="308"/>
      <c r="Z302" s="308"/>
      <c r="AA302" s="308"/>
      <c r="AB302" s="308"/>
      <c r="AC302" s="308"/>
      <c r="AD302" s="308"/>
      <c r="AE302" s="308"/>
      <c r="AF302" s="308"/>
      <c r="AG302" s="308"/>
      <c r="AH302" s="308"/>
    </row>
    <row r="303" customHeight="1" spans="1:34">
      <c r="A303" s="314" t="s">
        <v>19</v>
      </c>
      <c r="B303" s="327" t="s">
        <v>511</v>
      </c>
      <c r="C303" s="328"/>
      <c r="D303" s="317"/>
      <c r="E303" s="326"/>
      <c r="F303" s="326"/>
      <c r="G303" s="329">
        <f>G304</f>
        <v>43.6849365265257</v>
      </c>
      <c r="H303" s="354"/>
      <c r="I303" s="354"/>
      <c r="J303" s="354"/>
      <c r="K303" s="354"/>
      <c r="L303" s="354"/>
      <c r="M303" s="354"/>
      <c r="N303" s="354"/>
      <c r="O303" s="354"/>
      <c r="S303" s="308"/>
      <c r="T303" s="308"/>
      <c r="U303" s="308"/>
      <c r="V303" s="308"/>
      <c r="W303" s="308"/>
      <c r="X303" s="308"/>
      <c r="Y303" s="308"/>
      <c r="Z303" s="308"/>
      <c r="AA303" s="308"/>
      <c r="AB303" s="308"/>
      <c r="AC303" s="308"/>
      <c r="AD303" s="308"/>
      <c r="AE303" s="308"/>
      <c r="AF303" s="308"/>
      <c r="AG303" s="308"/>
      <c r="AH303" s="308"/>
    </row>
    <row r="304" customHeight="1" spans="1:34">
      <c r="A304" s="314"/>
      <c r="B304" s="347" t="s">
        <v>1008</v>
      </c>
      <c r="C304" s="347"/>
      <c r="D304" s="317" t="s">
        <v>894</v>
      </c>
      <c r="E304" s="147">
        <f>G300+G305</f>
        <v>873.698730530515</v>
      </c>
      <c r="F304" s="331">
        <v>5</v>
      </c>
      <c r="G304" s="329">
        <f>E304*F304/100</f>
        <v>43.6849365265257</v>
      </c>
      <c r="H304" s="354"/>
      <c r="I304" s="354"/>
      <c r="J304" s="354"/>
      <c r="K304" s="354"/>
      <c r="L304" s="354"/>
      <c r="M304" s="354"/>
      <c r="N304" s="354"/>
      <c r="O304" s="354"/>
      <c r="S304" s="308"/>
      <c r="T304" s="308"/>
      <c r="U304" s="308"/>
      <c r="V304" s="308"/>
      <c r="W304" s="308"/>
      <c r="X304" s="308"/>
      <c r="Y304" s="308"/>
      <c r="Z304" s="308"/>
      <c r="AA304" s="308"/>
      <c r="AB304" s="308"/>
      <c r="AC304" s="308"/>
      <c r="AD304" s="308"/>
      <c r="AE304" s="308"/>
      <c r="AF304" s="308"/>
      <c r="AG304" s="308"/>
      <c r="AH304" s="308"/>
    </row>
    <row r="305" customHeight="1" spans="1:34">
      <c r="A305" s="314" t="s">
        <v>21</v>
      </c>
      <c r="B305" s="347" t="s">
        <v>895</v>
      </c>
      <c r="C305" s="347"/>
      <c r="D305" s="347"/>
      <c r="E305" s="147"/>
      <c r="F305" s="326"/>
      <c r="G305" s="329">
        <f>SUM(G306:G308)</f>
        <v>843.694730530515</v>
      </c>
      <c r="H305" s="354"/>
      <c r="I305" s="354"/>
      <c r="J305" s="354"/>
      <c r="K305" s="354"/>
      <c r="L305" s="354"/>
      <c r="M305" s="354"/>
      <c r="N305" s="354"/>
      <c r="O305" s="354"/>
      <c r="S305" s="308"/>
      <c r="T305" s="308"/>
      <c r="U305" s="308"/>
      <c r="V305" s="308"/>
      <c r="W305" s="308"/>
      <c r="X305" s="308"/>
      <c r="Y305" s="308"/>
      <c r="Z305" s="308"/>
      <c r="AA305" s="308"/>
      <c r="AB305" s="308"/>
      <c r="AC305" s="308"/>
      <c r="AD305" s="308"/>
      <c r="AE305" s="308"/>
      <c r="AF305" s="308"/>
      <c r="AG305" s="308"/>
      <c r="AH305" s="308"/>
    </row>
    <row r="306" customHeight="1" spans="1:34">
      <c r="A306" s="314"/>
      <c r="B306" s="327" t="s">
        <v>1263</v>
      </c>
      <c r="C306" s="328"/>
      <c r="D306" s="317" t="s">
        <v>896</v>
      </c>
      <c r="E306" s="147">
        <f>1.04</f>
        <v>1.04</v>
      </c>
      <c r="F306" s="326">
        <f>施工机械台时费!E6</f>
        <v>122.94140686079</v>
      </c>
      <c r="G306" s="329">
        <f t="shared" ref="G306:G311" si="20">E306*F306</f>
        <v>127.859063135221</v>
      </c>
      <c r="H306" s="354"/>
      <c r="I306" s="354"/>
      <c r="J306" s="354"/>
      <c r="K306" s="354"/>
      <c r="L306" s="354"/>
      <c r="M306" s="354"/>
      <c r="N306" s="354"/>
      <c r="O306" s="354"/>
      <c r="S306" s="308"/>
      <c r="T306" s="308"/>
      <c r="U306" s="308"/>
      <c r="V306" s="308"/>
      <c r="W306" s="308"/>
      <c r="X306" s="308"/>
      <c r="Y306" s="308"/>
      <c r="Z306" s="308"/>
      <c r="AA306" s="308"/>
      <c r="AB306" s="308"/>
      <c r="AC306" s="308"/>
      <c r="AD306" s="308"/>
      <c r="AE306" s="308"/>
      <c r="AF306" s="308"/>
      <c r="AG306" s="308"/>
      <c r="AH306" s="308"/>
    </row>
    <row r="307" customHeight="1" spans="1:34">
      <c r="A307" s="314"/>
      <c r="B307" s="327" t="s">
        <v>1264</v>
      </c>
      <c r="C307" s="328"/>
      <c r="D307" s="317" t="s">
        <v>896</v>
      </c>
      <c r="E307" s="147">
        <v>0.52</v>
      </c>
      <c r="F307" s="326">
        <f>施工机械台时费!E12</f>
        <v>66.3822584762664</v>
      </c>
      <c r="G307" s="329">
        <f t="shared" si="20"/>
        <v>34.5187744076586</v>
      </c>
      <c r="H307" s="354"/>
      <c r="I307" s="354"/>
      <c r="J307" s="354"/>
      <c r="K307" s="354"/>
      <c r="L307" s="354"/>
      <c r="M307" s="354"/>
      <c r="N307" s="354"/>
      <c r="O307" s="354"/>
      <c r="S307" s="308"/>
      <c r="T307" s="308"/>
      <c r="U307" s="308"/>
      <c r="V307" s="308"/>
      <c r="W307" s="308"/>
      <c r="X307" s="308"/>
      <c r="Y307" s="308"/>
      <c r="Z307" s="308"/>
      <c r="AA307" s="308"/>
      <c r="AB307" s="308"/>
      <c r="AC307" s="308"/>
      <c r="AD307" s="308"/>
      <c r="AE307" s="308"/>
      <c r="AF307" s="308"/>
      <c r="AG307" s="308"/>
      <c r="AH307" s="308"/>
    </row>
    <row r="308" customHeight="1" spans="1:34">
      <c r="A308" s="314"/>
      <c r="B308" s="327" t="s">
        <v>827</v>
      </c>
      <c r="C308" s="328"/>
      <c r="D308" s="317" t="s">
        <v>896</v>
      </c>
      <c r="E308" s="147">
        <v>9.32</v>
      </c>
      <c r="F308" s="326">
        <f>施工机械台时费!E32</f>
        <v>73.10267092142</v>
      </c>
      <c r="G308" s="329">
        <f t="shared" si="20"/>
        <v>681.316892987635</v>
      </c>
      <c r="H308" s="354"/>
      <c r="I308" s="354"/>
      <c r="J308" s="354"/>
      <c r="K308" s="354"/>
      <c r="L308" s="354"/>
      <c r="M308" s="354"/>
      <c r="N308" s="354"/>
      <c r="O308" s="354"/>
      <c r="S308" s="308"/>
      <c r="T308" s="308"/>
      <c r="U308" s="308"/>
      <c r="V308" s="308"/>
      <c r="W308" s="308"/>
      <c r="X308" s="308"/>
      <c r="Y308" s="308"/>
      <c r="Z308" s="308"/>
      <c r="AA308" s="308"/>
      <c r="AB308" s="308"/>
      <c r="AC308" s="308"/>
      <c r="AD308" s="308"/>
      <c r="AE308" s="308"/>
      <c r="AF308" s="308"/>
      <c r="AG308" s="308"/>
      <c r="AH308" s="308"/>
    </row>
    <row r="309" customHeight="1" spans="1:34">
      <c r="A309" s="314" t="s">
        <v>905</v>
      </c>
      <c r="B309" s="347" t="s">
        <v>514</v>
      </c>
      <c r="C309" s="347"/>
      <c r="D309" s="317"/>
      <c r="E309" s="332">
        <f>G299</f>
        <v>917.38366705704</v>
      </c>
      <c r="F309" s="333">
        <f>费率表!$C$12</f>
        <v>0.064</v>
      </c>
      <c r="G309" s="329">
        <f t="shared" si="20"/>
        <v>58.7125546916506</v>
      </c>
      <c r="H309" s="354"/>
      <c r="I309" s="354"/>
      <c r="J309" s="354"/>
      <c r="K309" s="354"/>
      <c r="L309" s="354"/>
      <c r="M309" s="354"/>
      <c r="N309" s="354"/>
      <c r="O309" s="354"/>
      <c r="S309" s="308"/>
      <c r="T309" s="308"/>
      <c r="U309" s="308"/>
      <c r="V309" s="308"/>
      <c r="W309" s="308"/>
      <c r="X309" s="308"/>
      <c r="Y309" s="308"/>
      <c r="Z309" s="308"/>
      <c r="AA309" s="308"/>
      <c r="AB309" s="308"/>
      <c r="AC309" s="308"/>
      <c r="AD309" s="308"/>
      <c r="AE309" s="308"/>
      <c r="AF309" s="308"/>
      <c r="AG309" s="308"/>
      <c r="AH309" s="308"/>
    </row>
    <row r="310" customHeight="1" spans="1:34">
      <c r="A310" s="314" t="s">
        <v>10</v>
      </c>
      <c r="B310" s="347" t="s">
        <v>770</v>
      </c>
      <c r="C310" s="347"/>
      <c r="D310" s="317"/>
      <c r="E310" s="326">
        <f>G298</f>
        <v>976.096221748691</v>
      </c>
      <c r="F310" s="334">
        <f>费率表!$C$13</f>
        <v>0.05</v>
      </c>
      <c r="G310" s="329">
        <f t="shared" si="20"/>
        <v>48.8048110874345</v>
      </c>
      <c r="H310" s="354"/>
      <c r="I310" s="354"/>
      <c r="J310" s="354"/>
      <c r="K310" s="354"/>
      <c r="L310" s="354"/>
      <c r="M310" s="354"/>
      <c r="N310" s="354"/>
      <c r="O310" s="354"/>
      <c r="S310" s="308"/>
      <c r="T310" s="308"/>
      <c r="U310" s="308"/>
      <c r="V310" s="308"/>
      <c r="W310" s="308"/>
      <c r="X310" s="308"/>
      <c r="Y310" s="308"/>
      <c r="Z310" s="308"/>
      <c r="AA310" s="308"/>
      <c r="AB310" s="308"/>
      <c r="AC310" s="308"/>
      <c r="AD310" s="308"/>
      <c r="AE310" s="308"/>
      <c r="AF310" s="308"/>
      <c r="AG310" s="308"/>
      <c r="AH310" s="308"/>
    </row>
    <row r="311" customHeight="1" spans="1:34">
      <c r="A311" s="314" t="s">
        <v>12</v>
      </c>
      <c r="B311" s="347" t="s">
        <v>771</v>
      </c>
      <c r="C311" s="347"/>
      <c r="D311" s="317"/>
      <c r="E311" s="326">
        <f>G298+G310</f>
        <v>1024.90103283613</v>
      </c>
      <c r="F311" s="334">
        <f>费率表!$C$14</f>
        <v>0.07</v>
      </c>
      <c r="G311" s="329">
        <f t="shared" si="20"/>
        <v>71.7430722985288</v>
      </c>
      <c r="H311" s="354"/>
      <c r="I311" s="354"/>
      <c r="J311" s="354"/>
      <c r="K311" s="354"/>
      <c r="L311" s="354"/>
      <c r="M311" s="354"/>
      <c r="N311" s="354"/>
      <c r="O311" s="354"/>
      <c r="S311" s="308"/>
      <c r="T311" s="308"/>
      <c r="U311" s="308"/>
      <c r="V311" s="308"/>
      <c r="W311" s="308"/>
      <c r="X311" s="308"/>
      <c r="Y311" s="308"/>
      <c r="Z311" s="308"/>
      <c r="AA311" s="308"/>
      <c r="AB311" s="308"/>
      <c r="AC311" s="308"/>
      <c r="AD311" s="308"/>
      <c r="AE311" s="308"/>
      <c r="AF311" s="308"/>
      <c r="AG311" s="308"/>
      <c r="AH311" s="308"/>
    </row>
    <row r="312" customHeight="1" spans="1:34">
      <c r="A312" s="314" t="s">
        <v>15</v>
      </c>
      <c r="B312" s="327" t="s">
        <v>517</v>
      </c>
      <c r="C312" s="328"/>
      <c r="D312" s="317"/>
      <c r="E312" s="326"/>
      <c r="F312" s="349"/>
      <c r="G312" s="329">
        <f>G313</f>
        <v>696.649937863145</v>
      </c>
      <c r="H312" s="354"/>
      <c r="I312" s="354"/>
      <c r="J312" s="354"/>
      <c r="K312" s="354"/>
      <c r="L312" s="354"/>
      <c r="M312" s="354"/>
      <c r="N312" s="354"/>
      <c r="O312" s="354"/>
      <c r="S312" s="308"/>
      <c r="T312" s="308"/>
      <c r="U312" s="308"/>
      <c r="V312" s="308"/>
      <c r="W312" s="308"/>
      <c r="X312" s="308"/>
      <c r="Y312" s="308"/>
      <c r="Z312" s="308"/>
      <c r="AA312" s="308"/>
      <c r="AB312" s="308"/>
      <c r="AC312" s="308"/>
      <c r="AD312" s="308"/>
      <c r="AE312" s="308"/>
      <c r="AF312" s="308"/>
      <c r="AG312" s="308"/>
      <c r="AH312" s="308"/>
    </row>
    <row r="313" customHeight="1" spans="1:34">
      <c r="A313" s="314" t="s">
        <v>17</v>
      </c>
      <c r="B313" s="327" t="s">
        <v>694</v>
      </c>
      <c r="C313" s="328"/>
      <c r="D313" s="317" t="s">
        <v>695</v>
      </c>
      <c r="E313" s="326">
        <f>E306*14.9+E307*8.4+E308*10.2</f>
        <v>114.928</v>
      </c>
      <c r="F313" s="326">
        <f>主要材料预算!N13</f>
        <v>6.0616206482593</v>
      </c>
      <c r="G313" s="329">
        <f t="shared" ref="G313:G315" si="21">E313*F313</f>
        <v>696.649937863145</v>
      </c>
      <c r="H313" s="354"/>
      <c r="I313" s="354"/>
      <c r="J313" s="354"/>
      <c r="K313" s="354"/>
      <c r="L313" s="354"/>
      <c r="M313" s="354"/>
      <c r="N313" s="354"/>
      <c r="O313" s="354"/>
      <c r="S313" s="308"/>
      <c r="T313" s="308"/>
      <c r="U313" s="308"/>
      <c r="V313" s="308"/>
      <c r="W313" s="308"/>
      <c r="X313" s="308"/>
      <c r="Y313" s="308"/>
      <c r="Z313" s="308"/>
      <c r="AA313" s="308"/>
      <c r="AB313" s="308"/>
      <c r="AC313" s="308"/>
      <c r="AD313" s="308"/>
      <c r="AE313" s="308"/>
      <c r="AF313" s="308"/>
      <c r="AG313" s="308"/>
      <c r="AH313" s="308"/>
    </row>
    <row r="314" customHeight="1" spans="1:34">
      <c r="A314" s="314" t="s">
        <v>906</v>
      </c>
      <c r="B314" s="347" t="s">
        <v>772</v>
      </c>
      <c r="C314" s="347"/>
      <c r="D314" s="317"/>
      <c r="E314" s="326">
        <f>G298+G310+G311+G312</f>
        <v>1793.2940429978</v>
      </c>
      <c r="F314" s="334">
        <f>费率表!$C$15</f>
        <v>0.09</v>
      </c>
      <c r="G314" s="329">
        <f t="shared" si="21"/>
        <v>161.396463869802</v>
      </c>
      <c r="H314" s="354"/>
      <c r="I314" s="354"/>
      <c r="J314" s="354"/>
      <c r="K314" s="354"/>
      <c r="L314" s="354"/>
      <c r="M314" s="354"/>
      <c r="N314" s="354"/>
      <c r="O314" s="354"/>
      <c r="S314" s="308"/>
      <c r="T314" s="308"/>
      <c r="U314" s="308"/>
      <c r="V314" s="308"/>
      <c r="W314" s="308"/>
      <c r="X314" s="308"/>
      <c r="Y314" s="308"/>
      <c r="Z314" s="308"/>
      <c r="AA314" s="308"/>
      <c r="AB314" s="308"/>
      <c r="AC314" s="308"/>
      <c r="AD314" s="308"/>
      <c r="AE314" s="308"/>
      <c r="AF314" s="308"/>
      <c r="AG314" s="308"/>
      <c r="AH314" s="308"/>
    </row>
    <row r="315" customHeight="1" spans="1:34">
      <c r="A315" s="314"/>
      <c r="B315" s="347" t="s">
        <v>907</v>
      </c>
      <c r="C315" s="347"/>
      <c r="D315" s="317"/>
      <c r="E315" s="326">
        <f>G298+G310+G311+G312+G314</f>
        <v>1954.6905068676</v>
      </c>
      <c r="F315" s="334">
        <f>费率表!$I$19</f>
        <v>0.03</v>
      </c>
      <c r="G315" s="329">
        <f t="shared" si="21"/>
        <v>58.640715206028</v>
      </c>
      <c r="H315" s="354"/>
      <c r="I315" s="354"/>
      <c r="J315" s="354"/>
      <c r="K315" s="354"/>
      <c r="L315" s="354"/>
      <c r="M315" s="354"/>
      <c r="N315" s="354"/>
      <c r="O315" s="354"/>
      <c r="S315" s="308"/>
      <c r="T315" s="308"/>
      <c r="U315" s="308"/>
      <c r="V315" s="308"/>
      <c r="W315" s="308"/>
      <c r="X315" s="308"/>
      <c r="Y315" s="308"/>
      <c r="Z315" s="308"/>
      <c r="AA315" s="308"/>
      <c r="AB315" s="308"/>
      <c r="AC315" s="308"/>
      <c r="AD315" s="308"/>
      <c r="AE315" s="308"/>
      <c r="AF315" s="308"/>
      <c r="AG315" s="308"/>
      <c r="AH315" s="308"/>
    </row>
    <row r="316" customHeight="1" spans="1:34">
      <c r="A316" s="335"/>
      <c r="B316" s="338" t="s">
        <v>39</v>
      </c>
      <c r="C316" s="338"/>
      <c r="D316" s="338"/>
      <c r="E316" s="339"/>
      <c r="F316" s="338"/>
      <c r="G316" s="340">
        <f>G298+G310+G311+G312+G314+G315</f>
        <v>2013.33122207363</v>
      </c>
      <c r="H316" s="354"/>
      <c r="I316" s="354"/>
      <c r="J316" s="354"/>
      <c r="K316" s="354"/>
      <c r="L316" s="354"/>
      <c r="M316" s="354"/>
      <c r="N316" s="354"/>
      <c r="O316" s="354"/>
      <c r="S316" s="308"/>
      <c r="T316" s="308"/>
      <c r="U316" s="308"/>
      <c r="V316" s="308"/>
      <c r="W316" s="308"/>
      <c r="X316" s="308"/>
      <c r="Y316" s="308"/>
      <c r="Z316" s="308"/>
      <c r="AA316" s="308"/>
      <c r="AB316" s="308"/>
      <c r="AC316" s="308"/>
      <c r="AD316" s="308"/>
      <c r="AE316" s="308"/>
      <c r="AF316" s="308"/>
      <c r="AG316" s="308"/>
      <c r="AH316" s="308"/>
    </row>
    <row r="317" customHeight="1" spans="1:34">
      <c r="A317" s="227"/>
      <c r="B317" s="227"/>
      <c r="C317" s="227"/>
      <c r="D317" s="227"/>
      <c r="E317" s="228"/>
      <c r="F317" s="227"/>
      <c r="G317" s="228"/>
      <c r="H317" s="354"/>
      <c r="I317" s="354"/>
      <c r="J317" s="354"/>
      <c r="K317" s="354"/>
      <c r="L317" s="354"/>
      <c r="M317" s="354"/>
      <c r="N317" s="354"/>
      <c r="O317" s="354"/>
      <c r="S317" s="308"/>
      <c r="T317" s="308"/>
      <c r="U317" s="308"/>
      <c r="V317" s="308"/>
      <c r="W317" s="308"/>
      <c r="X317" s="308"/>
      <c r="Y317" s="308"/>
      <c r="Z317" s="308"/>
      <c r="AA317" s="308"/>
      <c r="AB317" s="308"/>
      <c r="AC317" s="308"/>
      <c r="AD317" s="308"/>
      <c r="AE317" s="308"/>
      <c r="AF317" s="308"/>
      <c r="AG317" s="308"/>
      <c r="AH317" s="308"/>
    </row>
    <row r="318" customHeight="1" spans="1:34">
      <c r="A318" s="353" t="s">
        <v>868</v>
      </c>
      <c r="B318" s="353"/>
      <c r="C318" s="353"/>
      <c r="D318" s="353"/>
      <c r="E318" s="353"/>
      <c r="F318" s="353"/>
      <c r="G318" s="353"/>
      <c r="H318" s="354"/>
      <c r="I318" s="354"/>
      <c r="J318" s="354"/>
      <c r="K318" s="354"/>
      <c r="L318" s="354"/>
      <c r="M318" s="354"/>
      <c r="N318" s="354"/>
      <c r="O318" s="354"/>
      <c r="S318" s="308"/>
      <c r="T318" s="308"/>
      <c r="U318" s="308"/>
      <c r="V318" s="308"/>
      <c r="W318" s="308"/>
      <c r="X318" s="308"/>
      <c r="Y318" s="308"/>
      <c r="Z318" s="308"/>
      <c r="AA318" s="308"/>
      <c r="AB318" s="308"/>
      <c r="AC318" s="308"/>
      <c r="AD318" s="308"/>
      <c r="AE318" s="308"/>
      <c r="AF318" s="308"/>
      <c r="AG318" s="308"/>
      <c r="AH318" s="308"/>
    </row>
    <row r="319" customHeight="1" spans="1:34">
      <c r="A319" s="309" t="s">
        <v>869</v>
      </c>
      <c r="B319" s="310"/>
      <c r="C319" s="310" t="s">
        <v>160</v>
      </c>
      <c r="D319" s="310" t="s">
        <v>870</v>
      </c>
      <c r="E319" s="343" t="s">
        <v>1267</v>
      </c>
      <c r="F319" s="343"/>
      <c r="G319" s="344"/>
      <c r="H319" s="354"/>
      <c r="I319" s="354"/>
      <c r="J319" s="354"/>
      <c r="K319" s="354"/>
      <c r="L319" s="354"/>
      <c r="M319" s="354"/>
      <c r="N319" s="354"/>
      <c r="O319" s="354"/>
      <c r="S319" s="308"/>
      <c r="T319" s="308"/>
      <c r="U319" s="308"/>
      <c r="V319" s="308"/>
      <c r="W319" s="308"/>
      <c r="X319" s="308"/>
      <c r="Y319" s="308"/>
      <c r="Z319" s="308"/>
      <c r="AA319" s="308"/>
      <c r="AB319" s="308"/>
      <c r="AC319" s="308"/>
      <c r="AD319" s="308"/>
      <c r="AE319" s="308"/>
      <c r="AF319" s="308"/>
      <c r="AG319" s="308"/>
      <c r="AH319" s="308"/>
    </row>
    <row r="320" customHeight="1" spans="1:34">
      <c r="A320" s="314" t="s">
        <v>507</v>
      </c>
      <c r="B320" s="315"/>
      <c r="C320" s="316" t="s">
        <v>1261</v>
      </c>
      <c r="D320" s="316"/>
      <c r="E320" s="316"/>
      <c r="F320" s="317" t="s">
        <v>873</v>
      </c>
      <c r="G320" s="318" t="s">
        <v>874</v>
      </c>
      <c r="H320" s="354"/>
      <c r="I320" s="354"/>
      <c r="J320" s="354"/>
      <c r="K320" s="354"/>
      <c r="L320" s="354"/>
      <c r="M320" s="354"/>
      <c r="N320" s="354"/>
      <c r="O320" s="354"/>
      <c r="S320" s="308"/>
      <c r="T320" s="308"/>
      <c r="U320" s="308"/>
      <c r="V320" s="308"/>
      <c r="W320" s="308"/>
      <c r="X320" s="308"/>
      <c r="Y320" s="308"/>
      <c r="Z320" s="308"/>
      <c r="AA320" s="308"/>
      <c r="AB320" s="308"/>
      <c r="AC320" s="308"/>
      <c r="AD320" s="308"/>
      <c r="AE320" s="308"/>
      <c r="AF320" s="308"/>
      <c r="AG320" s="308"/>
      <c r="AH320" s="308"/>
    </row>
    <row r="321" customHeight="1" spans="1:34">
      <c r="A321" s="345" t="s">
        <v>1262</v>
      </c>
      <c r="B321" s="316"/>
      <c r="C321" s="316"/>
      <c r="D321" s="316"/>
      <c r="E321" s="316"/>
      <c r="F321" s="316"/>
      <c r="G321" s="346"/>
      <c r="H321" s="354"/>
      <c r="I321" s="354"/>
      <c r="J321" s="354"/>
      <c r="K321" s="354"/>
      <c r="L321" s="354"/>
      <c r="M321" s="354"/>
      <c r="N321" s="354"/>
      <c r="O321" s="354"/>
      <c r="S321" s="308"/>
      <c r="T321" s="308"/>
      <c r="U321" s="308"/>
      <c r="V321" s="308"/>
      <c r="W321" s="308"/>
      <c r="X321" s="308"/>
      <c r="Y321" s="308"/>
      <c r="Z321" s="308"/>
      <c r="AA321" s="308"/>
      <c r="AB321" s="308"/>
      <c r="AC321" s="308"/>
      <c r="AD321" s="308"/>
      <c r="AE321" s="308"/>
      <c r="AF321" s="308"/>
      <c r="AG321" s="308"/>
      <c r="AH321" s="308"/>
    </row>
    <row r="322" customHeight="1" spans="1:34">
      <c r="A322" s="322" t="s">
        <v>1098</v>
      </c>
      <c r="B322" s="323"/>
      <c r="C322" s="324"/>
      <c r="D322" s="324"/>
      <c r="E322" s="324"/>
      <c r="F322" s="324"/>
      <c r="G322" s="325"/>
      <c r="H322" s="354"/>
      <c r="I322" s="354"/>
      <c r="J322" s="354"/>
      <c r="K322" s="354"/>
      <c r="L322" s="354"/>
      <c r="M322" s="354"/>
      <c r="N322" s="354"/>
      <c r="O322" s="354"/>
      <c r="S322" s="308"/>
      <c r="T322" s="308"/>
      <c r="U322" s="308"/>
      <c r="V322" s="308"/>
      <c r="W322" s="308"/>
      <c r="X322" s="308"/>
      <c r="Y322" s="308"/>
      <c r="Z322" s="308"/>
      <c r="AA322" s="308"/>
      <c r="AB322" s="308"/>
      <c r="AC322" s="308"/>
      <c r="AD322" s="308"/>
      <c r="AE322" s="308"/>
      <c r="AF322" s="308"/>
      <c r="AG322" s="308"/>
      <c r="AH322" s="308"/>
    </row>
    <row r="323" customHeight="1" spans="1:34">
      <c r="A323" s="314" t="s">
        <v>34</v>
      </c>
      <c r="B323" s="317" t="s">
        <v>761</v>
      </c>
      <c r="C323" s="317"/>
      <c r="D323" s="317" t="s">
        <v>60</v>
      </c>
      <c r="E323" s="326" t="s">
        <v>877</v>
      </c>
      <c r="F323" s="317" t="s">
        <v>878</v>
      </c>
      <c r="G323" s="318" t="s">
        <v>879</v>
      </c>
      <c r="H323" s="354"/>
      <c r="I323" s="354"/>
      <c r="J323" s="354"/>
      <c r="K323" s="354"/>
      <c r="L323" s="354"/>
      <c r="M323" s="354"/>
      <c r="N323" s="354"/>
      <c r="O323" s="354"/>
      <c r="S323" s="308"/>
      <c r="T323" s="308"/>
      <c r="U323" s="308"/>
      <c r="V323" s="308"/>
      <c r="W323" s="308"/>
      <c r="X323" s="308"/>
      <c r="Y323" s="308"/>
      <c r="Z323" s="308"/>
      <c r="AA323" s="308"/>
      <c r="AB323" s="308"/>
      <c r="AC323" s="308"/>
      <c r="AD323" s="308"/>
      <c r="AE323" s="308"/>
      <c r="AF323" s="308"/>
      <c r="AG323" s="308"/>
      <c r="AH323" s="308"/>
    </row>
    <row r="324" customHeight="1" spans="1:34">
      <c r="A324" s="314" t="s">
        <v>8</v>
      </c>
      <c r="B324" s="347" t="s">
        <v>880</v>
      </c>
      <c r="C324" s="347"/>
      <c r="D324" s="317"/>
      <c r="E324" s="326"/>
      <c r="F324" s="326"/>
      <c r="G324" s="329">
        <f>G325+G335</f>
        <v>1219.47372752985</v>
      </c>
      <c r="H324" s="354"/>
      <c r="I324" s="354"/>
      <c r="J324" s="354"/>
      <c r="K324" s="354"/>
      <c r="L324" s="354"/>
      <c r="M324" s="354"/>
      <c r="N324" s="354"/>
      <c r="O324" s="354"/>
      <c r="S324" s="308"/>
      <c r="T324" s="308"/>
      <c r="U324" s="308"/>
      <c r="V324" s="308"/>
      <c r="W324" s="308"/>
      <c r="X324" s="308"/>
      <c r="Y324" s="308"/>
      <c r="Z324" s="308"/>
      <c r="AA324" s="308"/>
      <c r="AB324" s="308"/>
      <c r="AC324" s="308"/>
      <c r="AD324" s="308"/>
      <c r="AE324" s="308"/>
      <c r="AF324" s="308"/>
      <c r="AG324" s="308"/>
      <c r="AH324" s="308"/>
    </row>
    <row r="325" customHeight="1" spans="1:34">
      <c r="A325" s="314" t="s">
        <v>881</v>
      </c>
      <c r="B325" s="347" t="s">
        <v>882</v>
      </c>
      <c r="C325" s="347"/>
      <c r="D325" s="317"/>
      <c r="E325" s="326"/>
      <c r="F325" s="326"/>
      <c r="G325" s="329">
        <f>G326+G329+G331</f>
        <v>1146.12192437016</v>
      </c>
      <c r="H325" s="354"/>
      <c r="I325" s="354"/>
      <c r="J325" s="354"/>
      <c r="K325" s="354"/>
      <c r="L325" s="354"/>
      <c r="M325" s="354"/>
      <c r="N325" s="354"/>
      <c r="O325" s="354"/>
      <c r="S325" s="308"/>
      <c r="T325" s="308"/>
      <c r="U325" s="308"/>
      <c r="V325" s="308"/>
      <c r="W325" s="308"/>
      <c r="X325" s="308"/>
      <c r="Y325" s="308"/>
      <c r="Z325" s="308"/>
      <c r="AA325" s="308"/>
      <c r="AB325" s="308"/>
      <c r="AC325" s="308"/>
      <c r="AD325" s="308"/>
      <c r="AE325" s="308"/>
      <c r="AF325" s="308"/>
      <c r="AG325" s="308"/>
      <c r="AH325" s="308"/>
    </row>
    <row r="326" customHeight="1" spans="1:34">
      <c r="A326" s="314" t="s">
        <v>17</v>
      </c>
      <c r="B326" s="347" t="s">
        <v>510</v>
      </c>
      <c r="C326" s="347"/>
      <c r="D326" s="317"/>
      <c r="E326" s="326"/>
      <c r="F326" s="326"/>
      <c r="G326" s="329">
        <f>SUM(G327:G328)</f>
        <v>30.004</v>
      </c>
      <c r="H326" s="354"/>
      <c r="I326" s="354"/>
      <c r="J326" s="354"/>
      <c r="K326" s="354"/>
      <c r="L326" s="354"/>
      <c r="M326" s="354"/>
      <c r="N326" s="354"/>
      <c r="O326" s="354"/>
      <c r="S326" s="308"/>
      <c r="T326" s="308"/>
      <c r="U326" s="308"/>
      <c r="V326" s="308"/>
      <c r="W326" s="308"/>
      <c r="X326" s="308"/>
      <c r="Y326" s="308"/>
      <c r="Z326" s="308"/>
      <c r="AA326" s="308"/>
      <c r="AB326" s="308"/>
      <c r="AC326" s="308"/>
      <c r="AD326" s="308"/>
      <c r="AE326" s="308"/>
      <c r="AF326" s="308"/>
      <c r="AG326" s="308"/>
      <c r="AH326" s="308"/>
    </row>
    <row r="327" customHeight="1" spans="1:34">
      <c r="A327" s="314"/>
      <c r="B327" s="347" t="s">
        <v>704</v>
      </c>
      <c r="C327" s="347"/>
      <c r="D327" s="317" t="s">
        <v>705</v>
      </c>
      <c r="E327" s="326"/>
      <c r="F327" s="326"/>
      <c r="G327" s="329"/>
      <c r="H327" s="354"/>
      <c r="I327" s="354"/>
      <c r="J327" s="354"/>
      <c r="K327" s="354"/>
      <c r="L327" s="354"/>
      <c r="M327" s="354"/>
      <c r="N327" s="354"/>
      <c r="O327" s="354"/>
      <c r="S327" s="308"/>
      <c r="T327" s="308"/>
      <c r="U327" s="308"/>
      <c r="V327" s="308"/>
      <c r="W327" s="308"/>
      <c r="X327" s="308"/>
      <c r="Y327" s="308"/>
      <c r="Z327" s="308"/>
      <c r="AA327" s="308"/>
      <c r="AB327" s="308"/>
      <c r="AC327" s="308"/>
      <c r="AD327" s="308"/>
      <c r="AE327" s="308"/>
      <c r="AF327" s="308"/>
      <c r="AG327" s="308"/>
      <c r="AH327" s="308"/>
    </row>
    <row r="328" customHeight="1" spans="1:34">
      <c r="A328" s="314"/>
      <c r="B328" s="347" t="s">
        <v>706</v>
      </c>
      <c r="C328" s="347"/>
      <c r="D328" s="317" t="s">
        <v>705</v>
      </c>
      <c r="E328" s="330">
        <v>5.2</v>
      </c>
      <c r="F328" s="326">
        <f>主要材料预算!D20</f>
        <v>5.77</v>
      </c>
      <c r="G328" s="329">
        <f>E328*F328</f>
        <v>30.004</v>
      </c>
      <c r="H328" s="354"/>
      <c r="I328" s="354"/>
      <c r="J328" s="354"/>
      <c r="K328" s="354"/>
      <c r="L328" s="354"/>
      <c r="M328" s="354"/>
      <c r="N328" s="354"/>
      <c r="O328" s="354"/>
      <c r="S328" s="308"/>
      <c r="T328" s="308"/>
      <c r="U328" s="308"/>
      <c r="V328" s="308"/>
      <c r="W328" s="308"/>
      <c r="X328" s="308"/>
      <c r="Y328" s="308"/>
      <c r="Z328" s="308"/>
      <c r="AA328" s="308"/>
      <c r="AB328" s="308"/>
      <c r="AC328" s="308"/>
      <c r="AD328" s="308"/>
      <c r="AE328" s="308"/>
      <c r="AF328" s="308"/>
      <c r="AG328" s="308"/>
      <c r="AH328" s="308"/>
    </row>
    <row r="329" customHeight="1" spans="1:34">
      <c r="A329" s="314" t="s">
        <v>19</v>
      </c>
      <c r="B329" s="327" t="s">
        <v>511</v>
      </c>
      <c r="C329" s="328"/>
      <c r="D329" s="317"/>
      <c r="E329" s="326"/>
      <c r="F329" s="326"/>
      <c r="G329" s="329">
        <f>G330</f>
        <v>54.5772344938173</v>
      </c>
      <c r="H329" s="354"/>
      <c r="I329" s="354"/>
      <c r="J329" s="354"/>
      <c r="K329" s="354"/>
      <c r="L329" s="354"/>
      <c r="M329" s="354"/>
      <c r="N329" s="354"/>
      <c r="O329" s="354"/>
      <c r="S329" s="308"/>
      <c r="T329" s="308"/>
      <c r="U329" s="308"/>
      <c r="V329" s="308"/>
      <c r="W329" s="308"/>
      <c r="X329" s="308"/>
      <c r="Y329" s="308"/>
      <c r="Z329" s="308"/>
      <c r="AA329" s="308"/>
      <c r="AB329" s="308"/>
      <c r="AC329" s="308"/>
      <c r="AD329" s="308"/>
      <c r="AE329" s="308"/>
      <c r="AF329" s="308"/>
      <c r="AG329" s="308"/>
      <c r="AH329" s="308"/>
    </row>
    <row r="330" customHeight="1" spans="1:34">
      <c r="A330" s="314"/>
      <c r="B330" s="347" t="s">
        <v>1008</v>
      </c>
      <c r="C330" s="347"/>
      <c r="D330" s="317" t="s">
        <v>894</v>
      </c>
      <c r="E330" s="147">
        <f>G326+G331</f>
        <v>1091.54468987635</v>
      </c>
      <c r="F330" s="331">
        <v>5</v>
      </c>
      <c r="G330" s="329">
        <f>E330*F330/100</f>
        <v>54.5772344938173</v>
      </c>
      <c r="H330" s="354"/>
      <c r="I330" s="354"/>
      <c r="J330" s="354"/>
      <c r="K330" s="354"/>
      <c r="L330" s="354"/>
      <c r="M330" s="354"/>
      <c r="N330" s="354"/>
      <c r="O330" s="354"/>
      <c r="S330" s="308"/>
      <c r="T330" s="308"/>
      <c r="U330" s="308"/>
      <c r="V330" s="308"/>
      <c r="W330" s="308"/>
      <c r="X330" s="308"/>
      <c r="Y330" s="308"/>
      <c r="Z330" s="308"/>
      <c r="AA330" s="308"/>
      <c r="AB330" s="308"/>
      <c r="AC330" s="308"/>
      <c r="AD330" s="308"/>
      <c r="AE330" s="308"/>
      <c r="AF330" s="308"/>
      <c r="AG330" s="308"/>
      <c r="AH330" s="308"/>
    </row>
    <row r="331" customHeight="1" spans="1:34">
      <c r="A331" s="314" t="s">
        <v>21</v>
      </c>
      <c r="B331" s="347" t="s">
        <v>895</v>
      </c>
      <c r="C331" s="347"/>
      <c r="D331" s="347"/>
      <c r="E331" s="147"/>
      <c r="F331" s="326"/>
      <c r="G331" s="329">
        <f>SUM(G332:G334)</f>
        <v>1061.54068987635</v>
      </c>
      <c r="H331" s="354"/>
      <c r="I331" s="354"/>
      <c r="J331" s="354"/>
      <c r="K331" s="354"/>
      <c r="L331" s="354"/>
      <c r="M331" s="354"/>
      <c r="N331" s="354"/>
      <c r="O331" s="354"/>
      <c r="S331" s="308"/>
      <c r="T331" s="308"/>
      <c r="U331" s="308"/>
      <c r="V331" s="308"/>
      <c r="W331" s="308"/>
      <c r="X331" s="308"/>
      <c r="Y331" s="308"/>
      <c r="Z331" s="308"/>
      <c r="AA331" s="308"/>
      <c r="AB331" s="308"/>
      <c r="AC331" s="308"/>
      <c r="AD331" s="308"/>
      <c r="AE331" s="308"/>
      <c r="AF331" s="308"/>
      <c r="AG331" s="308"/>
      <c r="AH331" s="308"/>
    </row>
    <row r="332" customHeight="1" spans="1:34">
      <c r="A332" s="314"/>
      <c r="B332" s="327" t="s">
        <v>1263</v>
      </c>
      <c r="C332" s="328"/>
      <c r="D332" s="317" t="s">
        <v>896</v>
      </c>
      <c r="E332" s="147">
        <f>1.04</f>
        <v>1.04</v>
      </c>
      <c r="F332" s="326">
        <f>施工机械台时费!E6</f>
        <v>122.94140686079</v>
      </c>
      <c r="G332" s="329">
        <f t="shared" ref="G332:G337" si="22">E332*F332</f>
        <v>127.859063135221</v>
      </c>
      <c r="H332" s="354"/>
      <c r="I332" s="354"/>
      <c r="J332" s="354"/>
      <c r="K332" s="354"/>
      <c r="L332" s="354"/>
      <c r="M332" s="354"/>
      <c r="N332" s="354"/>
      <c r="O332" s="354"/>
      <c r="S332" s="308"/>
      <c r="T332" s="308"/>
      <c r="U332" s="308"/>
      <c r="V332" s="308"/>
      <c r="W332" s="308"/>
      <c r="X332" s="308"/>
      <c r="Y332" s="308"/>
      <c r="Z332" s="308"/>
      <c r="AA332" s="308"/>
      <c r="AB332" s="308"/>
      <c r="AC332" s="308"/>
      <c r="AD332" s="308"/>
      <c r="AE332" s="308"/>
      <c r="AF332" s="308"/>
      <c r="AG332" s="308"/>
      <c r="AH332" s="308"/>
    </row>
    <row r="333" customHeight="1" spans="1:34">
      <c r="A333" s="314"/>
      <c r="B333" s="327" t="s">
        <v>1264</v>
      </c>
      <c r="C333" s="328"/>
      <c r="D333" s="317" t="s">
        <v>896</v>
      </c>
      <c r="E333" s="147">
        <v>0.52</v>
      </c>
      <c r="F333" s="326">
        <f>施工机械台时费!E12</f>
        <v>66.3822584762664</v>
      </c>
      <c r="G333" s="329">
        <f t="shared" si="22"/>
        <v>34.5187744076586</v>
      </c>
      <c r="H333" s="354"/>
      <c r="I333" s="354"/>
      <c r="J333" s="354"/>
      <c r="K333" s="354"/>
      <c r="L333" s="354"/>
      <c r="M333" s="354"/>
      <c r="N333" s="354"/>
      <c r="O333" s="354"/>
      <c r="S333" s="308"/>
      <c r="T333" s="308"/>
      <c r="U333" s="308"/>
      <c r="V333" s="308"/>
      <c r="W333" s="308"/>
      <c r="X333" s="308"/>
      <c r="Y333" s="308"/>
      <c r="Z333" s="308"/>
      <c r="AA333" s="308"/>
      <c r="AB333" s="308"/>
      <c r="AC333" s="308"/>
      <c r="AD333" s="308"/>
      <c r="AE333" s="308"/>
      <c r="AF333" s="308"/>
      <c r="AG333" s="308"/>
      <c r="AH333" s="308"/>
    </row>
    <row r="334" customHeight="1" spans="1:34">
      <c r="A334" s="314"/>
      <c r="B334" s="327" t="s">
        <v>827</v>
      </c>
      <c r="C334" s="328"/>
      <c r="D334" s="317" t="s">
        <v>896</v>
      </c>
      <c r="E334" s="147">
        <v>12.3</v>
      </c>
      <c r="F334" s="326">
        <f>施工机械台时费!E32</f>
        <v>73.10267092142</v>
      </c>
      <c r="G334" s="329">
        <f t="shared" si="22"/>
        <v>899.162852333466</v>
      </c>
      <c r="H334" s="354"/>
      <c r="I334" s="354"/>
      <c r="J334" s="354"/>
      <c r="K334" s="354"/>
      <c r="L334" s="354"/>
      <c r="M334" s="354"/>
      <c r="N334" s="354"/>
      <c r="O334" s="354"/>
      <c r="S334" s="308"/>
      <c r="T334" s="308"/>
      <c r="U334" s="308"/>
      <c r="V334" s="308"/>
      <c r="W334" s="308"/>
      <c r="X334" s="308"/>
      <c r="Y334" s="308"/>
      <c r="Z334" s="308"/>
      <c r="AA334" s="308"/>
      <c r="AB334" s="308"/>
      <c r="AC334" s="308"/>
      <c r="AD334" s="308"/>
      <c r="AE334" s="308"/>
      <c r="AF334" s="308"/>
      <c r="AG334" s="308"/>
      <c r="AH334" s="308"/>
    </row>
    <row r="335" customHeight="1" spans="1:34">
      <c r="A335" s="314" t="s">
        <v>905</v>
      </c>
      <c r="B335" s="347" t="s">
        <v>514</v>
      </c>
      <c r="C335" s="347"/>
      <c r="D335" s="317"/>
      <c r="E335" s="332">
        <f>G325</f>
        <v>1146.12192437016</v>
      </c>
      <c r="F335" s="333">
        <f>费率表!$C$12</f>
        <v>0.064</v>
      </c>
      <c r="G335" s="329">
        <f t="shared" si="22"/>
        <v>73.3518031596905</v>
      </c>
      <c r="H335" s="354"/>
      <c r="I335" s="354"/>
      <c r="J335" s="354"/>
      <c r="K335" s="354"/>
      <c r="L335" s="354"/>
      <c r="M335" s="354"/>
      <c r="N335" s="354"/>
      <c r="O335" s="354"/>
      <c r="S335" s="308"/>
      <c r="T335" s="308"/>
      <c r="U335" s="308"/>
      <c r="V335" s="308"/>
      <c r="W335" s="308"/>
      <c r="X335" s="308"/>
      <c r="Y335" s="308"/>
      <c r="Z335" s="308"/>
      <c r="AA335" s="308"/>
      <c r="AB335" s="308"/>
      <c r="AC335" s="308"/>
      <c r="AD335" s="308"/>
      <c r="AE335" s="308"/>
      <c r="AF335" s="308"/>
      <c r="AG335" s="308"/>
      <c r="AH335" s="308"/>
    </row>
    <row r="336" customHeight="1" spans="1:34">
      <c r="A336" s="314" t="s">
        <v>10</v>
      </c>
      <c r="B336" s="347" t="s">
        <v>770</v>
      </c>
      <c r="C336" s="347"/>
      <c r="D336" s="317"/>
      <c r="E336" s="326">
        <f>G324</f>
        <v>1219.47372752985</v>
      </c>
      <c r="F336" s="334">
        <f>费率表!$C$13</f>
        <v>0.05</v>
      </c>
      <c r="G336" s="329">
        <f t="shared" si="22"/>
        <v>60.9736863764927</v>
      </c>
      <c r="H336" s="354"/>
      <c r="I336" s="354"/>
      <c r="J336" s="354"/>
      <c r="K336" s="354"/>
      <c r="L336" s="354"/>
      <c r="M336" s="354"/>
      <c r="N336" s="354"/>
      <c r="O336" s="354"/>
      <c r="S336" s="308"/>
      <c r="T336" s="308"/>
      <c r="U336" s="308"/>
      <c r="V336" s="308"/>
      <c r="W336" s="308"/>
      <c r="X336" s="308"/>
      <c r="Y336" s="308"/>
      <c r="Z336" s="308"/>
      <c r="AA336" s="308"/>
      <c r="AB336" s="308"/>
      <c r="AC336" s="308"/>
      <c r="AD336" s="308"/>
      <c r="AE336" s="308"/>
      <c r="AF336" s="308"/>
      <c r="AG336" s="308"/>
      <c r="AH336" s="308"/>
    </row>
    <row r="337" customHeight="1" spans="1:34">
      <c r="A337" s="314" t="s">
        <v>12</v>
      </c>
      <c r="B337" s="347" t="s">
        <v>771</v>
      </c>
      <c r="C337" s="347"/>
      <c r="D337" s="317"/>
      <c r="E337" s="326">
        <f>G324+G336</f>
        <v>1280.44741390635</v>
      </c>
      <c r="F337" s="334">
        <f>费率表!$C$14</f>
        <v>0.07</v>
      </c>
      <c r="G337" s="329">
        <f t="shared" si="22"/>
        <v>89.6313189734443</v>
      </c>
      <c r="H337" s="354"/>
      <c r="I337" s="354"/>
      <c r="J337" s="354"/>
      <c r="K337" s="354"/>
      <c r="L337" s="354"/>
      <c r="M337" s="354"/>
      <c r="N337" s="354"/>
      <c r="O337" s="354"/>
      <c r="S337" s="308"/>
      <c r="T337" s="308"/>
      <c r="U337" s="308"/>
      <c r="V337" s="308"/>
      <c r="W337" s="308"/>
      <c r="X337" s="308"/>
      <c r="Y337" s="308"/>
      <c r="Z337" s="308"/>
      <c r="AA337" s="308"/>
      <c r="AB337" s="308"/>
      <c r="AC337" s="308"/>
      <c r="AD337" s="308"/>
      <c r="AE337" s="308"/>
      <c r="AF337" s="308"/>
      <c r="AG337" s="308"/>
      <c r="AH337" s="308"/>
    </row>
    <row r="338" customHeight="1" spans="1:34">
      <c r="A338" s="314" t="s">
        <v>15</v>
      </c>
      <c r="B338" s="327" t="s">
        <v>517</v>
      </c>
      <c r="C338" s="328"/>
      <c r="D338" s="317"/>
      <c r="E338" s="326"/>
      <c r="F338" s="349"/>
      <c r="G338" s="329">
        <f>G339</f>
        <v>880.898959087635</v>
      </c>
      <c r="H338" s="354"/>
      <c r="I338" s="354"/>
      <c r="J338" s="354"/>
      <c r="K338" s="354"/>
      <c r="L338" s="354"/>
      <c r="M338" s="354"/>
      <c r="N338" s="354"/>
      <c r="O338" s="354"/>
      <c r="S338" s="308"/>
      <c r="T338" s="308"/>
      <c r="U338" s="308"/>
      <c r="V338" s="308"/>
      <c r="W338" s="308"/>
      <c r="X338" s="308"/>
      <c r="Y338" s="308"/>
      <c r="Z338" s="308"/>
      <c r="AA338" s="308"/>
      <c r="AB338" s="308"/>
      <c r="AC338" s="308"/>
      <c r="AD338" s="308"/>
      <c r="AE338" s="308"/>
      <c r="AF338" s="308"/>
      <c r="AG338" s="308"/>
      <c r="AH338" s="308"/>
    </row>
    <row r="339" customHeight="1" spans="1:34">
      <c r="A339" s="314" t="s">
        <v>17</v>
      </c>
      <c r="B339" s="327" t="s">
        <v>694</v>
      </c>
      <c r="C339" s="328"/>
      <c r="D339" s="317" t="s">
        <v>695</v>
      </c>
      <c r="E339" s="326">
        <f>E332*14.9+E333*8.4+E334*10.2</f>
        <v>145.324</v>
      </c>
      <c r="F339" s="326">
        <f>主要材料预算!N13</f>
        <v>6.0616206482593</v>
      </c>
      <c r="G339" s="329">
        <f t="shared" ref="G339:G341" si="23">E339*F339</f>
        <v>880.898959087635</v>
      </c>
      <c r="H339" s="354"/>
      <c r="I339" s="354"/>
      <c r="J339" s="354"/>
      <c r="K339" s="354"/>
      <c r="L339" s="354"/>
      <c r="M339" s="354"/>
      <c r="N339" s="354"/>
      <c r="O339" s="354"/>
      <c r="S339" s="308"/>
      <c r="T339" s="308"/>
      <c r="U339" s="308"/>
      <c r="V339" s="308"/>
      <c r="W339" s="308"/>
      <c r="X339" s="308"/>
      <c r="Y339" s="308"/>
      <c r="Z339" s="308"/>
      <c r="AA339" s="308"/>
      <c r="AB339" s="308"/>
      <c r="AC339" s="308"/>
      <c r="AD339" s="308"/>
      <c r="AE339" s="308"/>
      <c r="AF339" s="308"/>
      <c r="AG339" s="308"/>
      <c r="AH339" s="308"/>
    </row>
    <row r="340" customHeight="1" spans="1:34">
      <c r="A340" s="314" t="s">
        <v>906</v>
      </c>
      <c r="B340" s="347" t="s">
        <v>772</v>
      </c>
      <c r="C340" s="347"/>
      <c r="D340" s="317"/>
      <c r="E340" s="326">
        <f>G324+G336+G337+G338</f>
        <v>2250.97769196742</v>
      </c>
      <c r="F340" s="334">
        <f>费率表!$C$15</f>
        <v>0.09</v>
      </c>
      <c r="G340" s="329">
        <f t="shared" si="23"/>
        <v>202.587992277068</v>
      </c>
      <c r="H340" s="354"/>
      <c r="I340" s="354"/>
      <c r="J340" s="354"/>
      <c r="K340" s="354"/>
      <c r="L340" s="354"/>
      <c r="M340" s="354"/>
      <c r="N340" s="354"/>
      <c r="O340" s="354"/>
      <c r="S340" s="308"/>
      <c r="T340" s="308"/>
      <c r="U340" s="308"/>
      <c r="V340" s="308"/>
      <c r="W340" s="308"/>
      <c r="X340" s="308"/>
      <c r="Y340" s="308"/>
      <c r="Z340" s="308"/>
      <c r="AA340" s="308"/>
      <c r="AB340" s="308"/>
      <c r="AC340" s="308"/>
      <c r="AD340" s="308"/>
      <c r="AE340" s="308"/>
      <c r="AF340" s="308"/>
      <c r="AG340" s="308"/>
      <c r="AH340" s="308"/>
    </row>
    <row r="341" customHeight="1" spans="1:34">
      <c r="A341" s="314"/>
      <c r="B341" s="347" t="s">
        <v>907</v>
      </c>
      <c r="C341" s="347"/>
      <c r="D341" s="317"/>
      <c r="E341" s="326">
        <f>G324+G336+G337+G338+G340</f>
        <v>2453.56568424449</v>
      </c>
      <c r="F341" s="334">
        <f>费率表!$I$19</f>
        <v>0.03</v>
      </c>
      <c r="G341" s="329">
        <f t="shared" si="23"/>
        <v>73.6069705273347</v>
      </c>
      <c r="H341" s="354"/>
      <c r="I341" s="354"/>
      <c r="J341" s="354"/>
      <c r="K341" s="354"/>
      <c r="L341" s="354"/>
      <c r="M341" s="354"/>
      <c r="N341" s="354"/>
      <c r="O341" s="354"/>
      <c r="S341" s="308"/>
      <c r="T341" s="308"/>
      <c r="U341" s="308"/>
      <c r="V341" s="308"/>
      <c r="W341" s="308"/>
      <c r="X341" s="308"/>
      <c r="Y341" s="308"/>
      <c r="Z341" s="308"/>
      <c r="AA341" s="308"/>
      <c r="AB341" s="308"/>
      <c r="AC341" s="308"/>
      <c r="AD341" s="308"/>
      <c r="AE341" s="308"/>
      <c r="AF341" s="308"/>
      <c r="AG341" s="308"/>
      <c r="AH341" s="308"/>
    </row>
    <row r="342" customHeight="1" spans="1:34">
      <c r="A342" s="335"/>
      <c r="B342" s="338" t="s">
        <v>39</v>
      </c>
      <c r="C342" s="338"/>
      <c r="D342" s="338"/>
      <c r="E342" s="339"/>
      <c r="F342" s="338"/>
      <c r="G342" s="340">
        <f>G324+G336+G337+G338+G340+G341</f>
        <v>2527.17265477182</v>
      </c>
      <c r="H342" s="354"/>
      <c r="I342" s="354"/>
      <c r="J342" s="354"/>
      <c r="K342" s="354"/>
      <c r="L342" s="354"/>
      <c r="M342" s="354"/>
      <c r="N342" s="354"/>
      <c r="O342" s="354"/>
      <c r="S342" s="308"/>
      <c r="T342" s="308"/>
      <c r="U342" s="308"/>
      <c r="V342" s="308"/>
      <c r="W342" s="308"/>
      <c r="X342" s="308"/>
      <c r="Y342" s="308"/>
      <c r="Z342" s="308"/>
      <c r="AA342" s="308"/>
      <c r="AB342" s="308"/>
      <c r="AC342" s="308"/>
      <c r="AD342" s="308"/>
      <c r="AE342" s="308"/>
      <c r="AF342" s="308"/>
      <c r="AG342" s="308"/>
      <c r="AH342" s="308"/>
    </row>
    <row r="343" customHeight="1" spans="1:34">
      <c r="A343" s="227"/>
      <c r="B343" s="227"/>
      <c r="C343" s="227"/>
      <c r="D343" s="227"/>
      <c r="E343" s="228"/>
      <c r="F343" s="227"/>
      <c r="G343" s="228"/>
      <c r="H343" s="354"/>
      <c r="I343" s="354"/>
      <c r="J343" s="354"/>
      <c r="K343" s="354"/>
      <c r="L343" s="354"/>
      <c r="M343" s="354"/>
      <c r="N343" s="354"/>
      <c r="O343" s="354"/>
      <c r="S343" s="308"/>
      <c r="T343" s="308"/>
      <c r="U343" s="308"/>
      <c r="V343" s="308"/>
      <c r="W343" s="308"/>
      <c r="X343" s="308"/>
      <c r="Y343" s="308"/>
      <c r="Z343" s="308"/>
      <c r="AA343" s="308"/>
      <c r="AB343" s="308"/>
      <c r="AC343" s="308"/>
      <c r="AD343" s="308"/>
      <c r="AE343" s="308"/>
      <c r="AF343" s="308"/>
      <c r="AG343" s="308"/>
      <c r="AH343" s="308"/>
    </row>
    <row r="344" customHeight="1" spans="1:34">
      <c r="A344" s="353" t="s">
        <v>868</v>
      </c>
      <c r="B344" s="353"/>
      <c r="C344" s="353"/>
      <c r="D344" s="353"/>
      <c r="E344" s="353"/>
      <c r="F344" s="353"/>
      <c r="G344" s="353"/>
      <c r="H344" s="354"/>
      <c r="I344" s="354"/>
      <c r="J344" s="354"/>
      <c r="K344" s="354"/>
      <c r="L344" s="354"/>
      <c r="M344" s="354"/>
      <c r="N344" s="354"/>
      <c r="O344" s="354"/>
      <c r="S344" s="308"/>
      <c r="T344" s="308"/>
      <c r="U344" s="308"/>
      <c r="V344" s="308"/>
      <c r="W344" s="308"/>
      <c r="X344" s="308"/>
      <c r="Y344" s="308"/>
      <c r="Z344" s="308"/>
      <c r="AA344" s="308"/>
      <c r="AB344" s="308"/>
      <c r="AC344" s="308"/>
      <c r="AD344" s="308"/>
      <c r="AE344" s="308"/>
      <c r="AF344" s="308"/>
      <c r="AG344" s="308"/>
      <c r="AH344" s="308"/>
    </row>
    <row r="345" customHeight="1" spans="1:34">
      <c r="A345" s="309" t="s">
        <v>869</v>
      </c>
      <c r="B345" s="310"/>
      <c r="C345" s="310" t="s">
        <v>166</v>
      </c>
      <c r="D345" s="310" t="s">
        <v>870</v>
      </c>
      <c r="E345" s="343" t="s">
        <v>1268</v>
      </c>
      <c r="F345" s="343"/>
      <c r="G345" s="344"/>
      <c r="H345" s="354"/>
      <c r="I345" s="354"/>
      <c r="J345" s="354"/>
      <c r="K345" s="354"/>
      <c r="L345" s="354"/>
      <c r="M345" s="354"/>
      <c r="N345" s="354"/>
      <c r="O345" s="354"/>
      <c r="S345" s="308"/>
      <c r="T345" s="308"/>
      <c r="U345" s="308"/>
      <c r="V345" s="308"/>
      <c r="W345" s="308"/>
      <c r="X345" s="308"/>
      <c r="Y345" s="308"/>
      <c r="Z345" s="308"/>
      <c r="AA345" s="308"/>
      <c r="AB345" s="308"/>
      <c r="AC345" s="308"/>
      <c r="AD345" s="308"/>
      <c r="AE345" s="308"/>
      <c r="AF345" s="308"/>
      <c r="AG345" s="308"/>
      <c r="AH345" s="308"/>
    </row>
    <row r="346" customHeight="1" spans="1:34">
      <c r="A346" s="314" t="s">
        <v>507</v>
      </c>
      <c r="B346" s="315"/>
      <c r="C346" s="316" t="s">
        <v>1261</v>
      </c>
      <c r="D346" s="316"/>
      <c r="E346" s="316"/>
      <c r="F346" s="317" t="s">
        <v>873</v>
      </c>
      <c r="G346" s="318" t="s">
        <v>874</v>
      </c>
      <c r="H346" s="354"/>
      <c r="I346" s="354"/>
      <c r="J346" s="354"/>
      <c r="K346" s="354"/>
      <c r="L346" s="354"/>
      <c r="M346" s="354"/>
      <c r="N346" s="354"/>
      <c r="O346" s="354"/>
      <c r="S346" s="308"/>
      <c r="T346" s="308"/>
      <c r="U346" s="308"/>
      <c r="V346" s="308"/>
      <c r="W346" s="308"/>
      <c r="X346" s="308"/>
      <c r="Y346" s="308"/>
      <c r="Z346" s="308"/>
      <c r="AA346" s="308"/>
      <c r="AB346" s="308"/>
      <c r="AC346" s="308"/>
      <c r="AD346" s="308"/>
      <c r="AE346" s="308"/>
      <c r="AF346" s="308"/>
      <c r="AG346" s="308"/>
      <c r="AH346" s="308"/>
    </row>
    <row r="347" customHeight="1" spans="1:34">
      <c r="A347" s="345" t="s">
        <v>1262</v>
      </c>
      <c r="B347" s="316"/>
      <c r="C347" s="316"/>
      <c r="D347" s="316"/>
      <c r="E347" s="316"/>
      <c r="F347" s="316"/>
      <c r="G347" s="346"/>
      <c r="H347" s="354"/>
      <c r="I347" s="354"/>
      <c r="J347" s="354"/>
      <c r="K347" s="354"/>
      <c r="L347" s="354"/>
      <c r="M347" s="354"/>
      <c r="N347" s="354"/>
      <c r="O347" s="354"/>
      <c r="S347" s="308"/>
      <c r="T347" s="308"/>
      <c r="U347" s="308"/>
      <c r="V347" s="308"/>
      <c r="W347" s="308"/>
      <c r="X347" s="308"/>
      <c r="Y347" s="308"/>
      <c r="Z347" s="308"/>
      <c r="AA347" s="308"/>
      <c r="AB347" s="308"/>
      <c r="AC347" s="308"/>
      <c r="AD347" s="308"/>
      <c r="AE347" s="308"/>
      <c r="AF347" s="308"/>
      <c r="AG347" s="308"/>
      <c r="AH347" s="308"/>
    </row>
    <row r="348" customHeight="1" spans="1:34">
      <c r="A348" s="322" t="s">
        <v>1098</v>
      </c>
      <c r="B348" s="323"/>
      <c r="C348" s="324"/>
      <c r="D348" s="324"/>
      <c r="E348" s="324"/>
      <c r="F348" s="324"/>
      <c r="G348" s="325"/>
      <c r="H348" s="354"/>
      <c r="I348" s="354"/>
      <c r="J348" s="354"/>
      <c r="K348" s="354"/>
      <c r="L348" s="354"/>
      <c r="M348" s="354"/>
      <c r="N348" s="354"/>
      <c r="O348" s="354"/>
      <c r="S348" s="308"/>
      <c r="T348" s="308"/>
      <c r="U348" s="308"/>
      <c r="V348" s="308"/>
      <c r="W348" s="308"/>
      <c r="X348" s="308"/>
      <c r="Y348" s="308"/>
      <c r="Z348" s="308"/>
      <c r="AA348" s="308"/>
      <c r="AB348" s="308"/>
      <c r="AC348" s="308"/>
      <c r="AD348" s="308"/>
      <c r="AE348" s="308"/>
      <c r="AF348" s="308"/>
      <c r="AG348" s="308"/>
      <c r="AH348" s="308"/>
    </row>
    <row r="349" customHeight="1" spans="1:34">
      <c r="A349" s="314" t="s">
        <v>34</v>
      </c>
      <c r="B349" s="317" t="s">
        <v>761</v>
      </c>
      <c r="C349" s="317"/>
      <c r="D349" s="317" t="s">
        <v>60</v>
      </c>
      <c r="E349" s="326" t="s">
        <v>877</v>
      </c>
      <c r="F349" s="317" t="s">
        <v>878</v>
      </c>
      <c r="G349" s="318" t="s">
        <v>879</v>
      </c>
      <c r="H349" s="354"/>
      <c r="I349" s="354"/>
      <c r="J349" s="354"/>
      <c r="K349" s="354"/>
      <c r="L349" s="354"/>
      <c r="M349" s="354"/>
      <c r="N349" s="354"/>
      <c r="O349" s="354"/>
      <c r="S349" s="308"/>
      <c r="T349" s="308"/>
      <c r="U349" s="308"/>
      <c r="V349" s="308"/>
      <c r="W349" s="308"/>
      <c r="X349" s="308"/>
      <c r="Y349" s="308"/>
      <c r="Z349" s="308"/>
      <c r="AA349" s="308"/>
      <c r="AB349" s="308"/>
      <c r="AC349" s="308"/>
      <c r="AD349" s="308"/>
      <c r="AE349" s="308"/>
      <c r="AF349" s="308"/>
      <c r="AG349" s="308"/>
      <c r="AH349" s="308"/>
    </row>
    <row r="350" customHeight="1" spans="1:34">
      <c r="A350" s="314" t="s">
        <v>8</v>
      </c>
      <c r="B350" s="347" t="s">
        <v>880</v>
      </c>
      <c r="C350" s="347"/>
      <c r="D350" s="317"/>
      <c r="E350" s="326"/>
      <c r="F350" s="326"/>
      <c r="G350" s="329">
        <f>G351+G361</f>
        <v>1564.93911325278</v>
      </c>
      <c r="H350" s="354"/>
      <c r="I350" s="354"/>
      <c r="J350" s="354"/>
      <c r="K350" s="354"/>
      <c r="L350" s="354"/>
      <c r="M350" s="354"/>
      <c r="N350" s="354"/>
      <c r="O350" s="354"/>
      <c r="S350" s="308"/>
      <c r="T350" s="308"/>
      <c r="U350" s="308"/>
      <c r="V350" s="308"/>
      <c r="W350" s="308"/>
      <c r="X350" s="308"/>
      <c r="Y350" s="308"/>
      <c r="Z350" s="308"/>
      <c r="AA350" s="308"/>
      <c r="AB350" s="308"/>
      <c r="AC350" s="308"/>
      <c r="AD350" s="308"/>
      <c r="AE350" s="308"/>
      <c r="AF350" s="308"/>
      <c r="AG350" s="308"/>
      <c r="AH350" s="308"/>
    </row>
    <row r="351" customHeight="1" spans="1:34">
      <c r="A351" s="314" t="s">
        <v>881</v>
      </c>
      <c r="B351" s="347" t="s">
        <v>882</v>
      </c>
      <c r="C351" s="347"/>
      <c r="D351" s="317"/>
      <c r="E351" s="326"/>
      <c r="F351" s="326"/>
      <c r="G351" s="329">
        <f>G352+G355+G357</f>
        <v>1470.80743726765</v>
      </c>
      <c r="H351" s="354"/>
      <c r="I351" s="354"/>
      <c r="J351" s="354"/>
      <c r="K351" s="354"/>
      <c r="L351" s="354"/>
      <c r="M351" s="354"/>
      <c r="N351" s="354"/>
      <c r="O351" s="354"/>
      <c r="S351" s="308"/>
      <c r="T351" s="308"/>
      <c r="U351" s="308"/>
      <c r="V351" s="308"/>
      <c r="W351" s="308"/>
      <c r="X351" s="308"/>
      <c r="Y351" s="308"/>
      <c r="Z351" s="308"/>
      <c r="AA351" s="308"/>
      <c r="AB351" s="308"/>
      <c r="AC351" s="308"/>
      <c r="AD351" s="308"/>
      <c r="AE351" s="308"/>
      <c r="AF351" s="308"/>
      <c r="AG351" s="308"/>
      <c r="AH351" s="308"/>
    </row>
    <row r="352" customHeight="1" spans="1:34">
      <c r="A352" s="314" t="s">
        <v>17</v>
      </c>
      <c r="B352" s="347" t="s">
        <v>510</v>
      </c>
      <c r="C352" s="347"/>
      <c r="D352" s="317"/>
      <c r="E352" s="326"/>
      <c r="F352" s="326"/>
      <c r="G352" s="329">
        <f>SUM(G353:G354)</f>
        <v>30.004</v>
      </c>
      <c r="H352" s="354"/>
      <c r="I352" s="354"/>
      <c r="J352" s="354"/>
      <c r="K352" s="354"/>
      <c r="L352" s="354"/>
      <c r="M352" s="354"/>
      <c r="N352" s="354"/>
      <c r="O352" s="354"/>
      <c r="S352" s="308"/>
      <c r="T352" s="308"/>
      <c r="U352" s="308"/>
      <c r="V352" s="308"/>
      <c r="W352" s="308"/>
      <c r="X352" s="308"/>
      <c r="Y352" s="308"/>
      <c r="Z352" s="308"/>
      <c r="AA352" s="308"/>
      <c r="AB352" s="308"/>
      <c r="AC352" s="308"/>
      <c r="AD352" s="308"/>
      <c r="AE352" s="308"/>
      <c r="AF352" s="308"/>
      <c r="AG352" s="308"/>
      <c r="AH352" s="308"/>
    </row>
    <row r="353" customHeight="1" spans="1:34">
      <c r="A353" s="314"/>
      <c r="B353" s="347" t="s">
        <v>704</v>
      </c>
      <c r="C353" s="347"/>
      <c r="D353" s="317" t="s">
        <v>705</v>
      </c>
      <c r="E353" s="326"/>
      <c r="F353" s="326"/>
      <c r="G353" s="329"/>
      <c r="H353" s="354"/>
      <c r="I353" s="354"/>
      <c r="J353" s="354"/>
      <c r="K353" s="354"/>
      <c r="L353" s="354"/>
      <c r="M353" s="354"/>
      <c r="N353" s="354"/>
      <c r="O353" s="354"/>
      <c r="S353" s="308"/>
      <c r="T353" s="308"/>
      <c r="U353" s="308"/>
      <c r="V353" s="308"/>
      <c r="W353" s="308"/>
      <c r="X353" s="308"/>
      <c r="Y353" s="308"/>
      <c r="Z353" s="308"/>
      <c r="AA353" s="308"/>
      <c r="AB353" s="308"/>
      <c r="AC353" s="308"/>
      <c r="AD353" s="308"/>
      <c r="AE353" s="308"/>
      <c r="AF353" s="308"/>
      <c r="AG353" s="308"/>
      <c r="AH353" s="308"/>
    </row>
    <row r="354" customHeight="1" spans="1:34">
      <c r="A354" s="314"/>
      <c r="B354" s="347" t="s">
        <v>706</v>
      </c>
      <c r="C354" s="347"/>
      <c r="D354" s="317" t="s">
        <v>705</v>
      </c>
      <c r="E354" s="330">
        <v>5.2</v>
      </c>
      <c r="F354" s="326">
        <f>主要材料预算!$D$20</f>
        <v>5.77</v>
      </c>
      <c r="G354" s="329">
        <f>E354*F354</f>
        <v>30.004</v>
      </c>
      <c r="H354" s="354"/>
      <c r="I354" s="354"/>
      <c r="J354" s="354"/>
      <c r="K354" s="354"/>
      <c r="L354" s="354"/>
      <c r="M354" s="354"/>
      <c r="N354" s="354"/>
      <c r="O354" s="354"/>
      <c r="S354" s="308"/>
      <c r="T354" s="308"/>
      <c r="U354" s="308"/>
      <c r="V354" s="308"/>
      <c r="W354" s="308"/>
      <c r="X354" s="308"/>
      <c r="Y354" s="308"/>
      <c r="Z354" s="308"/>
      <c r="AA354" s="308"/>
      <c r="AB354" s="308"/>
      <c r="AC354" s="308"/>
      <c r="AD354" s="308"/>
      <c r="AE354" s="308"/>
      <c r="AF354" s="308"/>
      <c r="AG354" s="308"/>
      <c r="AH354" s="308"/>
    </row>
    <row r="355" customHeight="1" spans="1:34">
      <c r="A355" s="314" t="s">
        <v>19</v>
      </c>
      <c r="B355" s="327" t="s">
        <v>511</v>
      </c>
      <c r="C355" s="328"/>
      <c r="D355" s="317"/>
      <c r="E355" s="326"/>
      <c r="F355" s="326"/>
      <c r="G355" s="329">
        <f>G356</f>
        <v>70.0384493936976</v>
      </c>
      <c r="H355" s="354"/>
      <c r="I355" s="354"/>
      <c r="J355" s="354"/>
      <c r="K355" s="354"/>
      <c r="L355" s="354"/>
      <c r="M355" s="354"/>
      <c r="N355" s="354"/>
      <c r="O355" s="354"/>
      <c r="S355" s="308"/>
      <c r="T355" s="308"/>
      <c r="U355" s="308"/>
      <c r="V355" s="308"/>
      <c r="W355" s="308"/>
      <c r="X355" s="308"/>
      <c r="Y355" s="308"/>
      <c r="Z355" s="308"/>
      <c r="AA355" s="308"/>
      <c r="AB355" s="308"/>
      <c r="AC355" s="308"/>
      <c r="AD355" s="308"/>
      <c r="AE355" s="308"/>
      <c r="AF355" s="308"/>
      <c r="AG355" s="308"/>
      <c r="AH355" s="308"/>
    </row>
    <row r="356" customHeight="1" spans="1:34">
      <c r="A356" s="314"/>
      <c r="B356" s="347" t="s">
        <v>1008</v>
      </c>
      <c r="C356" s="347"/>
      <c r="D356" s="317" t="s">
        <v>894</v>
      </c>
      <c r="E356" s="147">
        <f>G352+G357</f>
        <v>1400.76898787395</v>
      </c>
      <c r="F356" s="331">
        <v>5</v>
      </c>
      <c r="G356" s="329">
        <f>E356*F356/100</f>
        <v>70.0384493936976</v>
      </c>
      <c r="H356" s="354"/>
      <c r="I356" s="354"/>
      <c r="J356" s="354"/>
      <c r="K356" s="354"/>
      <c r="L356" s="354"/>
      <c r="M356" s="354"/>
      <c r="N356" s="354"/>
      <c r="O356" s="354"/>
      <c r="S356" s="308"/>
      <c r="T356" s="308"/>
      <c r="U356" s="308"/>
      <c r="V356" s="308"/>
      <c r="W356" s="308"/>
      <c r="X356" s="308"/>
      <c r="Y356" s="308"/>
      <c r="Z356" s="308"/>
      <c r="AA356" s="308"/>
      <c r="AB356" s="308"/>
      <c r="AC356" s="308"/>
      <c r="AD356" s="308"/>
      <c r="AE356" s="308"/>
      <c r="AF356" s="308"/>
      <c r="AG356" s="308"/>
      <c r="AH356" s="308"/>
    </row>
    <row r="357" customHeight="1" spans="1:34">
      <c r="A357" s="314" t="s">
        <v>21</v>
      </c>
      <c r="B357" s="347" t="s">
        <v>895</v>
      </c>
      <c r="C357" s="347"/>
      <c r="D357" s="347"/>
      <c r="E357" s="147"/>
      <c r="F357" s="326"/>
      <c r="G357" s="329">
        <f>SUM(G358:G360)</f>
        <v>1370.76498787395</v>
      </c>
      <c r="H357" s="354"/>
      <c r="I357" s="354"/>
      <c r="J357" s="354"/>
      <c r="K357" s="354"/>
      <c r="L357" s="354"/>
      <c r="M357" s="354"/>
      <c r="N357" s="354"/>
      <c r="O357" s="354"/>
      <c r="S357" s="308"/>
      <c r="T357" s="308"/>
      <c r="U357" s="308"/>
      <c r="V357" s="308"/>
      <c r="W357" s="308"/>
      <c r="X357" s="308"/>
      <c r="Y357" s="308"/>
      <c r="Z357" s="308"/>
      <c r="AA357" s="308"/>
      <c r="AB357" s="308"/>
      <c r="AC357" s="308"/>
      <c r="AD357" s="308"/>
      <c r="AE357" s="308"/>
      <c r="AF357" s="308"/>
      <c r="AG357" s="308"/>
      <c r="AH357" s="308"/>
    </row>
    <row r="358" customHeight="1" spans="1:34">
      <c r="A358" s="314"/>
      <c r="B358" s="327" t="s">
        <v>1263</v>
      </c>
      <c r="C358" s="328"/>
      <c r="D358" s="317" t="s">
        <v>896</v>
      </c>
      <c r="E358" s="147">
        <f>1.04</f>
        <v>1.04</v>
      </c>
      <c r="F358" s="326">
        <f>施工机械台时费!$E$6</f>
        <v>122.94140686079</v>
      </c>
      <c r="G358" s="329">
        <f t="shared" ref="G358:G363" si="24">E358*F358</f>
        <v>127.859063135221</v>
      </c>
      <c r="H358" s="354"/>
      <c r="I358" s="354"/>
      <c r="J358" s="354"/>
      <c r="K358" s="354"/>
      <c r="L358" s="354"/>
      <c r="M358" s="354"/>
      <c r="N358" s="354"/>
      <c r="O358" s="354"/>
      <c r="S358" s="308"/>
      <c r="T358" s="308"/>
      <c r="U358" s="308"/>
      <c r="V358" s="308"/>
      <c r="W358" s="308"/>
      <c r="X358" s="308"/>
      <c r="Y358" s="308"/>
      <c r="Z358" s="308"/>
      <c r="AA358" s="308"/>
      <c r="AB358" s="308"/>
      <c r="AC358" s="308"/>
      <c r="AD358" s="308"/>
      <c r="AE358" s="308"/>
      <c r="AF358" s="308"/>
      <c r="AG358" s="308"/>
      <c r="AH358" s="308"/>
    </row>
    <row r="359" customHeight="1" spans="1:34">
      <c r="A359" s="314"/>
      <c r="B359" s="327" t="s">
        <v>1264</v>
      </c>
      <c r="C359" s="328"/>
      <c r="D359" s="317" t="s">
        <v>896</v>
      </c>
      <c r="E359" s="147">
        <v>0.52</v>
      </c>
      <c r="F359" s="326">
        <f>施工机械台时费!$E$12</f>
        <v>66.3822584762664</v>
      </c>
      <c r="G359" s="329">
        <f t="shared" si="24"/>
        <v>34.5187744076586</v>
      </c>
      <c r="H359" s="354"/>
      <c r="I359" s="354"/>
      <c r="J359" s="354"/>
      <c r="K359" s="354"/>
      <c r="L359" s="354"/>
      <c r="M359" s="354"/>
      <c r="N359" s="354"/>
      <c r="O359" s="354"/>
      <c r="S359" s="308"/>
      <c r="T359" s="308"/>
      <c r="U359" s="308"/>
      <c r="V359" s="308"/>
      <c r="W359" s="308"/>
      <c r="X359" s="308"/>
      <c r="Y359" s="308"/>
      <c r="Z359" s="308"/>
      <c r="AA359" s="308"/>
      <c r="AB359" s="308"/>
      <c r="AC359" s="308"/>
      <c r="AD359" s="308"/>
      <c r="AE359" s="308"/>
      <c r="AF359" s="308"/>
      <c r="AG359" s="308"/>
      <c r="AH359" s="308"/>
    </row>
    <row r="360" customHeight="1" spans="1:34">
      <c r="A360" s="314"/>
      <c r="B360" s="327" t="s">
        <v>827</v>
      </c>
      <c r="C360" s="328"/>
      <c r="D360" s="317" t="s">
        <v>896</v>
      </c>
      <c r="E360" s="147">
        <f>12.3+3*1.41</f>
        <v>16.53</v>
      </c>
      <c r="F360" s="326">
        <f>施工机械台时费!$E$32</f>
        <v>73.10267092142</v>
      </c>
      <c r="G360" s="329">
        <f t="shared" si="24"/>
        <v>1208.38715033107</v>
      </c>
      <c r="H360" s="354"/>
      <c r="I360" s="354"/>
      <c r="J360" s="354"/>
      <c r="K360" s="354"/>
      <c r="L360" s="354"/>
      <c r="M360" s="354"/>
      <c r="N360" s="354"/>
      <c r="O360" s="354"/>
      <c r="S360" s="308"/>
      <c r="T360" s="308"/>
      <c r="U360" s="308"/>
      <c r="V360" s="308"/>
      <c r="W360" s="308"/>
      <c r="X360" s="308"/>
      <c r="Y360" s="308"/>
      <c r="Z360" s="308"/>
      <c r="AA360" s="308"/>
      <c r="AB360" s="308"/>
      <c r="AC360" s="308"/>
      <c r="AD360" s="308"/>
      <c r="AE360" s="308"/>
      <c r="AF360" s="308"/>
      <c r="AG360" s="308"/>
      <c r="AH360" s="308"/>
    </row>
    <row r="361" customHeight="1" spans="1:34">
      <c r="A361" s="314" t="s">
        <v>905</v>
      </c>
      <c r="B361" s="347" t="s">
        <v>514</v>
      </c>
      <c r="C361" s="347"/>
      <c r="D361" s="317"/>
      <c r="E361" s="332">
        <f>G351</f>
        <v>1470.80743726765</v>
      </c>
      <c r="F361" s="333">
        <f>费率表!$C$12</f>
        <v>0.064</v>
      </c>
      <c r="G361" s="329">
        <f t="shared" si="24"/>
        <v>94.1316759851296</v>
      </c>
      <c r="H361" s="354"/>
      <c r="I361" s="354"/>
      <c r="J361" s="354"/>
      <c r="K361" s="354"/>
      <c r="L361" s="354"/>
      <c r="M361" s="354"/>
      <c r="N361" s="354"/>
      <c r="O361" s="354"/>
      <c r="S361" s="308"/>
      <c r="T361" s="308"/>
      <c r="U361" s="308"/>
      <c r="V361" s="308"/>
      <c r="W361" s="308"/>
      <c r="X361" s="308"/>
      <c r="Y361" s="308"/>
      <c r="Z361" s="308"/>
      <c r="AA361" s="308"/>
      <c r="AB361" s="308"/>
      <c r="AC361" s="308"/>
      <c r="AD361" s="308"/>
      <c r="AE361" s="308"/>
      <c r="AF361" s="308"/>
      <c r="AG361" s="308"/>
      <c r="AH361" s="308"/>
    </row>
    <row r="362" customHeight="1" spans="1:34">
      <c r="A362" s="314" t="s">
        <v>10</v>
      </c>
      <c r="B362" s="347" t="s">
        <v>770</v>
      </c>
      <c r="C362" s="347"/>
      <c r="D362" s="317"/>
      <c r="E362" s="326">
        <f>G350</f>
        <v>1564.93911325278</v>
      </c>
      <c r="F362" s="334">
        <f>费率表!$C$13</f>
        <v>0.05</v>
      </c>
      <c r="G362" s="329">
        <f t="shared" si="24"/>
        <v>78.246955662639</v>
      </c>
      <c r="H362" s="354"/>
      <c r="I362" s="354"/>
      <c r="J362" s="354"/>
      <c r="K362" s="354"/>
      <c r="L362" s="354"/>
      <c r="M362" s="354"/>
      <c r="N362" s="354"/>
      <c r="O362" s="354"/>
      <c r="S362" s="308"/>
      <c r="T362" s="308"/>
      <c r="U362" s="308"/>
      <c r="V362" s="308"/>
      <c r="W362" s="308"/>
      <c r="X362" s="308"/>
      <c r="Y362" s="308"/>
      <c r="Z362" s="308"/>
      <c r="AA362" s="308"/>
      <c r="AB362" s="308"/>
      <c r="AC362" s="308"/>
      <c r="AD362" s="308"/>
      <c r="AE362" s="308"/>
      <c r="AF362" s="308"/>
      <c r="AG362" s="308"/>
      <c r="AH362" s="308"/>
    </row>
    <row r="363" customHeight="1" spans="1:34">
      <c r="A363" s="314" t="s">
        <v>12</v>
      </c>
      <c r="B363" s="347" t="s">
        <v>771</v>
      </c>
      <c r="C363" s="347"/>
      <c r="D363" s="317"/>
      <c r="E363" s="326">
        <f>G350+G362</f>
        <v>1643.18606891542</v>
      </c>
      <c r="F363" s="334">
        <f>费率表!$C$14</f>
        <v>0.07</v>
      </c>
      <c r="G363" s="329">
        <f t="shared" si="24"/>
        <v>115.023024824079</v>
      </c>
      <c r="H363" s="354"/>
      <c r="I363" s="354"/>
      <c r="J363" s="354"/>
      <c r="K363" s="354"/>
      <c r="L363" s="354"/>
      <c r="M363" s="354"/>
      <c r="N363" s="354"/>
      <c r="O363" s="354"/>
      <c r="S363" s="308"/>
      <c r="T363" s="308"/>
      <c r="U363" s="308"/>
      <c r="V363" s="308"/>
      <c r="W363" s="308"/>
      <c r="X363" s="308"/>
      <c r="Y363" s="308"/>
      <c r="Z363" s="308"/>
      <c r="AA363" s="308"/>
      <c r="AB363" s="308"/>
      <c r="AC363" s="308"/>
      <c r="AD363" s="308"/>
      <c r="AE363" s="308"/>
      <c r="AF363" s="308"/>
      <c r="AG363" s="308"/>
      <c r="AH363" s="308"/>
    </row>
    <row r="364" customHeight="1" spans="1:34">
      <c r="A364" s="314" t="s">
        <v>15</v>
      </c>
      <c r="B364" s="327" t="s">
        <v>517</v>
      </c>
      <c r="C364" s="328"/>
      <c r="D364" s="317"/>
      <c r="E364" s="326"/>
      <c r="F364" s="349"/>
      <c r="G364" s="329">
        <f>G365</f>
        <v>1142.43364357743</v>
      </c>
      <c r="H364" s="354"/>
      <c r="I364" s="354"/>
      <c r="J364" s="354"/>
      <c r="K364" s="354"/>
      <c r="L364" s="354"/>
      <c r="M364" s="354"/>
      <c r="N364" s="354"/>
      <c r="O364" s="354"/>
      <c r="S364" s="308"/>
      <c r="T364" s="308"/>
      <c r="U364" s="308"/>
      <c r="V364" s="308"/>
      <c r="W364" s="308"/>
      <c r="X364" s="308"/>
      <c r="Y364" s="308"/>
      <c r="Z364" s="308"/>
      <c r="AA364" s="308"/>
      <c r="AB364" s="308"/>
      <c r="AC364" s="308"/>
      <c r="AD364" s="308"/>
      <c r="AE364" s="308"/>
      <c r="AF364" s="308"/>
      <c r="AG364" s="308"/>
      <c r="AH364" s="308"/>
    </row>
    <row r="365" customHeight="1" spans="1:34">
      <c r="A365" s="314" t="s">
        <v>17</v>
      </c>
      <c r="B365" s="327" t="s">
        <v>694</v>
      </c>
      <c r="C365" s="328"/>
      <c r="D365" s="317" t="s">
        <v>695</v>
      </c>
      <c r="E365" s="326">
        <f>E358*14.9+E359*8.4+E360*10.2</f>
        <v>188.47</v>
      </c>
      <c r="F365" s="326">
        <f>主要材料预算!$N$13</f>
        <v>6.0616206482593</v>
      </c>
      <c r="G365" s="329">
        <f t="shared" ref="G365:G367" si="25">E365*F365</f>
        <v>1142.43364357743</v>
      </c>
      <c r="H365" s="354"/>
      <c r="I365" s="354"/>
      <c r="J365" s="354"/>
      <c r="K365" s="354"/>
      <c r="L365" s="354"/>
      <c r="M365" s="354"/>
      <c r="N365" s="354"/>
      <c r="O365" s="354"/>
      <c r="S365" s="308"/>
      <c r="T365" s="308"/>
      <c r="U365" s="308"/>
      <c r="V365" s="308"/>
      <c r="W365" s="308"/>
      <c r="X365" s="308"/>
      <c r="Y365" s="308"/>
      <c r="Z365" s="308"/>
      <c r="AA365" s="308"/>
      <c r="AB365" s="308"/>
      <c r="AC365" s="308"/>
      <c r="AD365" s="308"/>
      <c r="AE365" s="308"/>
      <c r="AF365" s="308"/>
      <c r="AG365" s="308"/>
      <c r="AH365" s="308"/>
    </row>
    <row r="366" customHeight="1" spans="1:34">
      <c r="A366" s="314" t="s">
        <v>906</v>
      </c>
      <c r="B366" s="347" t="s">
        <v>772</v>
      </c>
      <c r="C366" s="347"/>
      <c r="D366" s="317"/>
      <c r="E366" s="326">
        <f>G350+G362+G363+G364</f>
        <v>2900.64273731693</v>
      </c>
      <c r="F366" s="334">
        <f>费率表!$C$15</f>
        <v>0.09</v>
      </c>
      <c r="G366" s="329">
        <f t="shared" si="25"/>
        <v>261.057846358524</v>
      </c>
      <c r="H366" s="354"/>
      <c r="I366" s="354"/>
      <c r="J366" s="354"/>
      <c r="K366" s="354"/>
      <c r="L366" s="354"/>
      <c r="M366" s="354"/>
      <c r="N366" s="354"/>
      <c r="O366" s="354"/>
      <c r="S366" s="308"/>
      <c r="T366" s="308"/>
      <c r="U366" s="308"/>
      <c r="V366" s="308"/>
      <c r="W366" s="308"/>
      <c r="X366" s="308"/>
      <c r="Y366" s="308"/>
      <c r="Z366" s="308"/>
      <c r="AA366" s="308"/>
      <c r="AB366" s="308"/>
      <c r="AC366" s="308"/>
      <c r="AD366" s="308"/>
      <c r="AE366" s="308"/>
      <c r="AF366" s="308"/>
      <c r="AG366" s="308"/>
      <c r="AH366" s="308"/>
    </row>
    <row r="367" customHeight="1" spans="1:34">
      <c r="A367" s="314"/>
      <c r="B367" s="347" t="s">
        <v>907</v>
      </c>
      <c r="C367" s="347"/>
      <c r="D367" s="317"/>
      <c r="E367" s="326">
        <f>G350+G362+G363+G364+G366</f>
        <v>3161.70058367545</v>
      </c>
      <c r="F367" s="334">
        <f>费率表!$I$19</f>
        <v>0.03</v>
      </c>
      <c r="G367" s="329">
        <f t="shared" si="25"/>
        <v>94.8510175102635</v>
      </c>
      <c r="H367" s="354"/>
      <c r="I367" s="354"/>
      <c r="J367" s="354"/>
      <c r="K367" s="354"/>
      <c r="L367" s="354"/>
      <c r="M367" s="354"/>
      <c r="N367" s="354"/>
      <c r="O367" s="354"/>
      <c r="S367" s="308"/>
      <c r="T367" s="308"/>
      <c r="U367" s="308"/>
      <c r="V367" s="308"/>
      <c r="W367" s="308"/>
      <c r="X367" s="308"/>
      <c r="Y367" s="308"/>
      <c r="Z367" s="308"/>
      <c r="AA367" s="308"/>
      <c r="AB367" s="308"/>
      <c r="AC367" s="308"/>
      <c r="AD367" s="308"/>
      <c r="AE367" s="308"/>
      <c r="AF367" s="308"/>
      <c r="AG367" s="308"/>
      <c r="AH367" s="308"/>
    </row>
    <row r="368" customHeight="1" spans="1:34">
      <c r="A368" s="335"/>
      <c r="B368" s="338" t="s">
        <v>39</v>
      </c>
      <c r="C368" s="338"/>
      <c r="D368" s="338"/>
      <c r="E368" s="339"/>
      <c r="F368" s="338"/>
      <c r="G368" s="340">
        <f>G350+G362+G363+G364+G366+G367</f>
        <v>3256.55160118572</v>
      </c>
      <c r="H368" s="354"/>
      <c r="I368" s="354"/>
      <c r="J368" s="354"/>
      <c r="K368" s="354"/>
      <c r="L368" s="354"/>
      <c r="M368" s="354"/>
      <c r="N368" s="354"/>
      <c r="O368" s="354"/>
      <c r="S368" s="308"/>
      <c r="T368" s="308"/>
      <c r="U368" s="308"/>
      <c r="V368" s="308"/>
      <c r="W368" s="308"/>
      <c r="X368" s="308"/>
      <c r="Y368" s="308"/>
      <c r="Z368" s="308"/>
      <c r="AA368" s="308"/>
      <c r="AB368" s="308"/>
      <c r="AC368" s="308"/>
      <c r="AD368" s="308"/>
      <c r="AE368" s="308"/>
      <c r="AF368" s="308"/>
      <c r="AG368" s="308"/>
      <c r="AH368" s="308"/>
    </row>
    <row r="369" customHeight="1" spans="1:34">
      <c r="A369" s="227"/>
      <c r="B369" s="227"/>
      <c r="C369" s="227"/>
      <c r="D369" s="227"/>
      <c r="E369" s="228"/>
      <c r="F369" s="227"/>
      <c r="G369" s="228"/>
      <c r="H369" s="354"/>
      <c r="I369" s="354"/>
      <c r="J369" s="354"/>
      <c r="K369" s="354"/>
      <c r="L369" s="354"/>
      <c r="M369" s="354"/>
      <c r="N369" s="354"/>
      <c r="O369" s="354"/>
      <c r="S369" s="308"/>
      <c r="T369" s="308"/>
      <c r="U369" s="308"/>
      <c r="V369" s="308"/>
      <c r="W369" s="308"/>
      <c r="X369" s="308"/>
      <c r="Y369" s="308"/>
      <c r="Z369" s="308"/>
      <c r="AA369" s="308"/>
      <c r="AB369" s="308"/>
      <c r="AC369" s="308"/>
      <c r="AD369" s="308"/>
      <c r="AE369" s="308"/>
      <c r="AF369" s="308"/>
      <c r="AG369" s="308"/>
      <c r="AH369" s="308"/>
    </row>
    <row r="370" customHeight="1" spans="1:34">
      <c r="A370" s="353" t="s">
        <v>868</v>
      </c>
      <c r="B370" s="353"/>
      <c r="C370" s="353"/>
      <c r="D370" s="353"/>
      <c r="E370" s="353"/>
      <c r="F370" s="353"/>
      <c r="G370" s="353"/>
      <c r="H370" s="354"/>
      <c r="I370" s="354"/>
      <c r="J370" s="354"/>
      <c r="K370" s="354"/>
      <c r="L370" s="354"/>
      <c r="M370" s="354"/>
      <c r="N370" s="354"/>
      <c r="O370" s="354"/>
      <c r="S370" s="308"/>
      <c r="T370" s="308"/>
      <c r="U370" s="308"/>
      <c r="V370" s="308"/>
      <c r="W370" s="308"/>
      <c r="X370" s="308"/>
      <c r="Y370" s="308"/>
      <c r="Z370" s="308"/>
      <c r="AA370" s="308"/>
      <c r="AB370" s="308"/>
      <c r="AC370" s="308"/>
      <c r="AD370" s="308"/>
      <c r="AE370" s="308"/>
      <c r="AF370" s="308"/>
      <c r="AG370" s="308"/>
      <c r="AH370" s="308"/>
    </row>
    <row r="371" customHeight="1" spans="1:34">
      <c r="A371" s="309" t="s">
        <v>869</v>
      </c>
      <c r="B371" s="310"/>
      <c r="C371" s="310" t="s">
        <v>172</v>
      </c>
      <c r="D371" s="310" t="s">
        <v>870</v>
      </c>
      <c r="E371" s="343" t="s">
        <v>1269</v>
      </c>
      <c r="F371" s="343"/>
      <c r="G371" s="344"/>
      <c r="H371" s="354"/>
      <c r="I371" s="354"/>
      <c r="J371" s="354"/>
      <c r="K371" s="354"/>
      <c r="L371" s="354"/>
      <c r="M371" s="354"/>
      <c r="N371" s="354"/>
      <c r="O371" s="354"/>
      <c r="S371" s="308"/>
      <c r="T371" s="308"/>
      <c r="U371" s="308"/>
      <c r="V371" s="308"/>
      <c r="W371" s="308"/>
      <c r="X371" s="308"/>
      <c r="Y371" s="308"/>
      <c r="Z371" s="308"/>
      <c r="AA371" s="308"/>
      <c r="AB371" s="308"/>
      <c r="AC371" s="308"/>
      <c r="AD371" s="308"/>
      <c r="AE371" s="308"/>
      <c r="AF371" s="308"/>
      <c r="AG371" s="308"/>
      <c r="AH371" s="308"/>
    </row>
    <row r="372" customHeight="1" spans="1:34">
      <c r="A372" s="314" t="s">
        <v>507</v>
      </c>
      <c r="B372" s="315"/>
      <c r="C372" s="316" t="s">
        <v>1270</v>
      </c>
      <c r="D372" s="316"/>
      <c r="E372" s="316"/>
      <c r="F372" s="317" t="s">
        <v>873</v>
      </c>
      <c r="G372" s="318" t="s">
        <v>1043</v>
      </c>
      <c r="H372" s="354"/>
      <c r="I372" s="354"/>
      <c r="J372" s="354"/>
      <c r="K372" s="354"/>
      <c r="L372" s="354"/>
      <c r="M372" s="354"/>
      <c r="N372" s="354"/>
      <c r="O372" s="354"/>
      <c r="S372" s="308"/>
      <c r="T372" s="308"/>
      <c r="U372" s="308"/>
      <c r="V372" s="308"/>
      <c r="W372" s="308"/>
      <c r="X372" s="308"/>
      <c r="Y372" s="308"/>
      <c r="Z372" s="308"/>
      <c r="AA372" s="308"/>
      <c r="AB372" s="308"/>
      <c r="AC372" s="308"/>
      <c r="AD372" s="308"/>
      <c r="AE372" s="308"/>
      <c r="AF372" s="308"/>
      <c r="AG372" s="308"/>
      <c r="AH372" s="308"/>
    </row>
    <row r="373" customHeight="1" spans="1:34">
      <c r="A373" s="345" t="s">
        <v>875</v>
      </c>
      <c r="B373" s="316"/>
      <c r="C373" s="316"/>
      <c r="D373" s="316"/>
      <c r="E373" s="316"/>
      <c r="F373" s="316"/>
      <c r="G373" s="346"/>
      <c r="H373" s="354"/>
      <c r="I373" s="354"/>
      <c r="J373" s="354"/>
      <c r="K373" s="354"/>
      <c r="L373" s="354"/>
      <c r="M373" s="354"/>
      <c r="N373" s="354"/>
      <c r="O373" s="354"/>
      <c r="S373" s="308"/>
      <c r="T373" s="308"/>
      <c r="U373" s="308"/>
      <c r="V373" s="308"/>
      <c r="W373" s="308"/>
      <c r="X373" s="308"/>
      <c r="Y373" s="308"/>
      <c r="Z373" s="308"/>
      <c r="AA373" s="308"/>
      <c r="AB373" s="308"/>
      <c r="AC373" s="308"/>
      <c r="AD373" s="308"/>
      <c r="AE373" s="308"/>
      <c r="AF373" s="308"/>
      <c r="AG373" s="308"/>
      <c r="AH373" s="308"/>
    </row>
    <row r="374" customHeight="1" spans="1:34">
      <c r="A374" s="322" t="s">
        <v>1271</v>
      </c>
      <c r="B374" s="323"/>
      <c r="C374" s="324"/>
      <c r="D374" s="324"/>
      <c r="E374" s="324"/>
      <c r="F374" s="324"/>
      <c r="G374" s="325"/>
      <c r="H374" s="354"/>
      <c r="I374" s="354"/>
      <c r="J374" s="354"/>
      <c r="K374" s="354"/>
      <c r="L374" s="354"/>
      <c r="M374" s="354"/>
      <c r="N374" s="354"/>
      <c r="O374" s="354"/>
      <c r="S374" s="308"/>
      <c r="T374" s="308"/>
      <c r="U374" s="308"/>
      <c r="V374" s="308"/>
      <c r="W374" s="308"/>
      <c r="X374" s="308"/>
      <c r="Y374" s="308"/>
      <c r="Z374" s="308"/>
      <c r="AA374" s="308"/>
      <c r="AB374" s="308"/>
      <c r="AC374" s="308"/>
      <c r="AD374" s="308"/>
      <c r="AE374" s="308"/>
      <c r="AF374" s="308"/>
      <c r="AG374" s="308"/>
      <c r="AH374" s="308"/>
    </row>
    <row r="375" customHeight="1" spans="1:34">
      <c r="A375" s="314" t="s">
        <v>34</v>
      </c>
      <c r="B375" s="317" t="s">
        <v>761</v>
      </c>
      <c r="C375" s="317"/>
      <c r="D375" s="317" t="s">
        <v>60</v>
      </c>
      <c r="E375" s="326" t="s">
        <v>877</v>
      </c>
      <c r="F375" s="317" t="s">
        <v>878</v>
      </c>
      <c r="G375" s="318" t="s">
        <v>879</v>
      </c>
      <c r="H375" s="354"/>
      <c r="I375" s="354"/>
      <c r="J375" s="354"/>
      <c r="K375" s="354"/>
      <c r="L375" s="354"/>
      <c r="M375" s="354"/>
      <c r="N375" s="354"/>
      <c r="O375" s="354"/>
      <c r="S375" s="308"/>
      <c r="T375" s="308"/>
      <c r="U375" s="308"/>
      <c r="V375" s="308"/>
      <c r="W375" s="308"/>
      <c r="X375" s="308"/>
      <c r="Y375" s="308"/>
      <c r="Z375" s="308"/>
      <c r="AA375" s="308"/>
      <c r="AB375" s="308"/>
      <c r="AC375" s="308"/>
      <c r="AD375" s="308"/>
      <c r="AE375" s="308"/>
      <c r="AF375" s="308"/>
      <c r="AG375" s="308"/>
      <c r="AH375" s="308"/>
    </row>
    <row r="376" customHeight="1" spans="1:34">
      <c r="A376" s="314" t="s">
        <v>8</v>
      </c>
      <c r="B376" s="347" t="s">
        <v>880</v>
      </c>
      <c r="C376" s="347"/>
      <c r="D376" s="317"/>
      <c r="E376" s="326"/>
      <c r="F376" s="326"/>
      <c r="G376" s="329">
        <f>G377+G385</f>
        <v>19.501118913937</v>
      </c>
      <c r="H376" s="354"/>
      <c r="I376" s="354"/>
      <c r="J376" s="354"/>
      <c r="K376" s="354"/>
      <c r="L376" s="354"/>
      <c r="M376" s="354"/>
      <c r="N376" s="354"/>
      <c r="O376" s="354"/>
      <c r="S376" s="308"/>
      <c r="T376" s="308"/>
      <c r="U376" s="308"/>
      <c r="V376" s="308"/>
      <c r="W376" s="308"/>
      <c r="X376" s="308"/>
      <c r="Y376" s="308"/>
      <c r="Z376" s="308"/>
      <c r="AA376" s="308"/>
      <c r="AB376" s="308"/>
      <c r="AC376" s="308"/>
      <c r="AD376" s="308"/>
      <c r="AE376" s="308"/>
      <c r="AF376" s="308"/>
      <c r="AG376" s="308"/>
      <c r="AH376" s="308"/>
    </row>
    <row r="377" customHeight="1" spans="1:34">
      <c r="A377" s="314" t="s">
        <v>881</v>
      </c>
      <c r="B377" s="347" t="s">
        <v>882</v>
      </c>
      <c r="C377" s="347"/>
      <c r="D377" s="317"/>
      <c r="E377" s="326"/>
      <c r="F377" s="326"/>
      <c r="G377" s="329">
        <f>G378+G381+G383</f>
        <v>18.328119280016</v>
      </c>
      <c r="H377" s="354"/>
      <c r="I377" s="354"/>
      <c r="J377" s="354"/>
      <c r="K377" s="354"/>
      <c r="L377" s="354"/>
      <c r="M377" s="354"/>
      <c r="N377" s="354"/>
      <c r="O377" s="354"/>
      <c r="S377" s="308"/>
      <c r="T377" s="308"/>
      <c r="U377" s="308"/>
      <c r="V377" s="308"/>
      <c r="W377" s="308"/>
      <c r="X377" s="308"/>
      <c r="Y377" s="308"/>
      <c r="Z377" s="308"/>
      <c r="AA377" s="308"/>
      <c r="AB377" s="308"/>
      <c r="AC377" s="308"/>
      <c r="AD377" s="308"/>
      <c r="AE377" s="308"/>
      <c r="AF377" s="308"/>
      <c r="AG377" s="308"/>
      <c r="AH377" s="308"/>
    </row>
    <row r="378" customHeight="1" spans="1:34">
      <c r="A378" s="314" t="s">
        <v>17</v>
      </c>
      <c r="B378" s="347" t="s">
        <v>510</v>
      </c>
      <c r="C378" s="347"/>
      <c r="D378" s="317"/>
      <c r="E378" s="326"/>
      <c r="F378" s="326"/>
      <c r="G378" s="329">
        <f>SUM(G379:G380)</f>
        <v>4.039</v>
      </c>
      <c r="H378" s="354"/>
      <c r="I378" s="354"/>
      <c r="J378" s="354"/>
      <c r="K378" s="354"/>
      <c r="L378" s="354"/>
      <c r="M378" s="354"/>
      <c r="N378" s="354"/>
      <c r="O378" s="354"/>
      <c r="S378" s="308"/>
      <c r="T378" s="308"/>
      <c r="U378" s="308"/>
      <c r="V378" s="308"/>
      <c r="W378" s="308"/>
      <c r="X378" s="308"/>
      <c r="Y378" s="308"/>
      <c r="Z378" s="308"/>
      <c r="AA378" s="308"/>
      <c r="AB378" s="308"/>
      <c r="AC378" s="308"/>
      <c r="AD378" s="308"/>
      <c r="AE378" s="308"/>
      <c r="AF378" s="308"/>
      <c r="AG378" s="308"/>
      <c r="AH378" s="308"/>
    </row>
    <row r="379" customHeight="1" spans="1:34">
      <c r="A379" s="314"/>
      <c r="B379" s="347" t="s">
        <v>704</v>
      </c>
      <c r="C379" s="347"/>
      <c r="D379" s="317" t="s">
        <v>705</v>
      </c>
      <c r="E379" s="326"/>
      <c r="F379" s="326"/>
      <c r="G379" s="329"/>
      <c r="H379" s="354"/>
      <c r="I379" s="354"/>
      <c r="J379" s="354"/>
      <c r="K379" s="354"/>
      <c r="L379" s="354"/>
      <c r="M379" s="354"/>
      <c r="N379" s="354"/>
      <c r="O379" s="354"/>
      <c r="S379" s="308"/>
      <c r="T379" s="308"/>
      <c r="U379" s="308"/>
      <c r="V379" s="308"/>
      <c r="W379" s="308"/>
      <c r="X379" s="308"/>
      <c r="Y379" s="308"/>
      <c r="Z379" s="308"/>
      <c r="AA379" s="308"/>
      <c r="AB379" s="308"/>
      <c r="AC379" s="308"/>
      <c r="AD379" s="308"/>
      <c r="AE379" s="308"/>
      <c r="AF379" s="308"/>
      <c r="AG379" s="308"/>
      <c r="AH379" s="308"/>
    </row>
    <row r="380" customHeight="1" spans="1:34">
      <c r="A380" s="314"/>
      <c r="B380" s="347" t="s">
        <v>706</v>
      </c>
      <c r="C380" s="347"/>
      <c r="D380" s="317" t="s">
        <v>705</v>
      </c>
      <c r="E380" s="330">
        <v>0.7</v>
      </c>
      <c r="F380" s="326">
        <f>主要材料预算!$D$20</f>
        <v>5.77</v>
      </c>
      <c r="G380" s="329">
        <f t="shared" ref="G380:G387" si="26">E380*F380</f>
        <v>4.039</v>
      </c>
      <c r="H380" s="354"/>
      <c r="I380" s="354"/>
      <c r="J380" s="354"/>
      <c r="K380" s="354"/>
      <c r="L380" s="354"/>
      <c r="M380" s="354"/>
      <c r="N380" s="354"/>
      <c r="O380" s="354"/>
      <c r="S380" s="308"/>
      <c r="T380" s="308"/>
      <c r="U380" s="308"/>
      <c r="V380" s="308"/>
      <c r="W380" s="308"/>
      <c r="X380" s="308"/>
      <c r="Y380" s="308"/>
      <c r="Z380" s="308"/>
      <c r="AA380" s="308"/>
      <c r="AB380" s="308"/>
      <c r="AC380" s="308"/>
      <c r="AD380" s="308"/>
      <c r="AE380" s="308"/>
      <c r="AF380" s="308"/>
      <c r="AG380" s="308"/>
      <c r="AH380" s="308"/>
    </row>
    <row r="381" customHeight="1" spans="1:34">
      <c r="A381" s="314" t="s">
        <v>19</v>
      </c>
      <c r="B381" s="327" t="s">
        <v>511</v>
      </c>
      <c r="C381" s="328"/>
      <c r="D381" s="317"/>
      <c r="E381" s="326"/>
      <c r="F381" s="326"/>
      <c r="G381" s="329">
        <f>G382</f>
        <v>0.872767584762664</v>
      </c>
      <c r="H381" s="354"/>
      <c r="I381" s="354"/>
      <c r="J381" s="354"/>
      <c r="K381" s="354"/>
      <c r="L381" s="354"/>
      <c r="M381" s="354"/>
      <c r="N381" s="354"/>
      <c r="O381" s="354"/>
      <c r="S381" s="308"/>
      <c r="T381" s="308"/>
      <c r="U381" s="308"/>
      <c r="V381" s="308"/>
      <c r="W381" s="308"/>
      <c r="X381" s="308"/>
      <c r="Y381" s="308"/>
      <c r="Z381" s="308"/>
      <c r="AA381" s="308"/>
      <c r="AB381" s="308"/>
      <c r="AC381" s="308"/>
      <c r="AD381" s="308"/>
      <c r="AE381" s="308"/>
      <c r="AF381" s="308"/>
      <c r="AG381" s="308"/>
      <c r="AH381" s="308"/>
    </row>
    <row r="382" customHeight="1" spans="1:34">
      <c r="A382" s="314"/>
      <c r="B382" s="347" t="s">
        <v>1008</v>
      </c>
      <c r="C382" s="347"/>
      <c r="D382" s="317" t="s">
        <v>894</v>
      </c>
      <c r="E382" s="147">
        <f>G378+G383</f>
        <v>17.4553516952533</v>
      </c>
      <c r="F382" s="331">
        <v>5</v>
      </c>
      <c r="G382" s="329">
        <f>E382*F382/100</f>
        <v>0.872767584762664</v>
      </c>
      <c r="H382" s="354"/>
      <c r="I382" s="354"/>
      <c r="J382" s="354"/>
      <c r="K382" s="354"/>
      <c r="L382" s="354"/>
      <c r="M382" s="354"/>
      <c r="N382" s="354"/>
      <c r="O382" s="354"/>
      <c r="S382" s="308"/>
      <c r="T382" s="308"/>
      <c r="U382" s="308"/>
      <c r="V382" s="308"/>
      <c r="W382" s="308"/>
      <c r="X382" s="308"/>
      <c r="Y382" s="308"/>
      <c r="Z382" s="308"/>
      <c r="AA382" s="308"/>
      <c r="AB382" s="308"/>
      <c r="AC382" s="308"/>
      <c r="AD382" s="308"/>
      <c r="AE382" s="308"/>
      <c r="AF382" s="308"/>
      <c r="AG382" s="308"/>
      <c r="AH382" s="308"/>
    </row>
    <row r="383" customHeight="1" spans="1:34">
      <c r="A383" s="314" t="s">
        <v>21</v>
      </c>
      <c r="B383" s="347" t="s">
        <v>895</v>
      </c>
      <c r="C383" s="347"/>
      <c r="D383" s="347"/>
      <c r="E383" s="147"/>
      <c r="F383" s="326"/>
      <c r="G383" s="329">
        <f>SUM(G384:G384)</f>
        <v>13.4163516952533</v>
      </c>
      <c r="H383" s="354"/>
      <c r="I383" s="354"/>
      <c r="J383" s="354"/>
      <c r="K383" s="354"/>
      <c r="L383" s="354"/>
      <c r="M383" s="354"/>
      <c r="N383" s="354"/>
      <c r="O383" s="354"/>
      <c r="S383" s="308"/>
      <c r="T383" s="308"/>
      <c r="U383" s="308"/>
      <c r="V383" s="308"/>
      <c r="W383" s="308"/>
      <c r="X383" s="308"/>
      <c r="Y383" s="308"/>
      <c r="Z383" s="308"/>
      <c r="AA383" s="308"/>
      <c r="AB383" s="308"/>
      <c r="AC383" s="308"/>
      <c r="AD383" s="308"/>
      <c r="AE383" s="308"/>
      <c r="AF383" s="308"/>
      <c r="AG383" s="308"/>
      <c r="AH383" s="308"/>
    </row>
    <row r="384" customHeight="1" spans="1:34">
      <c r="A384" s="314"/>
      <c r="B384" s="327" t="s">
        <v>1272</v>
      </c>
      <c r="C384" s="328"/>
      <c r="D384" s="317" t="s">
        <v>896</v>
      </c>
      <c r="E384" s="147">
        <v>0.15</v>
      </c>
      <c r="F384" s="326">
        <f>施工机械台时费!$E$13</f>
        <v>89.4423446350219</v>
      </c>
      <c r="G384" s="329">
        <f t="shared" si="26"/>
        <v>13.4163516952533</v>
      </c>
      <c r="H384" s="354"/>
      <c r="I384" s="354"/>
      <c r="J384" s="354"/>
      <c r="K384" s="354"/>
      <c r="L384" s="354"/>
      <c r="M384" s="354"/>
      <c r="N384" s="354"/>
      <c r="O384" s="354"/>
      <c r="S384" s="308"/>
      <c r="T384" s="308"/>
      <c r="U384" s="308"/>
      <c r="V384" s="308"/>
      <c r="W384" s="308"/>
      <c r="X384" s="308"/>
      <c r="Y384" s="308"/>
      <c r="Z384" s="308"/>
      <c r="AA384" s="308"/>
      <c r="AB384" s="308"/>
      <c r="AC384" s="308"/>
      <c r="AD384" s="308"/>
      <c r="AE384" s="308"/>
      <c r="AF384" s="308"/>
      <c r="AG384" s="308"/>
      <c r="AH384" s="308"/>
    </row>
    <row r="385" customHeight="1" spans="1:34">
      <c r="A385" s="314" t="s">
        <v>905</v>
      </c>
      <c r="B385" s="347" t="s">
        <v>514</v>
      </c>
      <c r="C385" s="347"/>
      <c r="D385" s="317"/>
      <c r="E385" s="332">
        <f>G377</f>
        <v>18.328119280016</v>
      </c>
      <c r="F385" s="333">
        <f>费率表!$C$12</f>
        <v>0.064</v>
      </c>
      <c r="G385" s="329">
        <f t="shared" si="26"/>
        <v>1.17299963392102</v>
      </c>
      <c r="H385" s="354"/>
      <c r="I385" s="354"/>
      <c r="J385" s="354"/>
      <c r="K385" s="354"/>
      <c r="L385" s="354"/>
      <c r="M385" s="354"/>
      <c r="N385" s="354"/>
      <c r="O385" s="354"/>
      <c r="S385" s="308"/>
      <c r="T385" s="308"/>
      <c r="U385" s="308"/>
      <c r="V385" s="308"/>
      <c r="W385" s="308"/>
      <c r="X385" s="308"/>
      <c r="Y385" s="308"/>
      <c r="Z385" s="308"/>
      <c r="AA385" s="308"/>
      <c r="AB385" s="308"/>
      <c r="AC385" s="308"/>
      <c r="AD385" s="308"/>
      <c r="AE385" s="308"/>
      <c r="AF385" s="308"/>
      <c r="AG385" s="308"/>
      <c r="AH385" s="308"/>
    </row>
    <row r="386" customHeight="1" spans="1:34">
      <c r="A386" s="314" t="s">
        <v>10</v>
      </c>
      <c r="B386" s="347" t="s">
        <v>770</v>
      </c>
      <c r="C386" s="347"/>
      <c r="D386" s="317"/>
      <c r="E386" s="326">
        <f>G376</f>
        <v>19.501118913937</v>
      </c>
      <c r="F386" s="334">
        <f>费率表!$C$13</f>
        <v>0.05</v>
      </c>
      <c r="G386" s="329">
        <f t="shared" si="26"/>
        <v>0.975055945696849</v>
      </c>
      <c r="H386" s="354"/>
      <c r="I386" s="354"/>
      <c r="J386" s="354"/>
      <c r="K386" s="354"/>
      <c r="L386" s="354"/>
      <c r="M386" s="354"/>
      <c r="N386" s="354"/>
      <c r="O386" s="354"/>
      <c r="S386" s="308"/>
      <c r="T386" s="308"/>
      <c r="U386" s="308"/>
      <c r="V386" s="308"/>
      <c r="W386" s="308"/>
      <c r="X386" s="308"/>
      <c r="Y386" s="308"/>
      <c r="Z386" s="308"/>
      <c r="AA386" s="308"/>
      <c r="AB386" s="308"/>
      <c r="AC386" s="308"/>
      <c r="AD386" s="308"/>
      <c r="AE386" s="308"/>
      <c r="AF386" s="308"/>
      <c r="AG386" s="308"/>
      <c r="AH386" s="308"/>
    </row>
    <row r="387" customHeight="1" spans="1:34">
      <c r="A387" s="314" t="s">
        <v>12</v>
      </c>
      <c r="B387" s="347" t="s">
        <v>771</v>
      </c>
      <c r="C387" s="347"/>
      <c r="D387" s="317"/>
      <c r="E387" s="326">
        <f>G376+G386</f>
        <v>20.4761748596338</v>
      </c>
      <c r="F387" s="334">
        <f>费率表!$C$14</f>
        <v>0.07</v>
      </c>
      <c r="G387" s="329">
        <f t="shared" si="26"/>
        <v>1.43333224017437</v>
      </c>
      <c r="H387" s="354"/>
      <c r="I387" s="354"/>
      <c r="J387" s="354"/>
      <c r="K387" s="354"/>
      <c r="L387" s="354"/>
      <c r="M387" s="354"/>
      <c r="N387" s="354"/>
      <c r="O387" s="354"/>
      <c r="S387" s="308"/>
      <c r="T387" s="308"/>
      <c r="U387" s="308"/>
      <c r="V387" s="308"/>
      <c r="W387" s="308"/>
      <c r="X387" s="308"/>
      <c r="Y387" s="308"/>
      <c r="Z387" s="308"/>
      <c r="AA387" s="308"/>
      <c r="AB387" s="308"/>
      <c r="AC387" s="308"/>
      <c r="AD387" s="308"/>
      <c r="AE387" s="308"/>
      <c r="AF387" s="308"/>
      <c r="AG387" s="308"/>
      <c r="AH387" s="308"/>
    </row>
    <row r="388" customHeight="1" spans="1:34">
      <c r="A388" s="314" t="s">
        <v>15</v>
      </c>
      <c r="B388" s="327" t="s">
        <v>517</v>
      </c>
      <c r="C388" s="328"/>
      <c r="D388" s="317"/>
      <c r="E388" s="326"/>
      <c r="F388" s="349"/>
      <c r="G388" s="329">
        <f>G389</f>
        <v>9.63797683073229</v>
      </c>
      <c r="H388" s="354"/>
      <c r="I388" s="354"/>
      <c r="J388" s="354"/>
      <c r="K388" s="354"/>
      <c r="L388" s="354"/>
      <c r="M388" s="354"/>
      <c r="N388" s="354"/>
      <c r="O388" s="354"/>
      <c r="S388" s="308"/>
      <c r="T388" s="308"/>
      <c r="U388" s="308"/>
      <c r="V388" s="308"/>
      <c r="W388" s="308"/>
      <c r="X388" s="308"/>
      <c r="Y388" s="308"/>
      <c r="Z388" s="308"/>
      <c r="AA388" s="308"/>
      <c r="AB388" s="308"/>
      <c r="AC388" s="308"/>
      <c r="AD388" s="308"/>
      <c r="AE388" s="308"/>
      <c r="AF388" s="308"/>
      <c r="AG388" s="308"/>
      <c r="AH388" s="308"/>
    </row>
    <row r="389" customHeight="1" spans="1:34">
      <c r="A389" s="314" t="s">
        <v>17</v>
      </c>
      <c r="B389" s="327" t="s">
        <v>694</v>
      </c>
      <c r="C389" s="328"/>
      <c r="D389" s="317" t="s">
        <v>695</v>
      </c>
      <c r="E389" s="326">
        <f>E384*10.6</f>
        <v>1.59</v>
      </c>
      <c r="F389" s="326">
        <f>主要材料预算!$N$13</f>
        <v>6.0616206482593</v>
      </c>
      <c r="G389" s="329">
        <f t="shared" ref="G389:G391" si="27">E389*F389</f>
        <v>9.63797683073229</v>
      </c>
      <c r="H389" s="354"/>
      <c r="I389" s="354"/>
      <c r="J389" s="354"/>
      <c r="K389" s="354"/>
      <c r="L389" s="354"/>
      <c r="M389" s="354"/>
      <c r="N389" s="354"/>
      <c r="O389" s="354"/>
      <c r="S389" s="308"/>
      <c r="T389" s="308"/>
      <c r="U389" s="308"/>
      <c r="V389" s="308"/>
      <c r="W389" s="308"/>
      <c r="X389" s="308"/>
      <c r="Y389" s="308"/>
      <c r="Z389" s="308"/>
      <c r="AA389" s="308"/>
      <c r="AB389" s="308"/>
      <c r="AC389" s="308"/>
      <c r="AD389" s="308"/>
      <c r="AE389" s="308"/>
      <c r="AF389" s="308"/>
      <c r="AG389" s="308"/>
      <c r="AH389" s="308"/>
    </row>
    <row r="390" customHeight="1" spans="1:34">
      <c r="A390" s="314" t="s">
        <v>906</v>
      </c>
      <c r="B390" s="347" t="s">
        <v>772</v>
      </c>
      <c r="C390" s="347"/>
      <c r="D390" s="317"/>
      <c r="E390" s="326">
        <f>G376+G386+G387+G388</f>
        <v>31.5474839305405</v>
      </c>
      <c r="F390" s="334">
        <f>费率表!$C$15</f>
        <v>0.09</v>
      </c>
      <c r="G390" s="329">
        <f t="shared" si="27"/>
        <v>2.83927355374865</v>
      </c>
      <c r="H390" s="354"/>
      <c r="I390" s="354"/>
      <c r="J390" s="354"/>
      <c r="K390" s="354"/>
      <c r="L390" s="354"/>
      <c r="M390" s="354"/>
      <c r="N390" s="354"/>
      <c r="O390" s="354"/>
      <c r="S390" s="308"/>
      <c r="T390" s="308"/>
      <c r="U390" s="308"/>
      <c r="V390" s="308"/>
      <c r="W390" s="308"/>
      <c r="X390" s="308"/>
      <c r="Y390" s="308"/>
      <c r="Z390" s="308"/>
      <c r="AA390" s="308"/>
      <c r="AB390" s="308"/>
      <c r="AC390" s="308"/>
      <c r="AD390" s="308"/>
      <c r="AE390" s="308"/>
      <c r="AF390" s="308"/>
      <c r="AG390" s="308"/>
      <c r="AH390" s="308"/>
    </row>
    <row r="391" customHeight="1" spans="1:34">
      <c r="A391" s="314"/>
      <c r="B391" s="347" t="s">
        <v>907</v>
      </c>
      <c r="C391" s="347"/>
      <c r="D391" s="317"/>
      <c r="E391" s="326">
        <f>G376+G386+G387+G388+G390</f>
        <v>34.3867574842891</v>
      </c>
      <c r="F391" s="334">
        <f>费率表!$I$19</f>
        <v>0.03</v>
      </c>
      <c r="G391" s="329">
        <f t="shared" si="27"/>
        <v>1.03160272452867</v>
      </c>
      <c r="H391" s="354"/>
      <c r="I391" s="354"/>
      <c r="J391" s="354"/>
      <c r="K391" s="354"/>
      <c r="L391" s="354"/>
      <c r="M391" s="354"/>
      <c r="N391" s="354"/>
      <c r="O391" s="354"/>
      <c r="S391" s="308"/>
      <c r="T391" s="308"/>
      <c r="U391" s="308"/>
      <c r="V391" s="308"/>
      <c r="W391" s="308"/>
      <c r="X391" s="308"/>
      <c r="Y391" s="308"/>
      <c r="Z391" s="308"/>
      <c r="AA391" s="308"/>
      <c r="AB391" s="308"/>
      <c r="AC391" s="308"/>
      <c r="AD391" s="308"/>
      <c r="AE391" s="308"/>
      <c r="AF391" s="308"/>
      <c r="AG391" s="308"/>
      <c r="AH391" s="308"/>
    </row>
    <row r="392" customHeight="1" spans="1:34">
      <c r="A392" s="335"/>
      <c r="B392" s="338" t="s">
        <v>39</v>
      </c>
      <c r="C392" s="338"/>
      <c r="D392" s="338"/>
      <c r="E392" s="339"/>
      <c r="F392" s="338"/>
      <c r="G392" s="340">
        <f>G376+G386+G387+G388+G390+G391</f>
        <v>35.4183602088178</v>
      </c>
      <c r="H392" s="354"/>
      <c r="I392" s="354"/>
      <c r="J392" s="354"/>
      <c r="K392" s="354"/>
      <c r="L392" s="354"/>
      <c r="M392" s="354"/>
      <c r="N392" s="354"/>
      <c r="O392" s="354"/>
      <c r="S392" s="308"/>
      <c r="T392" s="308"/>
      <c r="U392" s="308"/>
      <c r="V392" s="308"/>
      <c r="W392" s="308"/>
      <c r="X392" s="308"/>
      <c r="Y392" s="308"/>
      <c r="Z392" s="308"/>
      <c r="AA392" s="308"/>
      <c r="AB392" s="308"/>
      <c r="AC392" s="308"/>
      <c r="AD392" s="308"/>
      <c r="AE392" s="308"/>
      <c r="AF392" s="308"/>
      <c r="AG392" s="308"/>
      <c r="AH392" s="308"/>
    </row>
    <row r="393" customHeight="1" spans="1:34">
      <c r="A393" s="227"/>
      <c r="B393" s="227"/>
      <c r="C393" s="227"/>
      <c r="D393" s="227"/>
      <c r="E393" s="228"/>
      <c r="F393" s="227"/>
      <c r="G393" s="228"/>
      <c r="H393" s="354"/>
      <c r="I393" s="354"/>
      <c r="J393" s="354"/>
      <c r="K393" s="354"/>
      <c r="L393" s="354"/>
      <c r="M393" s="354"/>
      <c r="N393" s="354"/>
      <c r="O393" s="354"/>
      <c r="S393" s="308"/>
      <c r="T393" s="308"/>
      <c r="U393" s="308"/>
      <c r="V393" s="308"/>
      <c r="W393" s="308"/>
      <c r="X393" s="308"/>
      <c r="Y393" s="308"/>
      <c r="Z393" s="308"/>
      <c r="AA393" s="308"/>
      <c r="AB393" s="308"/>
      <c r="AC393" s="308"/>
      <c r="AD393" s="308"/>
      <c r="AE393" s="308"/>
      <c r="AF393" s="308"/>
      <c r="AG393" s="308"/>
      <c r="AH393" s="308"/>
    </row>
    <row r="394" customHeight="1" spans="1:34">
      <c r="A394" s="353" t="s">
        <v>868</v>
      </c>
      <c r="B394" s="353"/>
      <c r="C394" s="353"/>
      <c r="D394" s="353"/>
      <c r="E394" s="353"/>
      <c r="F394" s="353"/>
      <c r="G394" s="353"/>
      <c r="H394" s="354"/>
      <c r="I394" s="354"/>
      <c r="J394" s="354"/>
      <c r="K394" s="354"/>
      <c r="L394" s="354"/>
      <c r="M394" s="354"/>
      <c r="N394" s="354"/>
      <c r="O394" s="354"/>
      <c r="S394" s="308"/>
      <c r="T394" s="308"/>
      <c r="U394" s="308"/>
      <c r="V394" s="308"/>
      <c r="W394" s="308"/>
      <c r="X394" s="308"/>
      <c r="Y394" s="308"/>
      <c r="Z394" s="308"/>
      <c r="AA394" s="308"/>
      <c r="AB394" s="308"/>
      <c r="AC394" s="308"/>
      <c r="AD394" s="308"/>
      <c r="AE394" s="308"/>
      <c r="AF394" s="308"/>
      <c r="AG394" s="308"/>
      <c r="AH394" s="308"/>
    </row>
    <row r="395" customHeight="1" spans="1:34">
      <c r="A395" s="309" t="s">
        <v>869</v>
      </c>
      <c r="B395" s="310"/>
      <c r="C395" s="310" t="s">
        <v>172</v>
      </c>
      <c r="D395" s="310" t="s">
        <v>870</v>
      </c>
      <c r="E395" s="343" t="s">
        <v>1273</v>
      </c>
      <c r="F395" s="343"/>
      <c r="G395" s="344"/>
      <c r="H395" s="354"/>
      <c r="I395" s="354"/>
      <c r="J395" s="354"/>
      <c r="K395" s="354"/>
      <c r="L395" s="354"/>
      <c r="M395" s="354"/>
      <c r="N395" s="354"/>
      <c r="O395" s="354"/>
      <c r="S395" s="308"/>
      <c r="T395" s="308"/>
      <c r="U395" s="308"/>
      <c r="V395" s="308"/>
      <c r="W395" s="308"/>
      <c r="X395" s="308"/>
      <c r="Y395" s="308"/>
      <c r="Z395" s="308"/>
      <c r="AA395" s="308"/>
      <c r="AB395" s="308"/>
      <c r="AC395" s="308"/>
      <c r="AD395" s="308"/>
      <c r="AE395" s="308"/>
      <c r="AF395" s="308"/>
      <c r="AG395" s="308"/>
      <c r="AH395" s="308"/>
    </row>
    <row r="396" customHeight="1" spans="1:34">
      <c r="A396" s="314" t="s">
        <v>507</v>
      </c>
      <c r="B396" s="315"/>
      <c r="C396" s="316" t="s">
        <v>1274</v>
      </c>
      <c r="D396" s="316"/>
      <c r="E396" s="316"/>
      <c r="F396" s="317" t="s">
        <v>873</v>
      </c>
      <c r="G396" s="318" t="s">
        <v>1043</v>
      </c>
      <c r="H396" s="354"/>
      <c r="I396" s="354"/>
      <c r="J396" s="354"/>
      <c r="K396" s="354"/>
      <c r="L396" s="354"/>
      <c r="M396" s="354"/>
      <c r="N396" s="354"/>
      <c r="O396" s="354"/>
      <c r="S396" s="308"/>
      <c r="T396" s="308"/>
      <c r="U396" s="308"/>
      <c r="V396" s="308"/>
      <c r="W396" s="308"/>
      <c r="X396" s="308"/>
      <c r="Y396" s="308"/>
      <c r="Z396" s="308"/>
      <c r="AA396" s="308"/>
      <c r="AB396" s="308"/>
      <c r="AC396" s="308"/>
      <c r="AD396" s="308"/>
      <c r="AE396" s="308"/>
      <c r="AF396" s="308"/>
      <c r="AG396" s="308"/>
      <c r="AH396" s="308"/>
    </row>
    <row r="397" customHeight="1" spans="1:34">
      <c r="A397" s="345" t="s">
        <v>875</v>
      </c>
      <c r="B397" s="316"/>
      <c r="C397" s="316"/>
      <c r="D397" s="316"/>
      <c r="E397" s="316"/>
      <c r="F397" s="316"/>
      <c r="G397" s="346"/>
      <c r="H397" s="354"/>
      <c r="I397" s="354"/>
      <c r="J397" s="354"/>
      <c r="K397" s="354"/>
      <c r="L397" s="354"/>
      <c r="M397" s="354"/>
      <c r="N397" s="354"/>
      <c r="O397" s="354"/>
      <c r="S397" s="308"/>
      <c r="T397" s="308"/>
      <c r="U397" s="308"/>
      <c r="V397" s="308"/>
      <c r="W397" s="308"/>
      <c r="X397" s="308"/>
      <c r="Y397" s="308"/>
      <c r="Z397" s="308"/>
      <c r="AA397" s="308"/>
      <c r="AB397" s="308"/>
      <c r="AC397" s="308"/>
      <c r="AD397" s="308"/>
      <c r="AE397" s="308"/>
      <c r="AF397" s="308"/>
      <c r="AG397" s="308"/>
      <c r="AH397" s="308"/>
    </row>
    <row r="398" customHeight="1" spans="1:34">
      <c r="A398" s="322" t="s">
        <v>912</v>
      </c>
      <c r="B398" s="323"/>
      <c r="C398" s="324"/>
      <c r="D398" s="324"/>
      <c r="E398" s="324"/>
      <c r="F398" s="324"/>
      <c r="G398" s="325"/>
      <c r="H398" s="354"/>
      <c r="I398" s="354"/>
      <c r="J398" s="354"/>
      <c r="K398" s="354"/>
      <c r="L398" s="354"/>
      <c r="M398" s="354"/>
      <c r="N398" s="354"/>
      <c r="O398" s="354"/>
      <c r="S398" s="308"/>
      <c r="T398" s="308"/>
      <c r="U398" s="308"/>
      <c r="V398" s="308"/>
      <c r="W398" s="308"/>
      <c r="X398" s="308"/>
      <c r="Y398" s="308"/>
      <c r="Z398" s="308"/>
      <c r="AA398" s="308"/>
      <c r="AB398" s="308"/>
      <c r="AC398" s="308"/>
      <c r="AD398" s="308"/>
      <c r="AE398" s="308"/>
      <c r="AF398" s="308"/>
      <c r="AG398" s="308"/>
      <c r="AH398" s="308"/>
    </row>
    <row r="399" customHeight="1" spans="1:34">
      <c r="A399" s="314" t="s">
        <v>34</v>
      </c>
      <c r="B399" s="317" t="s">
        <v>761</v>
      </c>
      <c r="C399" s="317"/>
      <c r="D399" s="317" t="s">
        <v>60</v>
      </c>
      <c r="E399" s="326" t="s">
        <v>877</v>
      </c>
      <c r="F399" s="317" t="s">
        <v>878</v>
      </c>
      <c r="G399" s="318" t="s">
        <v>879</v>
      </c>
      <c r="H399" s="354"/>
      <c r="I399" s="354"/>
      <c r="J399" s="354"/>
      <c r="K399" s="354"/>
      <c r="L399" s="354"/>
      <c r="M399" s="354"/>
      <c r="N399" s="354"/>
      <c r="O399" s="354"/>
      <c r="S399" s="308"/>
      <c r="T399" s="308"/>
      <c r="U399" s="308"/>
      <c r="V399" s="308"/>
      <c r="W399" s="308"/>
      <c r="X399" s="308"/>
      <c r="Y399" s="308"/>
      <c r="Z399" s="308"/>
      <c r="AA399" s="308"/>
      <c r="AB399" s="308"/>
      <c r="AC399" s="308"/>
      <c r="AD399" s="308"/>
      <c r="AE399" s="308"/>
      <c r="AF399" s="308"/>
      <c r="AG399" s="308"/>
      <c r="AH399" s="308"/>
    </row>
    <row r="400" customHeight="1" spans="1:34">
      <c r="A400" s="314" t="s">
        <v>8</v>
      </c>
      <c r="B400" s="347" t="s">
        <v>880</v>
      </c>
      <c r="C400" s="347"/>
      <c r="D400" s="317"/>
      <c r="E400" s="326"/>
      <c r="F400" s="326"/>
      <c r="G400" s="329">
        <f>G401+G409</f>
        <v>145.437096</v>
      </c>
      <c r="H400" s="354"/>
      <c r="I400" s="354"/>
      <c r="J400" s="354"/>
      <c r="K400" s="354"/>
      <c r="L400" s="354"/>
      <c r="M400" s="354"/>
      <c r="N400" s="354"/>
      <c r="O400" s="354"/>
      <c r="S400" s="308"/>
      <c r="T400" s="308"/>
      <c r="U400" s="308"/>
      <c r="V400" s="308"/>
      <c r="W400" s="308"/>
      <c r="X400" s="308"/>
      <c r="Y400" s="308"/>
      <c r="Z400" s="308"/>
      <c r="AA400" s="308"/>
      <c r="AB400" s="308"/>
      <c r="AC400" s="308"/>
      <c r="AD400" s="308"/>
      <c r="AE400" s="308"/>
      <c r="AF400" s="308"/>
      <c r="AG400" s="308"/>
      <c r="AH400" s="308"/>
    </row>
    <row r="401" customHeight="1" spans="1:34">
      <c r="A401" s="314" t="s">
        <v>881</v>
      </c>
      <c r="B401" s="347" t="s">
        <v>882</v>
      </c>
      <c r="C401" s="347"/>
      <c r="D401" s="317"/>
      <c r="E401" s="326"/>
      <c r="F401" s="326"/>
      <c r="G401" s="329">
        <f>G402+G405+G407</f>
        <v>136.689</v>
      </c>
      <c r="H401" s="354"/>
      <c r="I401" s="354"/>
      <c r="J401" s="354"/>
      <c r="K401" s="354"/>
      <c r="L401" s="354"/>
      <c r="M401" s="354"/>
      <c r="N401" s="354"/>
      <c r="O401" s="354"/>
      <c r="S401" s="308"/>
      <c r="T401" s="308"/>
      <c r="U401" s="308"/>
      <c r="V401" s="308"/>
      <c r="W401" s="308"/>
      <c r="X401" s="308"/>
      <c r="Y401" s="308"/>
      <c r="Z401" s="308"/>
      <c r="AA401" s="308"/>
      <c r="AB401" s="308"/>
      <c r="AC401" s="308"/>
      <c r="AD401" s="308"/>
      <c r="AE401" s="308"/>
      <c r="AF401" s="308"/>
      <c r="AG401" s="308"/>
      <c r="AH401" s="308"/>
    </row>
    <row r="402" customHeight="1" spans="1:34">
      <c r="A402" s="314" t="s">
        <v>17</v>
      </c>
      <c r="B402" s="347" t="s">
        <v>510</v>
      </c>
      <c r="C402" s="347"/>
      <c r="D402" s="317"/>
      <c r="E402" s="326"/>
      <c r="F402" s="326"/>
      <c r="G402" s="329">
        <f>SUM(G403:G404)</f>
        <v>130.18</v>
      </c>
      <c r="H402" s="354"/>
      <c r="I402" s="354"/>
      <c r="J402" s="354"/>
      <c r="K402" s="354"/>
      <c r="L402" s="354"/>
      <c r="M402" s="354"/>
      <c r="N402" s="354"/>
      <c r="O402" s="354"/>
      <c r="S402" s="308"/>
      <c r="T402" s="308"/>
      <c r="U402" s="308"/>
      <c r="V402" s="308"/>
      <c r="W402" s="308"/>
      <c r="X402" s="308"/>
      <c r="Y402" s="308"/>
      <c r="Z402" s="308"/>
      <c r="AA402" s="308"/>
      <c r="AB402" s="308"/>
      <c r="AC402" s="308"/>
      <c r="AD402" s="308"/>
      <c r="AE402" s="308"/>
      <c r="AF402" s="308"/>
      <c r="AG402" s="308"/>
      <c r="AH402" s="308"/>
    </row>
    <row r="403" customHeight="1" spans="1:34">
      <c r="A403" s="314"/>
      <c r="B403" s="347" t="s">
        <v>704</v>
      </c>
      <c r="C403" s="347"/>
      <c r="D403" s="317" t="s">
        <v>705</v>
      </c>
      <c r="E403" s="326">
        <v>0.4</v>
      </c>
      <c r="F403" s="326">
        <f>主要材料预算!$D$19</f>
        <v>8.1</v>
      </c>
      <c r="G403" s="329">
        <f t="shared" ref="G403:G411" si="28">E403*F403</f>
        <v>3.24</v>
      </c>
      <c r="H403" s="193"/>
      <c r="I403" s="193"/>
      <c r="J403" s="193"/>
      <c r="K403" s="193"/>
      <c r="L403" s="193"/>
      <c r="M403" s="193"/>
      <c r="N403" s="193"/>
      <c r="O403" s="193"/>
      <c r="S403" s="194"/>
      <c r="T403" s="194"/>
      <c r="U403" s="194"/>
      <c r="V403" s="194"/>
      <c r="W403" s="194"/>
      <c r="X403" s="194"/>
      <c r="Y403" s="194"/>
      <c r="Z403" s="194"/>
      <c r="AA403" s="194"/>
      <c r="AB403" s="194"/>
      <c r="AC403" s="194"/>
      <c r="AD403" s="194"/>
      <c r="AE403" s="195"/>
      <c r="AF403" s="195"/>
      <c r="AG403" s="195"/>
      <c r="AH403" s="195"/>
    </row>
    <row r="404" customHeight="1" spans="1:34">
      <c r="A404" s="314"/>
      <c r="B404" s="347" t="s">
        <v>706</v>
      </c>
      <c r="C404" s="347"/>
      <c r="D404" s="317" t="s">
        <v>705</v>
      </c>
      <c r="E404" s="330">
        <v>22</v>
      </c>
      <c r="F404" s="326">
        <f>主要材料预算!$D$20</f>
        <v>5.77</v>
      </c>
      <c r="G404" s="329">
        <f t="shared" si="28"/>
        <v>126.94</v>
      </c>
      <c r="H404" s="193"/>
      <c r="I404" s="193"/>
      <c r="J404" s="193"/>
      <c r="K404" s="193"/>
      <c r="L404" s="193"/>
      <c r="M404" s="193"/>
      <c r="N404" s="193"/>
      <c r="O404" s="193"/>
      <c r="S404" s="194"/>
      <c r="T404" s="194"/>
      <c r="U404" s="194"/>
      <c r="V404" s="194"/>
      <c r="W404" s="194"/>
      <c r="X404" s="194"/>
      <c r="Y404" s="194"/>
      <c r="Z404" s="194"/>
      <c r="AA404" s="194"/>
      <c r="AB404" s="194"/>
      <c r="AC404" s="194"/>
      <c r="AD404" s="194"/>
      <c r="AE404" s="195"/>
      <c r="AF404" s="195"/>
      <c r="AG404" s="195"/>
      <c r="AH404" s="195"/>
    </row>
    <row r="405" customHeight="1" spans="1:34">
      <c r="A405" s="314" t="s">
        <v>19</v>
      </c>
      <c r="B405" s="327" t="s">
        <v>511</v>
      </c>
      <c r="C405" s="328"/>
      <c r="D405" s="317"/>
      <c r="E405" s="326"/>
      <c r="F405" s="326"/>
      <c r="G405" s="329">
        <f>G406</f>
        <v>6.509</v>
      </c>
      <c r="H405" s="193"/>
      <c r="I405" s="193"/>
      <c r="J405" s="193"/>
      <c r="K405" s="193"/>
      <c r="L405" s="193"/>
      <c r="M405" s="193"/>
      <c r="N405" s="193"/>
      <c r="O405" s="193"/>
      <c r="S405" s="194"/>
      <c r="T405" s="194"/>
      <c r="U405" s="194"/>
      <c r="V405" s="194"/>
      <c r="W405" s="194"/>
      <c r="X405" s="194"/>
      <c r="Y405" s="194"/>
      <c r="Z405" s="194"/>
      <c r="AA405" s="194"/>
      <c r="AB405" s="194"/>
      <c r="AC405" s="194"/>
      <c r="AD405" s="194"/>
      <c r="AE405" s="195"/>
      <c r="AF405" s="195"/>
      <c r="AG405" s="195"/>
      <c r="AH405" s="195"/>
    </row>
    <row r="406" customHeight="1" spans="1:34">
      <c r="A406" s="314"/>
      <c r="B406" s="347" t="s">
        <v>1008</v>
      </c>
      <c r="C406" s="347"/>
      <c r="D406" s="317" t="s">
        <v>894</v>
      </c>
      <c r="E406" s="147">
        <f>G402+G407</f>
        <v>130.18</v>
      </c>
      <c r="F406" s="331">
        <v>5</v>
      </c>
      <c r="G406" s="329">
        <f>E406*F406/100</f>
        <v>6.509</v>
      </c>
      <c r="H406" s="193"/>
      <c r="I406" s="193"/>
      <c r="J406" s="193"/>
      <c r="K406" s="193"/>
      <c r="L406" s="193"/>
      <c r="M406" s="193"/>
      <c r="N406" s="193"/>
      <c r="O406" s="193"/>
      <c r="S406" s="194"/>
      <c r="T406" s="194"/>
      <c r="U406" s="194"/>
      <c r="V406" s="194"/>
      <c r="W406" s="194"/>
      <c r="X406" s="194"/>
      <c r="Y406" s="194"/>
      <c r="Z406" s="194"/>
      <c r="AA406" s="194"/>
      <c r="AB406" s="194"/>
      <c r="AC406" s="194"/>
      <c r="AD406" s="194"/>
      <c r="AE406" s="195"/>
      <c r="AF406" s="195"/>
      <c r="AG406" s="195"/>
      <c r="AH406" s="195"/>
    </row>
    <row r="407" customHeight="1" spans="1:34">
      <c r="A407" s="314" t="s">
        <v>21</v>
      </c>
      <c r="B407" s="347" t="s">
        <v>895</v>
      </c>
      <c r="C407" s="347"/>
      <c r="D407" s="347"/>
      <c r="E407" s="147"/>
      <c r="F407" s="326"/>
      <c r="G407" s="329">
        <f>SUM(G408:G408)</f>
        <v>0</v>
      </c>
      <c r="H407" s="193"/>
      <c r="I407" s="193"/>
      <c r="J407" s="193"/>
      <c r="K407" s="193"/>
      <c r="L407" s="193"/>
      <c r="M407" s="193"/>
      <c r="N407" s="193"/>
      <c r="O407" s="193"/>
      <c r="S407" s="194"/>
      <c r="T407" s="194"/>
      <c r="U407" s="194"/>
      <c r="V407" s="194"/>
      <c r="W407" s="194"/>
      <c r="X407" s="194"/>
      <c r="Y407" s="194"/>
      <c r="Z407" s="194"/>
      <c r="AA407" s="194"/>
      <c r="AB407" s="194"/>
      <c r="AC407" s="194"/>
      <c r="AD407" s="194"/>
      <c r="AE407" s="195"/>
      <c r="AF407" s="195"/>
      <c r="AG407" s="195"/>
      <c r="AH407" s="195"/>
    </row>
    <row r="408" customHeight="1" spans="1:34">
      <c r="A408" s="314"/>
      <c r="B408" s="327" t="s">
        <v>1272</v>
      </c>
      <c r="C408" s="328"/>
      <c r="D408" s="317" t="s">
        <v>896</v>
      </c>
      <c r="E408" s="147">
        <v>0</v>
      </c>
      <c r="F408" s="326">
        <f>施工机械台时费!$E$13</f>
        <v>89.4423446350219</v>
      </c>
      <c r="G408" s="329">
        <f t="shared" si="28"/>
        <v>0</v>
      </c>
      <c r="H408" s="193"/>
      <c r="I408" s="193"/>
      <c r="J408" s="193"/>
      <c r="K408" s="193"/>
      <c r="L408" s="193"/>
      <c r="M408" s="193"/>
      <c r="N408" s="193"/>
      <c r="O408" s="193"/>
      <c r="S408" s="194"/>
      <c r="T408" s="194"/>
      <c r="U408" s="194"/>
      <c r="V408" s="194"/>
      <c r="W408" s="194"/>
      <c r="X408" s="194"/>
      <c r="Y408" s="194"/>
      <c r="Z408" s="194"/>
      <c r="AA408" s="194"/>
      <c r="AB408" s="194"/>
      <c r="AC408" s="194"/>
      <c r="AD408" s="194"/>
      <c r="AE408" s="195"/>
      <c r="AF408" s="195"/>
      <c r="AG408" s="195"/>
      <c r="AH408" s="195"/>
    </row>
    <row r="409" customHeight="1" spans="1:34">
      <c r="A409" s="314" t="s">
        <v>905</v>
      </c>
      <c r="B409" s="347" t="s">
        <v>514</v>
      </c>
      <c r="C409" s="347"/>
      <c r="D409" s="317"/>
      <c r="E409" s="332">
        <f>G401</f>
        <v>136.689</v>
      </c>
      <c r="F409" s="333">
        <f>费率表!$C$12</f>
        <v>0.064</v>
      </c>
      <c r="G409" s="329">
        <f t="shared" si="28"/>
        <v>8.748096</v>
      </c>
      <c r="H409" s="193"/>
      <c r="I409" s="193"/>
      <c r="J409" s="193"/>
      <c r="K409" s="193"/>
      <c r="L409" s="193"/>
      <c r="M409" s="193"/>
      <c r="N409" s="193"/>
      <c r="O409" s="193"/>
      <c r="S409" s="194"/>
      <c r="T409" s="194"/>
      <c r="U409" s="194"/>
      <c r="V409" s="194"/>
      <c r="W409" s="194"/>
      <c r="X409" s="194"/>
      <c r="Y409" s="194"/>
      <c r="Z409" s="194"/>
      <c r="AA409" s="194"/>
      <c r="AB409" s="194"/>
      <c r="AC409" s="194"/>
      <c r="AD409" s="194"/>
      <c r="AE409" s="195"/>
      <c r="AF409" s="195"/>
      <c r="AG409" s="195"/>
      <c r="AH409" s="195"/>
    </row>
    <row r="410" customHeight="1" spans="1:34">
      <c r="A410" s="314" t="s">
        <v>10</v>
      </c>
      <c r="B410" s="347" t="s">
        <v>770</v>
      </c>
      <c r="C410" s="347"/>
      <c r="D410" s="317"/>
      <c r="E410" s="326">
        <f>G400</f>
        <v>145.437096</v>
      </c>
      <c r="F410" s="334">
        <f>费率表!$C$13</f>
        <v>0.05</v>
      </c>
      <c r="G410" s="329">
        <f t="shared" si="28"/>
        <v>7.2718548</v>
      </c>
      <c r="H410" s="193"/>
      <c r="I410" s="193"/>
      <c r="J410" s="193"/>
      <c r="K410" s="193"/>
      <c r="L410" s="193"/>
      <c r="M410" s="193"/>
      <c r="N410" s="193"/>
      <c r="O410" s="193"/>
      <c r="S410" s="194"/>
      <c r="T410" s="194"/>
      <c r="U410" s="194"/>
      <c r="V410" s="194"/>
      <c r="W410" s="194"/>
      <c r="X410" s="194"/>
      <c r="Y410" s="194"/>
      <c r="Z410" s="194"/>
      <c r="AA410" s="194"/>
      <c r="AB410" s="194"/>
      <c r="AC410" s="194"/>
      <c r="AD410" s="194"/>
      <c r="AE410" s="195"/>
      <c r="AF410" s="195"/>
      <c r="AG410" s="195"/>
      <c r="AH410" s="195"/>
    </row>
    <row r="411" customHeight="1" spans="1:34">
      <c r="A411" s="314" t="s">
        <v>12</v>
      </c>
      <c r="B411" s="347" t="s">
        <v>771</v>
      </c>
      <c r="C411" s="347"/>
      <c r="D411" s="317"/>
      <c r="E411" s="326">
        <f>G400+G410</f>
        <v>152.7089508</v>
      </c>
      <c r="F411" s="334">
        <f>费率表!$C$14</f>
        <v>0.07</v>
      </c>
      <c r="G411" s="329">
        <f t="shared" si="28"/>
        <v>10.689626556</v>
      </c>
      <c r="H411" s="193"/>
      <c r="I411" s="193"/>
      <c r="J411" s="193"/>
      <c r="K411" s="193"/>
      <c r="L411" s="193"/>
      <c r="M411" s="193"/>
      <c r="N411" s="193"/>
      <c r="O411" s="193"/>
      <c r="S411" s="194"/>
      <c r="T411" s="194"/>
      <c r="U411" s="194"/>
      <c r="V411" s="194"/>
      <c r="W411" s="194"/>
      <c r="X411" s="194"/>
      <c r="Y411" s="194"/>
      <c r="Z411" s="194"/>
      <c r="AA411" s="194"/>
      <c r="AB411" s="194"/>
      <c r="AC411" s="194"/>
      <c r="AD411" s="194"/>
      <c r="AE411" s="195"/>
      <c r="AF411" s="195"/>
      <c r="AG411" s="195"/>
      <c r="AH411" s="195"/>
    </row>
    <row r="412" customHeight="1" spans="1:34">
      <c r="A412" s="314" t="s">
        <v>15</v>
      </c>
      <c r="B412" s="327" t="s">
        <v>517</v>
      </c>
      <c r="C412" s="328"/>
      <c r="D412" s="317"/>
      <c r="E412" s="326"/>
      <c r="F412" s="349"/>
      <c r="G412" s="329">
        <f>G413</f>
        <v>0</v>
      </c>
      <c r="H412" s="193"/>
      <c r="I412" s="193"/>
      <c r="J412" s="193"/>
      <c r="K412" s="193"/>
      <c r="L412" s="193"/>
      <c r="M412" s="193"/>
      <c r="N412" s="193"/>
      <c r="O412" s="193"/>
      <c r="S412" s="194"/>
      <c r="T412" s="194"/>
      <c r="U412" s="194"/>
      <c r="V412" s="194"/>
      <c r="W412" s="194"/>
      <c r="X412" s="194"/>
      <c r="Y412" s="194"/>
      <c r="Z412" s="194"/>
      <c r="AA412" s="194"/>
      <c r="AB412" s="194"/>
      <c r="AC412" s="194"/>
      <c r="AD412" s="194"/>
      <c r="AE412" s="195"/>
      <c r="AF412" s="195"/>
      <c r="AG412" s="195"/>
      <c r="AH412" s="195"/>
    </row>
    <row r="413" customHeight="1" spans="1:34">
      <c r="A413" s="314" t="s">
        <v>17</v>
      </c>
      <c r="B413" s="327" t="s">
        <v>694</v>
      </c>
      <c r="C413" s="328"/>
      <c r="D413" s="317" t="s">
        <v>695</v>
      </c>
      <c r="E413" s="326">
        <f>E408*10.6</f>
        <v>0</v>
      </c>
      <c r="F413" s="326">
        <f>主要材料预算!$N$13</f>
        <v>6.0616206482593</v>
      </c>
      <c r="G413" s="329">
        <f t="shared" ref="G413:G415" si="29">E413*F413</f>
        <v>0</v>
      </c>
      <c r="H413" s="193"/>
      <c r="I413" s="193"/>
      <c r="J413" s="193"/>
      <c r="K413" s="193"/>
      <c r="L413" s="193"/>
      <c r="M413" s="193"/>
      <c r="N413" s="193"/>
      <c r="O413" s="193"/>
      <c r="S413" s="194"/>
      <c r="T413" s="194"/>
      <c r="U413" s="194"/>
      <c r="V413" s="194"/>
      <c r="W413" s="194"/>
      <c r="X413" s="194"/>
      <c r="Y413" s="194"/>
      <c r="Z413" s="194"/>
      <c r="AA413" s="194"/>
      <c r="AB413" s="194"/>
      <c r="AC413" s="194"/>
      <c r="AD413" s="194"/>
      <c r="AE413" s="195"/>
      <c r="AF413" s="195"/>
      <c r="AG413" s="195"/>
      <c r="AH413" s="195"/>
    </row>
    <row r="414" customHeight="1" spans="1:34">
      <c r="A414" s="314" t="s">
        <v>906</v>
      </c>
      <c r="B414" s="347" t="s">
        <v>772</v>
      </c>
      <c r="C414" s="347"/>
      <c r="D414" s="317"/>
      <c r="E414" s="326">
        <f>G400+G410+G411+G412</f>
        <v>163.398577356</v>
      </c>
      <c r="F414" s="334">
        <f>费率表!$C$15</f>
        <v>0.09</v>
      </c>
      <c r="G414" s="329">
        <f t="shared" si="29"/>
        <v>14.70587196204</v>
      </c>
      <c r="H414" s="193"/>
      <c r="I414" s="193"/>
      <c r="J414" s="193"/>
      <c r="K414" s="193"/>
      <c r="L414" s="193"/>
      <c r="M414" s="193"/>
      <c r="N414" s="193"/>
      <c r="O414" s="193"/>
      <c r="S414" s="194"/>
      <c r="T414" s="194"/>
      <c r="U414" s="194"/>
      <c r="V414" s="194"/>
      <c r="W414" s="194"/>
      <c r="X414" s="194"/>
      <c r="Y414" s="194"/>
      <c r="Z414" s="194"/>
      <c r="AA414" s="194"/>
      <c r="AB414" s="194"/>
      <c r="AC414" s="194"/>
      <c r="AD414" s="194"/>
      <c r="AE414" s="195"/>
      <c r="AF414" s="195"/>
      <c r="AG414" s="195"/>
      <c r="AH414" s="195"/>
    </row>
    <row r="415" customHeight="1" spans="1:34">
      <c r="A415" s="314"/>
      <c r="B415" s="347" t="s">
        <v>907</v>
      </c>
      <c r="C415" s="347"/>
      <c r="D415" s="317"/>
      <c r="E415" s="326">
        <f>G400+G410+G411+G412+G414</f>
        <v>178.10444931804</v>
      </c>
      <c r="F415" s="334">
        <f>费率表!$I$19</f>
        <v>0.03</v>
      </c>
      <c r="G415" s="329">
        <f t="shared" si="29"/>
        <v>5.3431334795412</v>
      </c>
      <c r="H415" s="193"/>
      <c r="I415" s="193"/>
      <c r="J415" s="193"/>
      <c r="K415" s="193"/>
      <c r="L415" s="193"/>
      <c r="M415" s="193"/>
      <c r="N415" s="193"/>
      <c r="O415" s="193"/>
      <c r="S415" s="194"/>
      <c r="T415" s="194"/>
      <c r="U415" s="194"/>
      <c r="V415" s="194"/>
      <c r="W415" s="194"/>
      <c r="X415" s="194"/>
      <c r="Y415" s="194"/>
      <c r="Z415" s="194"/>
      <c r="AA415" s="194"/>
      <c r="AB415" s="194"/>
      <c r="AC415" s="194"/>
      <c r="AD415" s="194"/>
      <c r="AE415" s="195"/>
      <c r="AF415" s="195"/>
      <c r="AG415" s="195"/>
      <c r="AH415" s="195"/>
    </row>
    <row r="416" customHeight="1" spans="1:34">
      <c r="A416" s="335"/>
      <c r="B416" s="338" t="s">
        <v>39</v>
      </c>
      <c r="C416" s="338"/>
      <c r="D416" s="338"/>
      <c r="E416" s="339"/>
      <c r="F416" s="338"/>
      <c r="G416" s="340">
        <f>G400+G410+G411+G412+G414+G415</f>
        <v>183.447582797581</v>
      </c>
      <c r="H416" s="193"/>
      <c r="I416" s="193"/>
      <c r="J416" s="193"/>
      <c r="K416" s="193"/>
      <c r="L416" s="193"/>
      <c r="M416" s="193"/>
      <c r="N416" s="193"/>
      <c r="O416" s="193"/>
      <c r="S416" s="194"/>
      <c r="T416" s="194"/>
      <c r="U416" s="194"/>
      <c r="V416" s="194"/>
      <c r="W416" s="194"/>
      <c r="X416" s="194"/>
      <c r="Y416" s="194"/>
      <c r="Z416" s="194"/>
      <c r="AA416" s="194"/>
      <c r="AB416" s="194"/>
      <c r="AC416" s="194"/>
      <c r="AD416" s="194"/>
      <c r="AE416" s="195"/>
      <c r="AF416" s="195"/>
      <c r="AG416" s="195"/>
      <c r="AH416" s="195"/>
    </row>
    <row r="417" customHeight="1" spans="1:34">
      <c r="A417" s="227"/>
      <c r="B417" s="227"/>
      <c r="C417" s="227"/>
      <c r="D417" s="227"/>
      <c r="E417" s="228"/>
      <c r="F417" s="227"/>
      <c r="G417" s="228"/>
      <c r="H417" s="193"/>
      <c r="I417" s="193"/>
      <c r="J417" s="193"/>
      <c r="K417" s="193"/>
      <c r="L417" s="193"/>
      <c r="M417" s="193"/>
      <c r="N417" s="193"/>
      <c r="O417" s="193"/>
      <c r="S417" s="194"/>
      <c r="T417" s="194"/>
      <c r="U417" s="194"/>
      <c r="V417" s="194"/>
      <c r="W417" s="194"/>
      <c r="X417" s="194"/>
      <c r="Y417" s="194"/>
      <c r="Z417" s="194"/>
      <c r="AA417" s="194"/>
      <c r="AB417" s="194"/>
      <c r="AC417" s="194"/>
      <c r="AD417" s="194"/>
      <c r="AE417" s="195"/>
      <c r="AF417" s="195"/>
      <c r="AG417" s="195"/>
      <c r="AH417" s="195"/>
    </row>
    <row r="418" customHeight="1" spans="1:34">
      <c r="A418" s="227"/>
      <c r="B418" s="227"/>
      <c r="C418" s="227"/>
      <c r="D418" s="227"/>
      <c r="E418" s="228"/>
      <c r="F418" s="227"/>
      <c r="G418" s="228"/>
      <c r="H418" s="193"/>
      <c r="I418" s="193"/>
      <c r="J418" s="193"/>
      <c r="K418" s="193"/>
      <c r="L418" s="193"/>
      <c r="M418" s="193"/>
      <c r="N418" s="193"/>
      <c r="O418" s="193"/>
      <c r="S418" s="194"/>
      <c r="T418" s="194"/>
      <c r="U418" s="194"/>
      <c r="V418" s="194"/>
      <c r="W418" s="194"/>
      <c r="X418" s="194"/>
      <c r="Y418" s="194"/>
      <c r="Z418" s="194"/>
      <c r="AA418" s="194"/>
      <c r="AB418" s="194"/>
      <c r="AC418" s="194"/>
      <c r="AD418" s="194"/>
      <c r="AE418" s="195"/>
      <c r="AF418" s="195"/>
      <c r="AG418" s="195"/>
      <c r="AH418" s="195"/>
    </row>
    <row r="419" customHeight="1" spans="1:34">
      <c r="A419" s="227"/>
      <c r="B419" s="227"/>
      <c r="C419" s="227"/>
      <c r="D419" s="227"/>
      <c r="E419" s="228"/>
      <c r="F419" s="227"/>
      <c r="G419" s="228"/>
      <c r="H419" s="193"/>
      <c r="I419" s="193"/>
      <c r="J419" s="193"/>
      <c r="K419" s="193"/>
      <c r="L419" s="193"/>
      <c r="M419" s="193"/>
      <c r="N419" s="193"/>
      <c r="O419" s="193"/>
      <c r="S419" s="194"/>
      <c r="T419" s="194"/>
      <c r="U419" s="194"/>
      <c r="V419" s="194"/>
      <c r="W419" s="194"/>
      <c r="X419" s="194"/>
      <c r="Y419" s="194"/>
      <c r="Z419" s="194"/>
      <c r="AA419" s="194"/>
      <c r="AB419" s="194"/>
      <c r="AC419" s="194"/>
      <c r="AD419" s="194"/>
      <c r="AE419" s="195"/>
      <c r="AF419" s="195"/>
      <c r="AG419" s="195"/>
      <c r="AH419" s="195"/>
    </row>
    <row r="420" customHeight="1" spans="1:34">
      <c r="A420" s="353" t="s">
        <v>868</v>
      </c>
      <c r="B420" s="353"/>
      <c r="C420" s="353"/>
      <c r="D420" s="353"/>
      <c r="E420" s="353"/>
      <c r="F420" s="353"/>
      <c r="G420" s="353"/>
      <c r="H420" s="193"/>
      <c r="I420" s="193"/>
      <c r="J420" s="193"/>
      <c r="K420" s="193"/>
      <c r="L420" s="193"/>
      <c r="M420" s="193"/>
      <c r="N420" s="193"/>
      <c r="O420" s="193"/>
      <c r="S420" s="194"/>
      <c r="T420" s="194"/>
      <c r="U420" s="194"/>
      <c r="V420" s="194"/>
      <c r="W420" s="194"/>
      <c r="X420" s="194"/>
      <c r="Y420" s="194"/>
      <c r="Z420" s="194"/>
      <c r="AA420" s="194"/>
      <c r="AB420" s="194"/>
      <c r="AC420" s="194"/>
      <c r="AD420" s="194"/>
      <c r="AE420" s="195"/>
      <c r="AF420" s="195"/>
      <c r="AG420" s="195"/>
      <c r="AH420" s="195"/>
    </row>
    <row r="421" customHeight="1" spans="1:34">
      <c r="A421" s="309" t="s">
        <v>869</v>
      </c>
      <c r="B421" s="310"/>
      <c r="C421" s="310" t="s">
        <v>178</v>
      </c>
      <c r="D421" s="310" t="s">
        <v>870</v>
      </c>
      <c r="E421" s="343" t="s">
        <v>1275</v>
      </c>
      <c r="F421" s="343"/>
      <c r="G421" s="344"/>
      <c r="H421" s="193"/>
      <c r="I421" s="193"/>
      <c r="J421" s="193"/>
      <c r="K421" s="193"/>
      <c r="L421" s="193"/>
      <c r="M421" s="193"/>
      <c r="N421" s="193"/>
      <c r="O421" s="193"/>
      <c r="S421" s="194"/>
      <c r="T421" s="194"/>
      <c r="U421" s="194"/>
      <c r="V421" s="194"/>
      <c r="W421" s="194"/>
      <c r="X421" s="194"/>
      <c r="Y421" s="194"/>
      <c r="Z421" s="194"/>
      <c r="AA421" s="194"/>
      <c r="AB421" s="194"/>
      <c r="AC421" s="194"/>
      <c r="AD421" s="194"/>
      <c r="AE421" s="195"/>
      <c r="AF421" s="195"/>
      <c r="AG421" s="195"/>
      <c r="AH421" s="195"/>
    </row>
    <row r="422" customHeight="1" spans="1:34">
      <c r="A422" s="314" t="s">
        <v>507</v>
      </c>
      <c r="B422" s="315"/>
      <c r="C422" s="316" t="s">
        <v>1276</v>
      </c>
      <c r="D422" s="316"/>
      <c r="E422" s="316"/>
      <c r="F422" s="317" t="s">
        <v>873</v>
      </c>
      <c r="G422" s="318" t="s">
        <v>1211</v>
      </c>
      <c r="H422" s="193"/>
      <c r="I422" s="193"/>
      <c r="J422" s="193"/>
      <c r="K422" s="193"/>
      <c r="L422" s="193"/>
      <c r="M422" s="193"/>
      <c r="N422" s="193"/>
      <c r="O422" s="193"/>
      <c r="S422" s="194"/>
      <c r="T422" s="194"/>
      <c r="U422" s="194"/>
      <c r="V422" s="194"/>
      <c r="W422" s="194"/>
      <c r="X422" s="194"/>
      <c r="Y422" s="194"/>
      <c r="Z422" s="194"/>
      <c r="AA422" s="194"/>
      <c r="AB422" s="194"/>
      <c r="AC422" s="194"/>
      <c r="AD422" s="194"/>
      <c r="AE422" s="195"/>
      <c r="AF422" s="195"/>
      <c r="AG422" s="195"/>
      <c r="AH422" s="195"/>
    </row>
    <row r="423" customHeight="1" spans="1:34">
      <c r="A423" s="345" t="s">
        <v>1277</v>
      </c>
      <c r="B423" s="316"/>
      <c r="C423" s="316"/>
      <c r="D423" s="316"/>
      <c r="E423" s="316"/>
      <c r="F423" s="316"/>
      <c r="G423" s="346"/>
      <c r="H423" s="193"/>
      <c r="I423" s="193"/>
      <c r="J423" s="193"/>
      <c r="K423" s="193"/>
      <c r="L423" s="193"/>
      <c r="M423" s="193"/>
      <c r="N423" s="193"/>
      <c r="O423" s="193"/>
      <c r="S423" s="194"/>
      <c r="T423" s="194"/>
      <c r="U423" s="194"/>
      <c r="V423" s="194"/>
      <c r="W423" s="194"/>
      <c r="X423" s="194"/>
      <c r="Y423" s="194"/>
      <c r="Z423" s="194"/>
      <c r="AA423" s="194"/>
      <c r="AB423" s="194"/>
      <c r="AC423" s="194"/>
      <c r="AD423" s="194"/>
      <c r="AE423" s="195"/>
      <c r="AF423" s="195"/>
      <c r="AG423" s="195"/>
      <c r="AH423" s="195"/>
    </row>
    <row r="424" customHeight="1" spans="1:34">
      <c r="A424" s="322" t="s">
        <v>1278</v>
      </c>
      <c r="B424" s="323"/>
      <c r="C424" s="324"/>
      <c r="D424" s="324"/>
      <c r="E424" s="324"/>
      <c r="F424" s="324"/>
      <c r="G424" s="325"/>
      <c r="H424" s="193"/>
      <c r="I424" s="193"/>
      <c r="J424" s="193"/>
      <c r="K424" s="193"/>
      <c r="L424" s="193"/>
      <c r="M424" s="193"/>
      <c r="N424" s="193"/>
      <c r="O424" s="193"/>
      <c r="S424" s="194"/>
      <c r="T424" s="194"/>
      <c r="U424" s="194"/>
      <c r="V424" s="194"/>
      <c r="W424" s="194"/>
      <c r="X424" s="194"/>
      <c r="Y424" s="194"/>
      <c r="Z424" s="194"/>
      <c r="AA424" s="194"/>
      <c r="AB424" s="194"/>
      <c r="AC424" s="194"/>
      <c r="AD424" s="194"/>
      <c r="AE424" s="195"/>
      <c r="AF424" s="195"/>
      <c r="AG424" s="195"/>
      <c r="AH424" s="195"/>
    </row>
    <row r="425" customHeight="1" spans="1:34">
      <c r="A425" s="314" t="s">
        <v>34</v>
      </c>
      <c r="B425" s="317" t="s">
        <v>761</v>
      </c>
      <c r="C425" s="317"/>
      <c r="D425" s="317" t="s">
        <v>60</v>
      </c>
      <c r="E425" s="326" t="s">
        <v>877</v>
      </c>
      <c r="F425" s="317" t="s">
        <v>878</v>
      </c>
      <c r="G425" s="318" t="s">
        <v>879</v>
      </c>
      <c r="H425" s="193"/>
      <c r="I425" s="193"/>
      <c r="J425" s="193"/>
      <c r="K425" s="193"/>
      <c r="L425" s="193"/>
      <c r="M425" s="193"/>
      <c r="N425" s="193"/>
      <c r="O425" s="193"/>
      <c r="S425" s="194"/>
      <c r="T425" s="194"/>
      <c r="U425" s="194"/>
      <c r="V425" s="194"/>
      <c r="W425" s="194"/>
      <c r="X425" s="194"/>
      <c r="Y425" s="194"/>
      <c r="Z425" s="194"/>
      <c r="AA425" s="194"/>
      <c r="AB425" s="194"/>
      <c r="AC425" s="194"/>
      <c r="AD425" s="194"/>
      <c r="AE425" s="195"/>
      <c r="AF425" s="195"/>
      <c r="AG425" s="195"/>
      <c r="AH425" s="195"/>
    </row>
    <row r="426" customHeight="1" spans="1:34">
      <c r="A426" s="314" t="s">
        <v>8</v>
      </c>
      <c r="B426" s="347" t="s">
        <v>880</v>
      </c>
      <c r="C426" s="347"/>
      <c r="D426" s="317"/>
      <c r="E426" s="326"/>
      <c r="F426" s="326"/>
      <c r="G426" s="329">
        <f>G427+G439</f>
        <v>403.851620874115</v>
      </c>
      <c r="H426" s="193"/>
      <c r="I426" s="193"/>
      <c r="J426" s="193"/>
      <c r="K426" s="193"/>
      <c r="L426" s="193"/>
      <c r="M426" s="193"/>
      <c r="N426" s="193"/>
      <c r="O426" s="193"/>
      <c r="S426" s="194"/>
      <c r="T426" s="194"/>
      <c r="U426" s="194"/>
      <c r="V426" s="194"/>
      <c r="W426" s="194"/>
      <c r="X426" s="194"/>
      <c r="Y426" s="194"/>
      <c r="Z426" s="194"/>
      <c r="AA426" s="194"/>
      <c r="AB426" s="194"/>
      <c r="AC426" s="194"/>
      <c r="AD426" s="194"/>
      <c r="AE426" s="195"/>
      <c r="AF426" s="195"/>
      <c r="AG426" s="195"/>
      <c r="AH426" s="195"/>
    </row>
    <row r="427" customHeight="1" spans="1:34">
      <c r="A427" s="314" t="s">
        <v>881</v>
      </c>
      <c r="B427" s="347" t="s">
        <v>882</v>
      </c>
      <c r="C427" s="347"/>
      <c r="D427" s="317"/>
      <c r="E427" s="326"/>
      <c r="F427" s="326"/>
      <c r="G427" s="329">
        <f>G428+G431+G433</f>
        <v>379.559794054619</v>
      </c>
      <c r="H427" s="193"/>
      <c r="I427" s="193"/>
      <c r="J427" s="193"/>
      <c r="K427" s="193"/>
      <c r="L427" s="193"/>
      <c r="M427" s="193"/>
      <c r="N427" s="193"/>
      <c r="O427" s="193"/>
      <c r="S427" s="194"/>
      <c r="T427" s="194"/>
      <c r="U427" s="194"/>
      <c r="V427" s="194"/>
      <c r="W427" s="194"/>
      <c r="X427" s="194"/>
      <c r="Y427" s="194"/>
      <c r="Z427" s="194"/>
      <c r="AA427" s="194"/>
      <c r="AB427" s="194"/>
      <c r="AC427" s="194"/>
      <c r="AD427" s="194"/>
      <c r="AE427" s="195"/>
      <c r="AF427" s="195"/>
      <c r="AG427" s="195"/>
      <c r="AH427" s="195"/>
    </row>
    <row r="428" customHeight="1" spans="1:34">
      <c r="A428" s="314" t="s">
        <v>17</v>
      </c>
      <c r="B428" s="347" t="s">
        <v>510</v>
      </c>
      <c r="C428" s="347"/>
      <c r="D428" s="317"/>
      <c r="E428" s="326"/>
      <c r="F428" s="326"/>
      <c r="G428" s="329">
        <f>SUM(G429:G430)</f>
        <v>115.4</v>
      </c>
      <c r="H428" s="193"/>
      <c r="I428" s="193"/>
      <c r="J428" s="193"/>
      <c r="K428" s="193"/>
      <c r="L428" s="193"/>
      <c r="M428" s="193"/>
      <c r="N428" s="193"/>
      <c r="O428" s="193"/>
      <c r="S428" s="194"/>
      <c r="T428" s="194"/>
      <c r="U428" s="194"/>
      <c r="V428" s="194"/>
      <c r="W428" s="194"/>
      <c r="X428" s="194"/>
      <c r="Y428" s="194"/>
      <c r="Z428" s="194"/>
      <c r="AA428" s="194"/>
      <c r="AB428" s="194"/>
      <c r="AC428" s="194"/>
      <c r="AD428" s="194"/>
      <c r="AE428" s="195"/>
      <c r="AF428" s="195"/>
      <c r="AG428" s="195"/>
      <c r="AH428" s="195"/>
    </row>
    <row r="429" customHeight="1" spans="1:34">
      <c r="A429" s="314"/>
      <c r="B429" s="347" t="s">
        <v>704</v>
      </c>
      <c r="C429" s="347"/>
      <c r="D429" s="317" t="s">
        <v>705</v>
      </c>
      <c r="E429" s="326"/>
      <c r="F429" s="326"/>
      <c r="G429" s="329"/>
      <c r="H429" s="193"/>
      <c r="I429" s="193"/>
      <c r="J429" s="193"/>
      <c r="K429" s="193"/>
      <c r="L429" s="193"/>
      <c r="M429" s="193"/>
      <c r="N429" s="193"/>
      <c r="O429" s="193"/>
      <c r="S429" s="194"/>
      <c r="T429" s="194"/>
      <c r="U429" s="194"/>
      <c r="V429" s="194"/>
      <c r="W429" s="194"/>
      <c r="X429" s="194"/>
      <c r="Y429" s="194"/>
      <c r="Z429" s="194"/>
      <c r="AA429" s="194"/>
      <c r="AB429" s="194"/>
      <c r="AC429" s="194"/>
      <c r="AD429" s="194"/>
      <c r="AE429" s="195"/>
      <c r="AF429" s="195"/>
      <c r="AG429" s="195"/>
      <c r="AH429" s="195"/>
    </row>
    <row r="430" customHeight="1" spans="1:34">
      <c r="A430" s="314"/>
      <c r="B430" s="347" t="s">
        <v>706</v>
      </c>
      <c r="C430" s="347"/>
      <c r="D430" s="317" t="s">
        <v>705</v>
      </c>
      <c r="E430" s="331">
        <v>20</v>
      </c>
      <c r="F430" s="326">
        <f>主要材料预算!D20</f>
        <v>5.77</v>
      </c>
      <c r="G430" s="329">
        <f t="shared" ref="G430:G437" si="30">E430*F430</f>
        <v>115.4</v>
      </c>
      <c r="H430" s="193"/>
      <c r="I430" s="193"/>
      <c r="J430" s="193"/>
      <c r="K430" s="193"/>
      <c r="L430" s="193"/>
      <c r="M430" s="193"/>
      <c r="N430" s="193"/>
      <c r="O430" s="193"/>
      <c r="S430" s="194"/>
      <c r="T430" s="194"/>
      <c r="U430" s="194"/>
      <c r="V430" s="194"/>
      <c r="W430" s="194"/>
      <c r="X430" s="194"/>
      <c r="Y430" s="194"/>
      <c r="Z430" s="194"/>
      <c r="AA430" s="194"/>
      <c r="AB430" s="194"/>
      <c r="AC430" s="194"/>
      <c r="AD430" s="194"/>
      <c r="AE430" s="195"/>
      <c r="AF430" s="195"/>
      <c r="AG430" s="195"/>
      <c r="AH430" s="195"/>
    </row>
    <row r="431" customHeight="1" spans="1:34">
      <c r="A431" s="314" t="s">
        <v>19</v>
      </c>
      <c r="B431" s="327" t="s">
        <v>511</v>
      </c>
      <c r="C431" s="328"/>
      <c r="D431" s="317"/>
      <c r="E431" s="326"/>
      <c r="F431" s="326"/>
      <c r="G431" s="329">
        <f>G432</f>
        <v>34.5054358231472</v>
      </c>
      <c r="H431" s="193"/>
      <c r="I431" s="193"/>
      <c r="J431" s="193"/>
      <c r="K431" s="193"/>
      <c r="L431" s="193"/>
      <c r="M431" s="193"/>
      <c r="N431" s="193"/>
      <c r="O431" s="193"/>
      <c r="S431" s="194"/>
      <c r="T431" s="194"/>
      <c r="U431" s="194"/>
      <c r="V431" s="194"/>
      <c r="W431" s="194"/>
      <c r="X431" s="194"/>
      <c r="Y431" s="194"/>
      <c r="Z431" s="194"/>
      <c r="AA431" s="194"/>
      <c r="AB431" s="194"/>
      <c r="AC431" s="194"/>
      <c r="AD431" s="194"/>
      <c r="AE431" s="195"/>
      <c r="AF431" s="195"/>
      <c r="AG431" s="195"/>
      <c r="AH431" s="195"/>
    </row>
    <row r="432" customHeight="1" spans="1:34">
      <c r="A432" s="314"/>
      <c r="B432" s="347" t="s">
        <v>1008</v>
      </c>
      <c r="C432" s="347"/>
      <c r="D432" s="317" t="s">
        <v>894</v>
      </c>
      <c r="E432" s="147">
        <f>G428+G433</f>
        <v>345.054358231472</v>
      </c>
      <c r="F432" s="331">
        <v>10</v>
      </c>
      <c r="G432" s="329">
        <f>E432*F432/100</f>
        <v>34.5054358231472</v>
      </c>
      <c r="H432" s="193"/>
      <c r="I432" s="193"/>
      <c r="J432" s="193"/>
      <c r="K432" s="193"/>
      <c r="L432" s="193"/>
      <c r="M432" s="193"/>
      <c r="N432" s="193"/>
      <c r="O432" s="193"/>
      <c r="S432" s="194"/>
      <c r="T432" s="194"/>
      <c r="U432" s="194"/>
      <c r="V432" s="194"/>
      <c r="W432" s="194"/>
      <c r="X432" s="194"/>
      <c r="Y432" s="194"/>
      <c r="Z432" s="194"/>
      <c r="AA432" s="194"/>
      <c r="AB432" s="194"/>
      <c r="AC432" s="194"/>
      <c r="AD432" s="194"/>
      <c r="AE432" s="195"/>
      <c r="AF432" s="195"/>
      <c r="AG432" s="195"/>
      <c r="AH432" s="195"/>
    </row>
    <row r="433" customHeight="1" spans="1:34">
      <c r="A433" s="314" t="s">
        <v>21</v>
      </c>
      <c r="B433" s="347" t="s">
        <v>895</v>
      </c>
      <c r="C433" s="347"/>
      <c r="D433" s="347"/>
      <c r="E433" s="147"/>
      <c r="F433" s="326"/>
      <c r="G433" s="329">
        <f>SUM(G434:G438)</f>
        <v>229.654358231472</v>
      </c>
      <c r="H433" s="193"/>
      <c r="I433" s="193"/>
      <c r="J433" s="193"/>
      <c r="K433" s="193"/>
      <c r="L433" s="193"/>
      <c r="M433" s="193"/>
      <c r="N433" s="193"/>
      <c r="O433" s="193"/>
      <c r="S433" s="194"/>
      <c r="T433" s="194"/>
      <c r="U433" s="194"/>
      <c r="V433" s="194"/>
      <c r="W433" s="194"/>
      <c r="X433" s="194"/>
      <c r="Y433" s="194"/>
      <c r="Z433" s="194"/>
      <c r="AA433" s="194"/>
      <c r="AB433" s="194"/>
      <c r="AC433" s="194"/>
      <c r="AD433" s="194"/>
      <c r="AE433" s="195"/>
      <c r="AF433" s="195"/>
      <c r="AG433" s="195"/>
      <c r="AH433" s="195"/>
    </row>
    <row r="434" customHeight="1" spans="1:34">
      <c r="A434" s="314"/>
      <c r="B434" s="327" t="s">
        <v>804</v>
      </c>
      <c r="C434" s="328"/>
      <c r="D434" s="317" t="s">
        <v>896</v>
      </c>
      <c r="E434" s="147">
        <v>1.89</v>
      </c>
      <c r="F434" s="326">
        <f>施工机械台时费!E10</f>
        <v>68.4126713203031</v>
      </c>
      <c r="G434" s="329">
        <f t="shared" si="30"/>
        <v>129.299948795373</v>
      </c>
      <c r="H434" s="193"/>
      <c r="I434" s="193"/>
      <c r="J434" s="193"/>
      <c r="K434" s="193"/>
      <c r="L434" s="193"/>
      <c r="M434" s="193"/>
      <c r="N434" s="193"/>
      <c r="O434" s="193"/>
      <c r="S434" s="194"/>
      <c r="T434" s="194"/>
      <c r="U434" s="194"/>
      <c r="V434" s="194"/>
      <c r="W434" s="194"/>
      <c r="X434" s="194"/>
      <c r="Y434" s="194"/>
      <c r="Z434" s="194"/>
      <c r="AA434" s="194"/>
      <c r="AB434" s="194"/>
      <c r="AC434" s="194"/>
      <c r="AD434" s="194"/>
      <c r="AE434" s="195"/>
      <c r="AF434" s="195"/>
      <c r="AG434" s="195"/>
      <c r="AH434" s="195"/>
    </row>
    <row r="435" customHeight="1" spans="1:34">
      <c r="A435" s="314"/>
      <c r="B435" s="327" t="s">
        <v>807</v>
      </c>
      <c r="C435" s="328"/>
      <c r="D435" s="317" t="s">
        <v>896</v>
      </c>
      <c r="E435" s="147">
        <v>0.5</v>
      </c>
      <c r="F435" s="326">
        <f>施工机械台时费!E13</f>
        <v>89.4423446350219</v>
      </c>
      <c r="G435" s="329">
        <f t="shared" si="30"/>
        <v>44.721172317511</v>
      </c>
      <c r="H435" s="193"/>
      <c r="I435" s="193"/>
      <c r="J435" s="193"/>
      <c r="K435" s="193"/>
      <c r="L435" s="193"/>
      <c r="M435" s="193"/>
      <c r="N435" s="193"/>
      <c r="O435" s="193"/>
      <c r="S435" s="194"/>
      <c r="T435" s="194"/>
      <c r="U435" s="194"/>
      <c r="V435" s="194"/>
      <c r="W435" s="194"/>
      <c r="X435" s="194"/>
      <c r="Y435" s="194"/>
      <c r="Z435" s="194"/>
      <c r="AA435" s="194"/>
      <c r="AB435" s="194"/>
      <c r="AC435" s="194"/>
      <c r="AD435" s="194"/>
      <c r="AE435" s="195"/>
      <c r="AF435" s="195"/>
      <c r="AG435" s="195"/>
      <c r="AH435" s="195"/>
    </row>
    <row r="436" customHeight="1" spans="1:34">
      <c r="A436" s="314"/>
      <c r="B436" s="327" t="s">
        <v>1279</v>
      </c>
      <c r="C436" s="328"/>
      <c r="D436" s="317" t="s">
        <v>896</v>
      </c>
      <c r="E436" s="147">
        <v>1</v>
      </c>
      <c r="F436" s="326">
        <f>施工机械台时费!E17</f>
        <v>22.5244315915437</v>
      </c>
      <c r="G436" s="329">
        <f t="shared" si="30"/>
        <v>22.5244315915437</v>
      </c>
      <c r="H436" s="193"/>
      <c r="I436" s="193"/>
      <c r="J436" s="193"/>
      <c r="K436" s="193"/>
      <c r="L436" s="193"/>
      <c r="M436" s="193"/>
      <c r="N436" s="193"/>
      <c r="O436" s="193"/>
      <c r="S436" s="194"/>
      <c r="T436" s="194"/>
      <c r="U436" s="194"/>
      <c r="V436" s="194"/>
      <c r="W436" s="194"/>
      <c r="X436" s="194"/>
      <c r="Y436" s="194"/>
      <c r="Z436" s="194"/>
      <c r="AA436" s="194"/>
      <c r="AB436" s="194"/>
      <c r="AC436" s="194"/>
      <c r="AD436" s="194"/>
      <c r="AE436" s="195"/>
      <c r="AF436" s="195"/>
      <c r="AG436" s="195"/>
      <c r="AH436" s="195"/>
    </row>
    <row r="437" customHeight="1" spans="1:34">
      <c r="A437" s="314"/>
      <c r="B437" s="327" t="s">
        <v>867</v>
      </c>
      <c r="C437" s="328"/>
      <c r="D437" s="317" t="s">
        <v>896</v>
      </c>
      <c r="E437" s="147">
        <v>0.5</v>
      </c>
      <c r="F437" s="326">
        <v>61.67</v>
      </c>
      <c r="G437" s="329">
        <f t="shared" si="30"/>
        <v>30.835</v>
      </c>
      <c r="H437" s="193"/>
      <c r="I437" s="193"/>
      <c r="J437" s="193"/>
      <c r="K437" s="193"/>
      <c r="L437" s="193"/>
      <c r="M437" s="193"/>
      <c r="N437" s="193"/>
      <c r="O437" s="193"/>
      <c r="S437" s="194"/>
      <c r="T437" s="194"/>
      <c r="U437" s="194"/>
      <c r="V437" s="194"/>
      <c r="W437" s="194"/>
      <c r="X437" s="194"/>
      <c r="Y437" s="194"/>
      <c r="Z437" s="194"/>
      <c r="AA437" s="194"/>
      <c r="AB437" s="194"/>
      <c r="AC437" s="194"/>
      <c r="AD437" s="194"/>
      <c r="AE437" s="195"/>
      <c r="AF437" s="195"/>
      <c r="AG437" s="195"/>
      <c r="AH437" s="195"/>
    </row>
    <row r="438" customHeight="1" spans="1:34">
      <c r="A438" s="314"/>
      <c r="B438" s="327" t="s">
        <v>902</v>
      </c>
      <c r="C438" s="328"/>
      <c r="D438" s="317" t="s">
        <v>894</v>
      </c>
      <c r="E438" s="147">
        <f>SUM(G434:G437)</f>
        <v>227.380552704428</v>
      </c>
      <c r="F438" s="331">
        <v>1</v>
      </c>
      <c r="G438" s="329">
        <f>E438*F438/100</f>
        <v>2.27380552704428</v>
      </c>
      <c r="H438" s="193"/>
      <c r="I438" s="193"/>
      <c r="J438" s="193"/>
      <c r="K438" s="193"/>
      <c r="L438" s="193"/>
      <c r="M438" s="193"/>
      <c r="N438" s="193"/>
      <c r="O438" s="193"/>
      <c r="S438" s="194"/>
      <c r="T438" s="194"/>
      <c r="U438" s="194"/>
      <c r="V438" s="194"/>
      <c r="W438" s="194"/>
      <c r="X438" s="194"/>
      <c r="Y438" s="194"/>
      <c r="Z438" s="194"/>
      <c r="AA438" s="194"/>
      <c r="AB438" s="194"/>
      <c r="AC438" s="194"/>
      <c r="AD438" s="194"/>
      <c r="AE438" s="195"/>
      <c r="AF438" s="195"/>
      <c r="AG438" s="195"/>
      <c r="AH438" s="195"/>
    </row>
    <row r="439" customHeight="1" spans="1:34">
      <c r="A439" s="314" t="s">
        <v>905</v>
      </c>
      <c r="B439" s="347" t="s">
        <v>514</v>
      </c>
      <c r="C439" s="347"/>
      <c r="D439" s="317"/>
      <c r="E439" s="332">
        <f>G427</f>
        <v>379.559794054619</v>
      </c>
      <c r="F439" s="333">
        <f>费率表!$C$12</f>
        <v>0.064</v>
      </c>
      <c r="G439" s="329">
        <f t="shared" ref="G439:G441" si="31">E439*F439</f>
        <v>24.2918268194956</v>
      </c>
      <c r="H439" s="193"/>
      <c r="I439" s="193"/>
      <c r="J439" s="193"/>
      <c r="K439" s="193"/>
      <c r="L439" s="193"/>
      <c r="M439" s="193"/>
      <c r="N439" s="193"/>
      <c r="O439" s="193"/>
      <c r="S439" s="194"/>
      <c r="T439" s="194"/>
      <c r="U439" s="194"/>
      <c r="V439" s="194"/>
      <c r="W439" s="194"/>
      <c r="X439" s="194"/>
      <c r="Y439" s="194"/>
      <c r="Z439" s="194"/>
      <c r="AA439" s="194"/>
      <c r="AB439" s="194"/>
      <c r="AC439" s="194"/>
      <c r="AD439" s="194"/>
      <c r="AE439" s="195"/>
      <c r="AF439" s="195"/>
      <c r="AG439" s="195"/>
      <c r="AH439" s="195"/>
    </row>
    <row r="440" customHeight="1" spans="1:34">
      <c r="A440" s="314" t="s">
        <v>10</v>
      </c>
      <c r="B440" s="347" t="s">
        <v>770</v>
      </c>
      <c r="C440" s="347"/>
      <c r="D440" s="317"/>
      <c r="E440" s="326">
        <f>G426</f>
        <v>403.851620874115</v>
      </c>
      <c r="F440" s="334">
        <f>费率表!$C$13</f>
        <v>0.05</v>
      </c>
      <c r="G440" s="329">
        <f t="shared" si="31"/>
        <v>20.1925810437057</v>
      </c>
      <c r="H440" s="193"/>
      <c r="I440" s="193"/>
      <c r="J440" s="193"/>
      <c r="K440" s="193"/>
      <c r="L440" s="193"/>
      <c r="M440" s="193"/>
      <c r="N440" s="193"/>
      <c r="O440" s="193"/>
      <c r="S440" s="194"/>
      <c r="T440" s="194"/>
      <c r="U440" s="194"/>
      <c r="V440" s="194"/>
      <c r="W440" s="194"/>
      <c r="X440" s="194"/>
      <c r="Y440" s="194"/>
      <c r="Z440" s="194"/>
      <c r="AA440" s="194"/>
      <c r="AB440" s="194"/>
      <c r="AC440" s="194"/>
      <c r="AD440" s="194"/>
      <c r="AE440" s="195"/>
      <c r="AF440" s="195"/>
      <c r="AG440" s="195"/>
      <c r="AH440" s="195"/>
    </row>
    <row r="441" customHeight="1" spans="1:34">
      <c r="A441" s="314" t="s">
        <v>12</v>
      </c>
      <c r="B441" s="347" t="s">
        <v>771</v>
      </c>
      <c r="C441" s="347"/>
      <c r="D441" s="317"/>
      <c r="E441" s="326">
        <f>G426+G440</f>
        <v>424.04420191782</v>
      </c>
      <c r="F441" s="334">
        <f>费率表!$C$14</f>
        <v>0.07</v>
      </c>
      <c r="G441" s="329">
        <f t="shared" si="31"/>
        <v>29.6830941342474</v>
      </c>
      <c r="H441" s="193"/>
      <c r="I441" s="193"/>
      <c r="J441" s="193"/>
      <c r="K441" s="193"/>
      <c r="L441" s="193"/>
      <c r="M441" s="193"/>
      <c r="N441" s="193"/>
      <c r="O441" s="193"/>
      <c r="S441" s="194"/>
      <c r="T441" s="194"/>
      <c r="U441" s="194"/>
      <c r="V441" s="194"/>
      <c r="W441" s="194"/>
      <c r="X441" s="194"/>
      <c r="Y441" s="194"/>
      <c r="Z441" s="194"/>
      <c r="AA441" s="194"/>
      <c r="AB441" s="194"/>
      <c r="AC441" s="194"/>
      <c r="AD441" s="194"/>
      <c r="AE441" s="195"/>
      <c r="AF441" s="195"/>
      <c r="AG441" s="195"/>
      <c r="AH441" s="195"/>
    </row>
    <row r="442" customHeight="1" spans="1:34">
      <c r="A442" s="314" t="s">
        <v>15</v>
      </c>
      <c r="B442" s="327" t="s">
        <v>517</v>
      </c>
      <c r="C442" s="328"/>
      <c r="D442" s="317"/>
      <c r="E442" s="326"/>
      <c r="F442" s="349"/>
      <c r="G442" s="329">
        <f>G443</f>
        <v>145.545573385354</v>
      </c>
      <c r="H442" s="193"/>
      <c r="I442" s="193"/>
      <c r="J442" s="193"/>
      <c r="K442" s="193"/>
      <c r="L442" s="193"/>
      <c r="M442" s="193"/>
      <c r="N442" s="193"/>
      <c r="O442" s="193"/>
      <c r="S442" s="194"/>
      <c r="T442" s="194"/>
      <c r="U442" s="194"/>
      <c r="V442" s="194"/>
      <c r="W442" s="194"/>
      <c r="X442" s="194"/>
      <c r="Y442" s="194"/>
      <c r="Z442" s="194"/>
      <c r="AA442" s="194"/>
      <c r="AB442" s="194"/>
      <c r="AC442" s="194"/>
      <c r="AD442" s="194"/>
      <c r="AE442" s="195"/>
      <c r="AF442" s="195"/>
      <c r="AG442" s="195"/>
      <c r="AH442" s="195"/>
    </row>
    <row r="443" customHeight="1" spans="1:34">
      <c r="A443" s="314" t="s">
        <v>17</v>
      </c>
      <c r="B443" s="327" t="s">
        <v>694</v>
      </c>
      <c r="C443" s="328"/>
      <c r="D443" s="317" t="s">
        <v>695</v>
      </c>
      <c r="E443" s="326">
        <f>E434*9.9+E435*10.6</f>
        <v>24.011</v>
      </c>
      <c r="F443" s="326">
        <f>主要材料预算!N13</f>
        <v>6.0616206482593</v>
      </c>
      <c r="G443" s="329">
        <f t="shared" ref="G443:G445" si="32">E443*F443</f>
        <v>145.545573385354</v>
      </c>
      <c r="H443" s="193"/>
      <c r="I443" s="193"/>
      <c r="J443" s="193"/>
      <c r="K443" s="193"/>
      <c r="L443" s="193"/>
      <c r="M443" s="193"/>
      <c r="N443" s="193"/>
      <c r="O443" s="193"/>
      <c r="S443" s="194"/>
      <c r="T443" s="194"/>
      <c r="U443" s="194"/>
      <c r="V443" s="194"/>
      <c r="W443" s="194"/>
      <c r="X443" s="194"/>
      <c r="Y443" s="194"/>
      <c r="Z443" s="194"/>
      <c r="AA443" s="194"/>
      <c r="AB443" s="194"/>
      <c r="AC443" s="194"/>
      <c r="AD443" s="194"/>
      <c r="AE443" s="195"/>
      <c r="AF443" s="195"/>
      <c r="AG443" s="195"/>
      <c r="AH443" s="195"/>
    </row>
    <row r="444" customHeight="1" spans="1:34">
      <c r="A444" s="314" t="s">
        <v>906</v>
      </c>
      <c r="B444" s="347" t="s">
        <v>772</v>
      </c>
      <c r="C444" s="347"/>
      <c r="D444" s="317"/>
      <c r="E444" s="326">
        <f>G426+G440+G441+G442</f>
        <v>599.272869437422</v>
      </c>
      <c r="F444" s="334">
        <f>费率表!$C$15</f>
        <v>0.09</v>
      </c>
      <c r="G444" s="329">
        <f t="shared" si="32"/>
        <v>53.934558249368</v>
      </c>
      <c r="H444" s="193"/>
      <c r="I444" s="193"/>
      <c r="J444" s="193"/>
      <c r="K444" s="193"/>
      <c r="L444" s="193"/>
      <c r="M444" s="193"/>
      <c r="N444" s="193"/>
      <c r="O444" s="193"/>
      <c r="S444" s="194"/>
      <c r="T444" s="194"/>
      <c r="U444" s="194"/>
      <c r="V444" s="194"/>
      <c r="W444" s="194"/>
      <c r="X444" s="194"/>
      <c r="Y444" s="194"/>
      <c r="Z444" s="194"/>
      <c r="AA444" s="194"/>
      <c r="AB444" s="194"/>
      <c r="AC444" s="194"/>
      <c r="AD444" s="194"/>
      <c r="AE444" s="195"/>
      <c r="AF444" s="195"/>
      <c r="AG444" s="195"/>
      <c r="AH444" s="195"/>
    </row>
    <row r="445" customHeight="1" spans="1:34">
      <c r="A445" s="314"/>
      <c r="B445" s="347" t="s">
        <v>907</v>
      </c>
      <c r="C445" s="347"/>
      <c r="D445" s="317"/>
      <c r="E445" s="326">
        <f>G426+G440+G441+G442+G444</f>
        <v>653.20742768679</v>
      </c>
      <c r="F445" s="334">
        <f>费率表!$I$19</f>
        <v>0.03</v>
      </c>
      <c r="G445" s="329">
        <f t="shared" si="32"/>
        <v>19.5962228306037</v>
      </c>
      <c r="H445" s="193"/>
      <c r="I445" s="193"/>
      <c r="J445" s="193"/>
      <c r="K445" s="193"/>
      <c r="L445" s="193"/>
      <c r="M445" s="193"/>
      <c r="N445" s="193"/>
      <c r="O445" s="193"/>
      <c r="S445" s="194"/>
      <c r="T445" s="194"/>
      <c r="U445" s="194"/>
      <c r="V445" s="194"/>
      <c r="W445" s="194"/>
      <c r="X445" s="194"/>
      <c r="Y445" s="194"/>
      <c r="Z445" s="194"/>
      <c r="AA445" s="194"/>
      <c r="AB445" s="194"/>
      <c r="AC445" s="194"/>
      <c r="AD445" s="194"/>
      <c r="AE445" s="195"/>
      <c r="AF445" s="195"/>
      <c r="AG445" s="195"/>
      <c r="AH445" s="195"/>
    </row>
    <row r="446" customHeight="1" spans="1:34">
      <c r="A446" s="335"/>
      <c r="B446" s="338" t="s">
        <v>39</v>
      </c>
      <c r="C446" s="338"/>
      <c r="D446" s="338"/>
      <c r="E446" s="339"/>
      <c r="F446" s="338"/>
      <c r="G446" s="340">
        <f>G426+G440+G441+G442+G444+G445</f>
        <v>672.803650517394</v>
      </c>
      <c r="H446" s="193"/>
      <c r="I446" s="193"/>
      <c r="J446" s="193"/>
      <c r="K446" s="193"/>
      <c r="L446" s="193"/>
      <c r="M446" s="193"/>
      <c r="N446" s="193"/>
      <c r="O446" s="193"/>
      <c r="S446" s="194"/>
      <c r="T446" s="194"/>
      <c r="U446" s="194"/>
      <c r="V446" s="194"/>
      <c r="W446" s="194"/>
      <c r="X446" s="194"/>
      <c r="Y446" s="194"/>
      <c r="Z446" s="194"/>
      <c r="AA446" s="194"/>
      <c r="AB446" s="194"/>
      <c r="AC446" s="194"/>
      <c r="AD446" s="194"/>
      <c r="AE446" s="195"/>
      <c r="AF446" s="195"/>
      <c r="AG446" s="195"/>
      <c r="AH446" s="195"/>
    </row>
    <row r="447" customHeight="1" spans="1:34">
      <c r="H447" s="193"/>
      <c r="I447" s="193"/>
      <c r="J447" s="193"/>
      <c r="K447" s="193"/>
      <c r="L447" s="193"/>
      <c r="M447" s="193"/>
      <c r="N447" s="193"/>
      <c r="O447" s="193"/>
      <c r="S447" s="194"/>
      <c r="T447" s="194"/>
      <c r="U447" s="194"/>
      <c r="V447" s="194"/>
      <c r="W447" s="194"/>
      <c r="X447" s="194"/>
      <c r="Y447" s="194"/>
      <c r="Z447" s="194"/>
      <c r="AA447" s="194"/>
      <c r="AB447" s="194"/>
      <c r="AC447" s="194"/>
      <c r="AD447" s="194"/>
      <c r="AE447" s="195"/>
      <c r="AF447" s="195"/>
      <c r="AG447" s="195"/>
      <c r="AH447" s="195"/>
    </row>
    <row r="448" customHeight="1" spans="1:34">
      <c r="A448" s="308" t="s">
        <v>868</v>
      </c>
      <c r="B448" s="308"/>
      <c r="C448" s="308"/>
      <c r="D448" s="308"/>
      <c r="E448" s="308"/>
      <c r="F448" s="308"/>
      <c r="G448" s="308"/>
      <c r="H448" s="193"/>
      <c r="I448" s="193"/>
      <c r="J448" s="193"/>
      <c r="K448" s="193"/>
      <c r="L448" s="193"/>
      <c r="M448" s="193"/>
      <c r="N448" s="193"/>
      <c r="O448" s="193"/>
      <c r="S448" s="194"/>
      <c r="T448" s="194"/>
      <c r="U448" s="194"/>
      <c r="V448" s="194"/>
      <c r="W448" s="194"/>
      <c r="X448" s="194"/>
      <c r="Y448" s="194"/>
      <c r="Z448" s="194"/>
      <c r="AA448" s="194"/>
      <c r="AB448" s="194"/>
      <c r="AC448" s="194"/>
      <c r="AD448" s="194"/>
      <c r="AE448" s="195"/>
      <c r="AF448" s="195"/>
      <c r="AG448" s="195"/>
      <c r="AH448" s="195"/>
    </row>
    <row r="449" customHeight="1" spans="1:34">
      <c r="A449" s="309" t="s">
        <v>869</v>
      </c>
      <c r="B449" s="310"/>
      <c r="C449" s="310" t="s">
        <v>184</v>
      </c>
      <c r="D449" s="310" t="s">
        <v>870</v>
      </c>
      <c r="E449" s="311" t="s">
        <v>1280</v>
      </c>
      <c r="F449" s="312"/>
      <c r="G449" s="313"/>
      <c r="H449" s="193"/>
      <c r="I449" s="193"/>
      <c r="J449" s="193"/>
      <c r="K449" s="193"/>
      <c r="L449" s="193"/>
      <c r="M449" s="193"/>
      <c r="N449" s="193"/>
      <c r="O449" s="193"/>
      <c r="S449" s="194"/>
      <c r="T449" s="194"/>
      <c r="U449" s="194"/>
      <c r="V449" s="194"/>
      <c r="W449" s="194"/>
      <c r="X449" s="194"/>
      <c r="Y449" s="194"/>
      <c r="Z449" s="194"/>
      <c r="AA449" s="194"/>
      <c r="AB449" s="194"/>
      <c r="AC449" s="194"/>
      <c r="AD449" s="194"/>
      <c r="AE449" s="195"/>
      <c r="AF449" s="195"/>
      <c r="AG449" s="195"/>
      <c r="AH449" s="195"/>
    </row>
    <row r="450" customHeight="1" spans="1:34">
      <c r="A450" s="314" t="s">
        <v>507</v>
      </c>
      <c r="B450" s="315"/>
      <c r="C450" s="316" t="s">
        <v>1281</v>
      </c>
      <c r="D450" s="316"/>
      <c r="E450" s="316"/>
      <c r="F450" s="317" t="s">
        <v>873</v>
      </c>
      <c r="G450" s="318" t="s">
        <v>874</v>
      </c>
      <c r="H450" s="193"/>
      <c r="I450" s="193"/>
      <c r="J450" s="193"/>
      <c r="K450" s="193"/>
      <c r="L450" s="193"/>
      <c r="M450" s="193"/>
      <c r="N450" s="193"/>
      <c r="O450" s="193"/>
      <c r="S450" s="194"/>
      <c r="T450" s="194"/>
      <c r="U450" s="194"/>
      <c r="V450" s="194"/>
      <c r="W450" s="194"/>
      <c r="X450" s="194"/>
      <c r="Y450" s="194"/>
      <c r="Z450" s="194"/>
      <c r="AA450" s="194"/>
      <c r="AB450" s="194"/>
      <c r="AC450" s="194"/>
      <c r="AD450" s="194"/>
      <c r="AE450" s="195"/>
      <c r="AF450" s="195"/>
      <c r="AG450" s="195"/>
      <c r="AH450" s="195"/>
    </row>
    <row r="451" customHeight="1" spans="1:34">
      <c r="A451" s="319" t="s">
        <v>1282</v>
      </c>
      <c r="B451" s="320"/>
      <c r="C451" s="320"/>
      <c r="D451" s="320"/>
      <c r="E451" s="320"/>
      <c r="F451" s="320"/>
      <c r="G451" s="321"/>
      <c r="H451" s="193"/>
      <c r="I451" s="193"/>
      <c r="J451" s="193"/>
      <c r="K451" s="193"/>
      <c r="L451" s="193"/>
      <c r="M451" s="193"/>
      <c r="N451" s="193"/>
      <c r="O451" s="193"/>
      <c r="S451" s="194"/>
      <c r="T451" s="194"/>
      <c r="U451" s="194"/>
      <c r="V451" s="194"/>
      <c r="W451" s="194"/>
      <c r="X451" s="194"/>
      <c r="Y451" s="194"/>
      <c r="Z451" s="194"/>
      <c r="AA451" s="194"/>
      <c r="AB451" s="194"/>
      <c r="AC451" s="194"/>
      <c r="AD451" s="194"/>
      <c r="AE451" s="195"/>
      <c r="AF451" s="195"/>
      <c r="AG451" s="195"/>
      <c r="AH451" s="195"/>
    </row>
    <row r="452" customHeight="1" spans="1:34">
      <c r="A452" s="322" t="s">
        <v>1283</v>
      </c>
      <c r="B452" s="323"/>
      <c r="C452" s="324"/>
      <c r="D452" s="324"/>
      <c r="E452" s="324"/>
      <c r="F452" s="324"/>
      <c r="G452" s="325"/>
      <c r="H452" s="193"/>
      <c r="I452" s="193"/>
      <c r="J452" s="193"/>
      <c r="K452" s="193"/>
      <c r="L452" s="193"/>
      <c r="M452" s="193"/>
      <c r="N452" s="193"/>
      <c r="O452" s="193"/>
      <c r="S452" s="194"/>
      <c r="T452" s="194"/>
      <c r="U452" s="194"/>
      <c r="V452" s="194"/>
      <c r="W452" s="194"/>
      <c r="X452" s="194"/>
      <c r="Y452" s="194"/>
      <c r="Z452" s="194"/>
      <c r="AA452" s="194"/>
      <c r="AB452" s="194"/>
      <c r="AC452" s="194"/>
      <c r="AD452" s="194"/>
      <c r="AE452" s="195"/>
      <c r="AF452" s="195"/>
      <c r="AG452" s="195"/>
      <c r="AH452" s="195"/>
    </row>
    <row r="453" customHeight="1" spans="1:34">
      <c r="A453" s="314" t="s">
        <v>34</v>
      </c>
      <c r="B453" s="317" t="s">
        <v>761</v>
      </c>
      <c r="C453" s="317"/>
      <c r="D453" s="317" t="s">
        <v>60</v>
      </c>
      <c r="E453" s="326" t="s">
        <v>877</v>
      </c>
      <c r="F453" s="317" t="s">
        <v>878</v>
      </c>
      <c r="G453" s="318" t="s">
        <v>879</v>
      </c>
      <c r="H453" s="193"/>
      <c r="I453" s="193"/>
      <c r="J453" s="193"/>
      <c r="K453" s="193"/>
      <c r="L453" s="193"/>
      <c r="M453" s="193"/>
      <c r="N453" s="193"/>
      <c r="O453" s="193"/>
      <c r="S453" s="194"/>
      <c r="T453" s="194"/>
      <c r="U453" s="194"/>
      <c r="V453" s="194"/>
      <c r="W453" s="194"/>
      <c r="X453" s="194"/>
      <c r="Y453" s="194"/>
      <c r="Z453" s="194"/>
      <c r="AA453" s="194"/>
      <c r="AB453" s="194"/>
      <c r="AC453" s="194"/>
      <c r="AD453" s="194"/>
      <c r="AE453" s="195"/>
      <c r="AF453" s="195"/>
      <c r="AG453" s="195"/>
      <c r="AH453" s="195"/>
    </row>
    <row r="454" customHeight="1" spans="1:34">
      <c r="A454" s="314" t="s">
        <v>8</v>
      </c>
      <c r="B454" s="327" t="s">
        <v>880</v>
      </c>
      <c r="C454" s="328"/>
      <c r="D454" s="317"/>
      <c r="E454" s="326"/>
      <c r="F454" s="326"/>
      <c r="G454" s="329">
        <f>G455+G461</f>
        <v>58.016196</v>
      </c>
      <c r="H454" s="193"/>
      <c r="I454" s="193"/>
      <c r="J454" s="193"/>
      <c r="K454" s="193"/>
      <c r="L454" s="193"/>
      <c r="M454" s="193"/>
      <c r="N454" s="193"/>
      <c r="O454" s="193"/>
      <c r="S454" s="194"/>
      <c r="T454" s="194"/>
      <c r="U454" s="194"/>
      <c r="V454" s="194"/>
      <c r="W454" s="194"/>
      <c r="X454" s="194"/>
      <c r="Y454" s="194"/>
      <c r="Z454" s="194"/>
      <c r="AA454" s="194"/>
      <c r="AB454" s="194"/>
      <c r="AC454" s="194"/>
      <c r="AD454" s="194"/>
      <c r="AE454" s="195"/>
      <c r="AF454" s="195"/>
      <c r="AG454" s="195"/>
      <c r="AH454" s="195"/>
    </row>
    <row r="455" customHeight="1" spans="1:34">
      <c r="A455" s="314" t="s">
        <v>881</v>
      </c>
      <c r="B455" s="327" t="s">
        <v>882</v>
      </c>
      <c r="C455" s="328"/>
      <c r="D455" s="317"/>
      <c r="E455" s="326"/>
      <c r="F455" s="326"/>
      <c r="G455" s="329">
        <f>G456+G459</f>
        <v>54.5265</v>
      </c>
      <c r="H455" s="193"/>
      <c r="I455" s="193"/>
      <c r="J455" s="193"/>
      <c r="K455" s="193"/>
      <c r="L455" s="193"/>
      <c r="M455" s="193"/>
      <c r="N455" s="193"/>
      <c r="O455" s="193"/>
      <c r="S455" s="194"/>
      <c r="T455" s="194"/>
      <c r="U455" s="194"/>
      <c r="V455" s="194"/>
      <c r="W455" s="194"/>
      <c r="X455" s="194"/>
      <c r="Y455" s="194"/>
      <c r="Z455" s="194"/>
      <c r="AA455" s="194"/>
      <c r="AB455" s="194"/>
      <c r="AC455" s="194"/>
      <c r="AD455" s="194"/>
      <c r="AE455" s="195"/>
      <c r="AF455" s="195"/>
      <c r="AG455" s="195"/>
      <c r="AH455" s="195"/>
    </row>
    <row r="456" customHeight="1" spans="1:34">
      <c r="A456" s="314" t="s">
        <v>17</v>
      </c>
      <c r="B456" s="327" t="s">
        <v>510</v>
      </c>
      <c r="C456" s="328"/>
      <c r="D456" s="317"/>
      <c r="E456" s="326"/>
      <c r="F456" s="326"/>
      <c r="G456" s="329">
        <f>SUM(G457:G458)</f>
        <v>51.93</v>
      </c>
      <c r="H456" s="193"/>
      <c r="I456" s="193"/>
      <c r="J456" s="193"/>
      <c r="K456" s="193"/>
      <c r="L456" s="193"/>
      <c r="M456" s="193"/>
      <c r="N456" s="193"/>
      <c r="O456" s="193"/>
      <c r="S456" s="194"/>
      <c r="T456" s="194"/>
      <c r="U456" s="194"/>
      <c r="V456" s="194"/>
      <c r="W456" s="194"/>
      <c r="X456" s="194"/>
      <c r="Y456" s="194"/>
      <c r="Z456" s="194"/>
      <c r="AA456" s="194"/>
      <c r="AB456" s="194"/>
      <c r="AC456" s="194"/>
      <c r="AD456" s="194"/>
      <c r="AE456" s="195"/>
      <c r="AF456" s="195"/>
      <c r="AG456" s="195"/>
      <c r="AH456" s="195"/>
    </row>
    <row r="457" customHeight="1" spans="1:34">
      <c r="A457" s="314"/>
      <c r="B457" s="327" t="s">
        <v>704</v>
      </c>
      <c r="C457" s="328"/>
      <c r="D457" s="317" t="s">
        <v>705</v>
      </c>
      <c r="E457" s="326"/>
      <c r="F457" s="326"/>
      <c r="G457" s="329"/>
      <c r="H457" s="193"/>
      <c r="I457" s="193"/>
      <c r="J457" s="193"/>
      <c r="K457" s="193"/>
      <c r="L457" s="193"/>
      <c r="M457" s="193"/>
      <c r="N457" s="193"/>
      <c r="O457" s="193"/>
      <c r="S457" s="194"/>
      <c r="T457" s="194"/>
      <c r="U457" s="194"/>
      <c r="V457" s="194"/>
      <c r="W457" s="194"/>
      <c r="X457" s="194"/>
      <c r="Y457" s="194"/>
      <c r="Z457" s="194"/>
      <c r="AA457" s="194"/>
      <c r="AB457" s="194"/>
      <c r="AC457" s="194"/>
      <c r="AD457" s="194"/>
      <c r="AE457" s="195"/>
      <c r="AF457" s="195"/>
      <c r="AG457" s="195"/>
      <c r="AH457" s="195"/>
    </row>
    <row r="458" customHeight="1" spans="1:34">
      <c r="A458" s="314"/>
      <c r="B458" s="327" t="s">
        <v>706</v>
      </c>
      <c r="C458" s="328"/>
      <c r="D458" s="317" t="s">
        <v>705</v>
      </c>
      <c r="E458" s="331">
        <v>9</v>
      </c>
      <c r="F458" s="326">
        <f>主要材料预算!D20</f>
        <v>5.77</v>
      </c>
      <c r="G458" s="329">
        <f t="shared" ref="G458:G465" si="33">E458*F458</f>
        <v>51.93</v>
      </c>
      <c r="H458" s="193"/>
      <c r="I458" s="193"/>
      <c r="J458" s="193"/>
      <c r="K458" s="193"/>
      <c r="L458" s="193"/>
      <c r="M458" s="193"/>
      <c r="N458" s="193"/>
      <c r="O458" s="193"/>
      <c r="S458" s="194"/>
      <c r="T458" s="194"/>
      <c r="U458" s="194"/>
      <c r="V458" s="194"/>
      <c r="W458" s="194"/>
      <c r="X458" s="194"/>
      <c r="Y458" s="194"/>
      <c r="Z458" s="194"/>
      <c r="AA458" s="194"/>
      <c r="AB458" s="194"/>
      <c r="AC458" s="194"/>
      <c r="AD458" s="194"/>
      <c r="AE458" s="195"/>
      <c r="AF458" s="195"/>
      <c r="AG458" s="195"/>
      <c r="AH458" s="195"/>
    </row>
    <row r="459" customHeight="1" spans="1:34">
      <c r="A459" s="314" t="s">
        <v>19</v>
      </c>
      <c r="B459" s="327" t="s">
        <v>511</v>
      </c>
      <c r="C459" s="328"/>
      <c r="D459" s="317"/>
      <c r="E459" s="326"/>
      <c r="F459" s="326"/>
      <c r="G459" s="329">
        <f>G460</f>
        <v>2.5965</v>
      </c>
      <c r="H459" s="193"/>
      <c r="I459" s="193"/>
      <c r="J459" s="193"/>
      <c r="K459" s="193"/>
      <c r="L459" s="193"/>
      <c r="M459" s="193"/>
      <c r="N459" s="193"/>
      <c r="O459" s="193"/>
      <c r="S459" s="194"/>
      <c r="T459" s="194"/>
      <c r="U459" s="194"/>
      <c r="V459" s="194"/>
      <c r="W459" s="194"/>
      <c r="X459" s="194"/>
      <c r="Y459" s="194"/>
      <c r="Z459" s="194"/>
      <c r="AA459" s="194"/>
      <c r="AB459" s="194"/>
      <c r="AC459" s="194"/>
      <c r="AD459" s="194"/>
      <c r="AE459" s="195"/>
      <c r="AF459" s="195"/>
      <c r="AG459" s="195"/>
      <c r="AH459" s="195"/>
    </row>
    <row r="460" customHeight="1" spans="1:34">
      <c r="A460" s="314"/>
      <c r="B460" s="327" t="s">
        <v>1008</v>
      </c>
      <c r="C460" s="328"/>
      <c r="D460" s="317" t="s">
        <v>894</v>
      </c>
      <c r="E460" s="147">
        <f>G456</f>
        <v>51.93</v>
      </c>
      <c r="F460" s="331">
        <v>5</v>
      </c>
      <c r="G460" s="329">
        <f>E460*F460/100</f>
        <v>2.5965</v>
      </c>
      <c r="H460" s="193"/>
      <c r="I460" s="193"/>
      <c r="J460" s="193"/>
      <c r="K460" s="193"/>
      <c r="L460" s="193"/>
      <c r="M460" s="193"/>
      <c r="N460" s="193"/>
      <c r="O460" s="193"/>
      <c r="S460" s="194"/>
      <c r="T460" s="194"/>
      <c r="U460" s="194"/>
      <c r="V460" s="194"/>
      <c r="W460" s="194"/>
      <c r="X460" s="194"/>
      <c r="Y460" s="194"/>
      <c r="Z460" s="194"/>
      <c r="AA460" s="194"/>
      <c r="AB460" s="194"/>
      <c r="AC460" s="194"/>
      <c r="AD460" s="194"/>
      <c r="AE460" s="195"/>
      <c r="AF460" s="195"/>
      <c r="AG460" s="195"/>
      <c r="AH460" s="195"/>
    </row>
    <row r="461" customHeight="1" spans="1:34">
      <c r="A461" s="314" t="s">
        <v>905</v>
      </c>
      <c r="B461" s="327" t="s">
        <v>514</v>
      </c>
      <c r="C461" s="328"/>
      <c r="D461" s="317"/>
      <c r="E461" s="332">
        <f>G455</f>
        <v>54.5265</v>
      </c>
      <c r="F461" s="333">
        <f>费率表!$C$12</f>
        <v>0.064</v>
      </c>
      <c r="G461" s="329">
        <f t="shared" si="33"/>
        <v>3.489696</v>
      </c>
      <c r="H461" s="193"/>
      <c r="I461" s="193"/>
      <c r="J461" s="193"/>
      <c r="K461" s="193"/>
      <c r="L461" s="193"/>
      <c r="M461" s="193"/>
      <c r="N461" s="193"/>
      <c r="O461" s="193"/>
      <c r="S461" s="194"/>
      <c r="T461" s="194"/>
      <c r="U461" s="194"/>
      <c r="V461" s="194"/>
      <c r="W461" s="194"/>
      <c r="X461" s="194"/>
      <c r="Y461" s="194"/>
      <c r="Z461" s="194"/>
      <c r="AA461" s="194"/>
      <c r="AB461" s="194"/>
      <c r="AC461" s="194"/>
      <c r="AD461" s="194"/>
      <c r="AE461" s="195"/>
      <c r="AF461" s="195"/>
      <c r="AG461" s="195"/>
      <c r="AH461" s="195"/>
    </row>
    <row r="462" customHeight="1" spans="1:34">
      <c r="A462" s="314" t="s">
        <v>10</v>
      </c>
      <c r="B462" s="327" t="s">
        <v>770</v>
      </c>
      <c r="C462" s="328"/>
      <c r="D462" s="317"/>
      <c r="E462" s="326">
        <f>G454</f>
        <v>58.016196</v>
      </c>
      <c r="F462" s="334">
        <f>费率表!$C$13</f>
        <v>0.05</v>
      </c>
      <c r="G462" s="329">
        <f t="shared" si="33"/>
        <v>2.9008098</v>
      </c>
      <c r="H462" s="193"/>
      <c r="I462" s="193"/>
      <c r="J462" s="193"/>
      <c r="K462" s="193"/>
      <c r="L462" s="193"/>
      <c r="M462" s="193"/>
      <c r="N462" s="193"/>
      <c r="O462" s="193"/>
      <c r="S462" s="194"/>
      <c r="T462" s="194"/>
      <c r="U462" s="194"/>
      <c r="V462" s="194"/>
      <c r="W462" s="194"/>
      <c r="X462" s="194"/>
      <c r="Y462" s="194"/>
      <c r="Z462" s="194"/>
      <c r="AA462" s="194"/>
      <c r="AB462" s="194"/>
      <c r="AC462" s="194"/>
      <c r="AD462" s="194"/>
      <c r="AE462" s="195"/>
      <c r="AF462" s="195"/>
      <c r="AG462" s="195"/>
      <c r="AH462" s="195"/>
    </row>
    <row r="463" customHeight="1" spans="1:34">
      <c r="A463" s="314" t="s">
        <v>12</v>
      </c>
      <c r="B463" s="327" t="s">
        <v>771</v>
      </c>
      <c r="C463" s="328"/>
      <c r="D463" s="317"/>
      <c r="E463" s="326">
        <f>G454+G462</f>
        <v>60.9170058</v>
      </c>
      <c r="F463" s="334">
        <f>费率表!$C$14</f>
        <v>0.07</v>
      </c>
      <c r="G463" s="329">
        <f t="shared" si="33"/>
        <v>4.264190406</v>
      </c>
      <c r="H463" s="193"/>
      <c r="I463" s="193"/>
      <c r="J463" s="193"/>
      <c r="K463" s="193"/>
      <c r="L463" s="193"/>
      <c r="M463" s="193"/>
      <c r="N463" s="193"/>
      <c r="O463" s="193"/>
      <c r="S463" s="194"/>
      <c r="T463" s="194"/>
      <c r="U463" s="194"/>
      <c r="V463" s="194"/>
      <c r="W463" s="194"/>
      <c r="X463" s="194"/>
      <c r="Y463" s="194"/>
      <c r="Z463" s="194"/>
      <c r="AA463" s="194"/>
      <c r="AB463" s="194"/>
      <c r="AC463" s="194"/>
      <c r="AD463" s="194"/>
      <c r="AE463" s="195"/>
      <c r="AF463" s="195"/>
      <c r="AG463" s="195"/>
      <c r="AH463" s="195"/>
    </row>
    <row r="464" customHeight="1" spans="1:34">
      <c r="A464" s="314" t="s">
        <v>15</v>
      </c>
      <c r="B464" s="327" t="s">
        <v>772</v>
      </c>
      <c r="C464" s="328"/>
      <c r="D464" s="317"/>
      <c r="E464" s="326">
        <f>G454+G462++G463</f>
        <v>65.181196206</v>
      </c>
      <c r="F464" s="334">
        <f>费率表!$C$15</f>
        <v>0.09</v>
      </c>
      <c r="G464" s="329">
        <f t="shared" si="33"/>
        <v>5.86630765854</v>
      </c>
      <c r="H464" s="193"/>
      <c r="I464" s="193"/>
      <c r="J464" s="193"/>
      <c r="K464" s="193"/>
      <c r="L464" s="193"/>
      <c r="M464" s="193"/>
      <c r="N464" s="193"/>
      <c r="O464" s="193"/>
      <c r="S464" s="194"/>
      <c r="T464" s="194"/>
      <c r="U464" s="194"/>
      <c r="V464" s="194"/>
      <c r="W464" s="194"/>
      <c r="X464" s="194"/>
      <c r="Y464" s="194"/>
      <c r="Z464" s="194"/>
      <c r="AA464" s="194"/>
      <c r="AB464" s="194"/>
      <c r="AC464" s="194"/>
      <c r="AD464" s="194"/>
      <c r="AE464" s="195"/>
      <c r="AF464" s="195"/>
      <c r="AG464" s="195"/>
      <c r="AH464" s="195"/>
    </row>
    <row r="465" customHeight="1" spans="1:34">
      <c r="A465" s="314"/>
      <c r="B465" s="327" t="s">
        <v>907</v>
      </c>
      <c r="C465" s="328"/>
      <c r="D465" s="317"/>
      <c r="E465" s="326">
        <f>G454+G462+G463+G464</f>
        <v>71.04750386454</v>
      </c>
      <c r="F465" s="334">
        <f>费率表!$I$19</f>
        <v>0.03</v>
      </c>
      <c r="G465" s="329">
        <f t="shared" si="33"/>
        <v>2.1314251159362</v>
      </c>
      <c r="H465" s="193"/>
      <c r="I465" s="193"/>
      <c r="J465" s="193"/>
      <c r="K465" s="193"/>
      <c r="L465" s="193"/>
      <c r="M465" s="193"/>
      <c r="N465" s="193"/>
      <c r="O465" s="193"/>
      <c r="S465" s="194"/>
      <c r="T465" s="194"/>
      <c r="U465" s="194"/>
      <c r="V465" s="194"/>
      <c r="W465" s="194"/>
      <c r="X465" s="194"/>
      <c r="Y465" s="194"/>
      <c r="Z465" s="194"/>
      <c r="AA465" s="194"/>
      <c r="AB465" s="194"/>
      <c r="AC465" s="194"/>
      <c r="AD465" s="194"/>
      <c r="AE465" s="195"/>
      <c r="AF465" s="195"/>
      <c r="AG465" s="195"/>
      <c r="AH465" s="195"/>
    </row>
    <row r="466" customHeight="1" spans="1:34">
      <c r="A466" s="335"/>
      <c r="B466" s="336" t="s">
        <v>39</v>
      </c>
      <c r="C466" s="337"/>
      <c r="D466" s="338"/>
      <c r="E466" s="339"/>
      <c r="F466" s="338"/>
      <c r="G466" s="340">
        <f>G454+G462+G463+G464+G465</f>
        <v>73.1789289804762</v>
      </c>
      <c r="H466" s="193"/>
      <c r="I466" s="193"/>
      <c r="J466" s="193"/>
      <c r="K466" s="193"/>
      <c r="L466" s="193"/>
      <c r="M466" s="193"/>
      <c r="N466" s="193"/>
      <c r="O466" s="193"/>
      <c r="S466" s="194"/>
      <c r="T466" s="194"/>
      <c r="U466" s="194"/>
      <c r="V466" s="194"/>
      <c r="W466" s="194"/>
      <c r="X466" s="194"/>
      <c r="Y466" s="194"/>
      <c r="Z466" s="194"/>
      <c r="AA466" s="194"/>
      <c r="AB466" s="194"/>
      <c r="AC466" s="194"/>
      <c r="AD466" s="194"/>
      <c r="AE466" s="195"/>
      <c r="AF466" s="195"/>
      <c r="AG466" s="195"/>
      <c r="AH466" s="195"/>
    </row>
    <row r="467" customHeight="1" spans="1:34">
      <c r="H467" s="193"/>
      <c r="I467" s="193"/>
      <c r="J467" s="193"/>
      <c r="K467" s="193"/>
      <c r="L467" s="193"/>
      <c r="M467" s="193"/>
      <c r="N467" s="193"/>
      <c r="O467" s="193"/>
      <c r="S467" s="194"/>
      <c r="T467" s="194"/>
      <c r="U467" s="194"/>
      <c r="V467" s="194"/>
      <c r="W467" s="194"/>
      <c r="X467" s="194"/>
      <c r="Y467" s="194"/>
      <c r="Z467" s="194"/>
      <c r="AA467" s="194"/>
      <c r="AB467" s="194"/>
      <c r="AC467" s="194"/>
      <c r="AD467" s="194"/>
      <c r="AE467" s="195"/>
      <c r="AF467" s="195"/>
      <c r="AG467" s="195"/>
      <c r="AH467" s="195"/>
    </row>
    <row r="468" customHeight="1" spans="1:34">
      <c r="A468" s="308" t="s">
        <v>868</v>
      </c>
      <c r="B468" s="308"/>
      <c r="C468" s="308"/>
      <c r="D468" s="308"/>
      <c r="E468" s="308"/>
      <c r="F468" s="308"/>
      <c r="G468" s="308"/>
      <c r="H468" s="193"/>
      <c r="I468" s="193"/>
      <c r="J468" s="193"/>
      <c r="K468" s="193"/>
      <c r="L468" s="193"/>
      <c r="M468" s="193"/>
      <c r="N468" s="193"/>
      <c r="O468" s="193"/>
      <c r="S468" s="194"/>
      <c r="T468" s="194"/>
      <c r="U468" s="194"/>
      <c r="V468" s="194"/>
      <c r="W468" s="194"/>
      <c r="X468" s="194"/>
      <c r="Y468" s="194"/>
      <c r="Z468" s="194"/>
      <c r="AA468" s="194"/>
      <c r="AB468" s="194"/>
      <c r="AC468" s="194"/>
      <c r="AD468" s="194"/>
      <c r="AE468" s="195"/>
      <c r="AF468" s="195"/>
      <c r="AG468" s="195"/>
      <c r="AH468" s="195"/>
    </row>
    <row r="469" customHeight="1" spans="1:34">
      <c r="A469" s="309" t="s">
        <v>869</v>
      </c>
      <c r="B469" s="310"/>
      <c r="C469" s="310" t="s">
        <v>190</v>
      </c>
      <c r="D469" s="310" t="s">
        <v>870</v>
      </c>
      <c r="E469" s="311" t="s">
        <v>1284</v>
      </c>
      <c r="F469" s="312"/>
      <c r="G469" s="313"/>
      <c r="H469" s="193"/>
      <c r="I469" s="193"/>
      <c r="J469" s="193"/>
      <c r="K469" s="193"/>
      <c r="L469" s="193"/>
      <c r="M469" s="193"/>
      <c r="N469" s="193"/>
      <c r="O469" s="193"/>
      <c r="S469" s="194"/>
      <c r="T469" s="194"/>
      <c r="U469" s="194"/>
      <c r="V469" s="194"/>
      <c r="W469" s="194"/>
      <c r="X469" s="194"/>
      <c r="Y469" s="194"/>
      <c r="Z469" s="194"/>
      <c r="AA469" s="194"/>
      <c r="AB469" s="194"/>
      <c r="AC469" s="194"/>
      <c r="AD469" s="194"/>
      <c r="AE469" s="195"/>
      <c r="AF469" s="195"/>
      <c r="AG469" s="195"/>
      <c r="AH469" s="195"/>
    </row>
    <row r="470" customHeight="1" spans="1:34">
      <c r="A470" s="314" t="s">
        <v>507</v>
      </c>
      <c r="B470" s="315"/>
      <c r="C470" s="316" t="s">
        <v>1281</v>
      </c>
      <c r="D470" s="316"/>
      <c r="E470" s="316"/>
      <c r="F470" s="317" t="s">
        <v>873</v>
      </c>
      <c r="G470" s="318" t="s">
        <v>874</v>
      </c>
      <c r="H470" s="193"/>
      <c r="I470" s="193"/>
      <c r="J470" s="193"/>
      <c r="K470" s="193"/>
      <c r="L470" s="193"/>
      <c r="M470" s="193"/>
      <c r="N470" s="193"/>
      <c r="O470" s="193"/>
      <c r="S470" s="194"/>
      <c r="T470" s="194"/>
      <c r="U470" s="194"/>
      <c r="V470" s="194"/>
      <c r="W470" s="194"/>
      <c r="X470" s="194"/>
      <c r="Y470" s="194"/>
      <c r="Z470" s="194"/>
      <c r="AA470" s="194"/>
      <c r="AB470" s="194"/>
      <c r="AC470" s="194"/>
      <c r="AD470" s="194"/>
      <c r="AE470" s="195"/>
      <c r="AF470" s="195"/>
      <c r="AG470" s="195"/>
      <c r="AH470" s="195"/>
    </row>
    <row r="471" customHeight="1" spans="1:34">
      <c r="A471" s="319" t="s">
        <v>1285</v>
      </c>
      <c r="B471" s="320"/>
      <c r="C471" s="320"/>
      <c r="D471" s="320"/>
      <c r="E471" s="320"/>
      <c r="F471" s="320"/>
      <c r="G471" s="321"/>
      <c r="H471" s="193"/>
      <c r="I471" s="193"/>
      <c r="J471" s="193"/>
      <c r="K471" s="193"/>
      <c r="L471" s="193"/>
      <c r="M471" s="193"/>
      <c r="N471" s="193"/>
      <c r="O471" s="193"/>
      <c r="S471" s="194"/>
      <c r="T471" s="194"/>
      <c r="U471" s="194"/>
      <c r="V471" s="194"/>
      <c r="W471" s="194"/>
      <c r="X471" s="194"/>
      <c r="Y471" s="194"/>
      <c r="Z471" s="194"/>
      <c r="AA471" s="194"/>
      <c r="AB471" s="194"/>
      <c r="AC471" s="194"/>
      <c r="AD471" s="194"/>
      <c r="AE471" s="195"/>
      <c r="AF471" s="195"/>
      <c r="AG471" s="195"/>
      <c r="AH471" s="195"/>
    </row>
    <row r="472" customHeight="1" spans="1:34">
      <c r="A472" s="322" t="s">
        <v>1283</v>
      </c>
      <c r="B472" s="323"/>
      <c r="C472" s="324"/>
      <c r="D472" s="324"/>
      <c r="E472" s="324"/>
      <c r="F472" s="324"/>
      <c r="G472" s="325"/>
      <c r="H472" s="193"/>
      <c r="I472" s="193"/>
      <c r="J472" s="193"/>
      <c r="K472" s="193"/>
      <c r="L472" s="193"/>
      <c r="M472" s="193"/>
      <c r="N472" s="193"/>
      <c r="O472" s="193"/>
      <c r="S472" s="194"/>
      <c r="T472" s="194"/>
      <c r="U472" s="194"/>
      <c r="V472" s="194"/>
      <c r="W472" s="194"/>
      <c r="X472" s="194"/>
      <c r="Y472" s="194"/>
      <c r="Z472" s="194"/>
      <c r="AA472" s="194"/>
      <c r="AB472" s="194"/>
      <c r="AC472" s="194"/>
      <c r="AD472" s="194"/>
      <c r="AE472" s="195"/>
      <c r="AF472" s="195"/>
      <c r="AG472" s="195"/>
      <c r="AH472" s="195"/>
    </row>
    <row r="473" customHeight="1" spans="1:34">
      <c r="A473" s="314" t="s">
        <v>34</v>
      </c>
      <c r="B473" s="317" t="s">
        <v>761</v>
      </c>
      <c r="C473" s="317"/>
      <c r="D473" s="317" t="s">
        <v>60</v>
      </c>
      <c r="E473" s="326" t="s">
        <v>877</v>
      </c>
      <c r="F473" s="317" t="s">
        <v>878</v>
      </c>
      <c r="G473" s="318" t="s">
        <v>879</v>
      </c>
      <c r="H473" s="193"/>
      <c r="I473" s="193"/>
      <c r="J473" s="193"/>
      <c r="K473" s="193"/>
      <c r="L473" s="193"/>
      <c r="M473" s="193"/>
      <c r="N473" s="193"/>
      <c r="O473" s="193"/>
      <c r="S473" s="194"/>
      <c r="T473" s="194"/>
      <c r="U473" s="194"/>
      <c r="V473" s="194"/>
      <c r="W473" s="194"/>
      <c r="X473" s="194"/>
      <c r="Y473" s="194"/>
      <c r="Z473" s="194"/>
      <c r="AA473" s="194"/>
      <c r="AB473" s="194"/>
      <c r="AC473" s="194"/>
      <c r="AD473" s="194"/>
      <c r="AE473" s="195"/>
      <c r="AF473" s="195"/>
      <c r="AG473" s="195"/>
      <c r="AH473" s="195"/>
    </row>
    <row r="474" customHeight="1" spans="1:34">
      <c r="A474" s="314" t="s">
        <v>8</v>
      </c>
      <c r="B474" s="327" t="s">
        <v>880</v>
      </c>
      <c r="C474" s="328"/>
      <c r="D474" s="317"/>
      <c r="E474" s="326"/>
      <c r="F474" s="326"/>
      <c r="G474" s="329">
        <f>G475+G481</f>
        <v>107.6522748</v>
      </c>
      <c r="H474" s="193"/>
      <c r="I474" s="193"/>
      <c r="J474" s="193"/>
      <c r="K474" s="193"/>
      <c r="L474" s="193"/>
      <c r="M474" s="193"/>
      <c r="N474" s="193"/>
      <c r="O474" s="193"/>
      <c r="S474" s="194"/>
      <c r="T474" s="194"/>
      <c r="U474" s="194"/>
      <c r="V474" s="194"/>
      <c r="W474" s="194"/>
      <c r="X474" s="194"/>
      <c r="Y474" s="194"/>
      <c r="Z474" s="194"/>
      <c r="AA474" s="194"/>
      <c r="AB474" s="194"/>
      <c r="AC474" s="194"/>
      <c r="AD474" s="194"/>
      <c r="AE474" s="195"/>
      <c r="AF474" s="195"/>
      <c r="AG474" s="195"/>
      <c r="AH474" s="195"/>
    </row>
    <row r="475" customHeight="1" spans="1:34">
      <c r="A475" s="314" t="s">
        <v>881</v>
      </c>
      <c r="B475" s="327" t="s">
        <v>882</v>
      </c>
      <c r="C475" s="328"/>
      <c r="D475" s="317"/>
      <c r="E475" s="326"/>
      <c r="F475" s="326"/>
      <c r="G475" s="329">
        <f>G476+G479</f>
        <v>101.17695</v>
      </c>
      <c r="H475" s="193"/>
      <c r="I475" s="193"/>
      <c r="J475" s="193"/>
      <c r="K475" s="193"/>
      <c r="L475" s="193"/>
      <c r="M475" s="193"/>
      <c r="N475" s="193"/>
      <c r="O475" s="193"/>
      <c r="S475" s="194"/>
      <c r="T475" s="194"/>
      <c r="U475" s="194"/>
      <c r="V475" s="194"/>
      <c r="W475" s="194"/>
      <c r="X475" s="194"/>
      <c r="Y475" s="194"/>
      <c r="Z475" s="194"/>
      <c r="AA475" s="194"/>
      <c r="AB475" s="194"/>
      <c r="AC475" s="194"/>
      <c r="AD475" s="194"/>
      <c r="AE475" s="195"/>
      <c r="AF475" s="195"/>
      <c r="AG475" s="195"/>
      <c r="AH475" s="195"/>
    </row>
    <row r="476" customHeight="1" spans="1:34">
      <c r="A476" s="314" t="s">
        <v>17</v>
      </c>
      <c r="B476" s="327" t="s">
        <v>510</v>
      </c>
      <c r="C476" s="328"/>
      <c r="D476" s="317"/>
      <c r="E476" s="326"/>
      <c r="F476" s="326"/>
      <c r="G476" s="329">
        <f>SUM(G477:G478)</f>
        <v>96.359</v>
      </c>
      <c r="H476" s="193"/>
      <c r="I476" s="193"/>
      <c r="J476" s="193"/>
      <c r="K476" s="193"/>
      <c r="L476" s="193"/>
      <c r="M476" s="193"/>
      <c r="N476" s="193"/>
      <c r="O476" s="193"/>
      <c r="S476" s="194"/>
      <c r="T476" s="194"/>
      <c r="U476" s="194"/>
      <c r="V476" s="194"/>
      <c r="W476" s="194"/>
      <c r="X476" s="194"/>
      <c r="Y476" s="194"/>
      <c r="Z476" s="194"/>
      <c r="AA476" s="194"/>
      <c r="AB476" s="194"/>
      <c r="AC476" s="194"/>
      <c r="AD476" s="194"/>
      <c r="AE476" s="195"/>
      <c r="AF476" s="195"/>
      <c r="AG476" s="195"/>
      <c r="AH476" s="195"/>
    </row>
    <row r="477" customHeight="1" spans="1:34">
      <c r="A477" s="314"/>
      <c r="B477" s="327" t="s">
        <v>704</v>
      </c>
      <c r="C477" s="328"/>
      <c r="D477" s="317" t="s">
        <v>705</v>
      </c>
      <c r="E477" s="326"/>
      <c r="F477" s="326"/>
      <c r="G477" s="329"/>
      <c r="H477" s="193"/>
      <c r="I477" s="193"/>
      <c r="J477" s="193"/>
      <c r="K477" s="193"/>
      <c r="L477" s="193"/>
      <c r="M477" s="193"/>
      <c r="N477" s="193"/>
      <c r="O477" s="193"/>
      <c r="S477" s="194"/>
      <c r="T477" s="194"/>
      <c r="U477" s="194"/>
      <c r="V477" s="194"/>
      <c r="W477" s="194"/>
      <c r="X477" s="194"/>
      <c r="Y477" s="194"/>
      <c r="Z477" s="194"/>
      <c r="AA477" s="194"/>
      <c r="AB477" s="194"/>
      <c r="AC477" s="194"/>
      <c r="AD477" s="194"/>
      <c r="AE477" s="195"/>
      <c r="AF477" s="195"/>
      <c r="AG477" s="195"/>
      <c r="AH477" s="195"/>
    </row>
    <row r="478" customHeight="1" spans="1:34">
      <c r="A478" s="314"/>
      <c r="B478" s="327" t="s">
        <v>706</v>
      </c>
      <c r="C478" s="328"/>
      <c r="D478" s="317" t="s">
        <v>705</v>
      </c>
      <c r="E478" s="330">
        <v>16.7</v>
      </c>
      <c r="F478" s="326">
        <f>主要材料预算!D20</f>
        <v>5.77</v>
      </c>
      <c r="G478" s="329">
        <f t="shared" ref="G478:G485" si="34">E478*F478</f>
        <v>96.359</v>
      </c>
      <c r="H478" s="193"/>
      <c r="I478" s="193"/>
      <c r="J478" s="193"/>
      <c r="K478" s="193"/>
      <c r="L478" s="193"/>
      <c r="M478" s="193"/>
      <c r="N478" s="193"/>
      <c r="O478" s="193"/>
      <c r="S478" s="194"/>
      <c r="T478" s="194"/>
      <c r="U478" s="194"/>
      <c r="V478" s="194"/>
      <c r="W478" s="194"/>
      <c r="X478" s="194"/>
      <c r="Y478" s="194"/>
      <c r="Z478" s="194"/>
      <c r="AA478" s="194"/>
      <c r="AB478" s="194"/>
      <c r="AC478" s="194"/>
      <c r="AD478" s="194"/>
      <c r="AE478" s="195"/>
      <c r="AF478" s="195"/>
      <c r="AG478" s="195"/>
      <c r="AH478" s="195"/>
    </row>
    <row r="479" customHeight="1" spans="1:34">
      <c r="A479" s="314" t="s">
        <v>19</v>
      </c>
      <c r="B479" s="327" t="s">
        <v>511</v>
      </c>
      <c r="C479" s="328"/>
      <c r="D479" s="317"/>
      <c r="E479" s="326"/>
      <c r="F479" s="326"/>
      <c r="G479" s="329">
        <f>G480</f>
        <v>4.81795</v>
      </c>
      <c r="H479" s="193"/>
      <c r="I479" s="193"/>
      <c r="J479" s="193"/>
      <c r="K479" s="193"/>
      <c r="L479" s="193"/>
      <c r="M479" s="193"/>
      <c r="N479" s="193"/>
      <c r="O479" s="193"/>
      <c r="S479" s="194"/>
      <c r="T479" s="194"/>
      <c r="U479" s="194"/>
      <c r="V479" s="194"/>
      <c r="W479" s="194"/>
      <c r="X479" s="194"/>
      <c r="Y479" s="194"/>
      <c r="Z479" s="194"/>
      <c r="AA479" s="194"/>
      <c r="AB479" s="194"/>
      <c r="AC479" s="194"/>
      <c r="AD479" s="194"/>
      <c r="AE479" s="195"/>
      <c r="AF479" s="195"/>
      <c r="AG479" s="195"/>
      <c r="AH479" s="195"/>
    </row>
    <row r="480" customHeight="1" spans="1:34">
      <c r="A480" s="314"/>
      <c r="B480" s="327" t="s">
        <v>1008</v>
      </c>
      <c r="C480" s="328"/>
      <c r="D480" s="317" t="s">
        <v>894</v>
      </c>
      <c r="E480" s="147">
        <f>G476</f>
        <v>96.359</v>
      </c>
      <c r="F480" s="331">
        <v>5</v>
      </c>
      <c r="G480" s="329">
        <f>E480*F480/100</f>
        <v>4.81795</v>
      </c>
      <c r="H480" s="193"/>
      <c r="I480" s="193"/>
      <c r="J480" s="193"/>
      <c r="K480" s="193"/>
      <c r="L480" s="193"/>
      <c r="M480" s="193"/>
      <c r="N480" s="193"/>
      <c r="O480" s="193"/>
      <c r="S480" s="194"/>
      <c r="T480" s="194"/>
      <c r="U480" s="194"/>
      <c r="V480" s="194"/>
      <c r="W480" s="194"/>
      <c r="X480" s="194"/>
      <c r="Y480" s="194"/>
      <c r="Z480" s="194"/>
      <c r="AA480" s="194"/>
      <c r="AB480" s="194"/>
      <c r="AC480" s="194"/>
      <c r="AD480" s="194"/>
      <c r="AE480" s="195"/>
      <c r="AF480" s="195"/>
      <c r="AG480" s="195"/>
      <c r="AH480" s="195"/>
    </row>
    <row r="481" customHeight="1" spans="1:34">
      <c r="A481" s="314" t="s">
        <v>905</v>
      </c>
      <c r="B481" s="327" t="s">
        <v>514</v>
      </c>
      <c r="C481" s="328"/>
      <c r="D481" s="317"/>
      <c r="E481" s="332">
        <f>G475</f>
        <v>101.17695</v>
      </c>
      <c r="F481" s="333">
        <f>费率表!$C$12</f>
        <v>0.064</v>
      </c>
      <c r="G481" s="329">
        <f t="shared" si="34"/>
        <v>6.4753248</v>
      </c>
      <c r="H481" s="193"/>
      <c r="I481" s="193"/>
      <c r="J481" s="193"/>
      <c r="K481" s="193"/>
      <c r="L481" s="193"/>
      <c r="M481" s="193"/>
      <c r="N481" s="193"/>
      <c r="O481" s="193"/>
      <c r="S481" s="194"/>
      <c r="T481" s="194"/>
      <c r="U481" s="194"/>
      <c r="V481" s="194"/>
      <c r="W481" s="194"/>
      <c r="X481" s="194"/>
      <c r="Y481" s="194"/>
      <c r="Z481" s="194"/>
      <c r="AA481" s="194"/>
      <c r="AB481" s="194"/>
      <c r="AC481" s="194"/>
      <c r="AD481" s="194"/>
      <c r="AE481" s="195"/>
      <c r="AF481" s="195"/>
      <c r="AG481" s="195"/>
      <c r="AH481" s="195"/>
    </row>
    <row r="482" customHeight="1" spans="1:34">
      <c r="A482" s="314" t="s">
        <v>10</v>
      </c>
      <c r="B482" s="327" t="s">
        <v>770</v>
      </c>
      <c r="C482" s="328"/>
      <c r="D482" s="317"/>
      <c r="E482" s="326">
        <f>G474</f>
        <v>107.6522748</v>
      </c>
      <c r="F482" s="334">
        <f>费率表!$C$13</f>
        <v>0.05</v>
      </c>
      <c r="G482" s="329">
        <f t="shared" si="34"/>
        <v>5.38261374</v>
      </c>
      <c r="H482" s="193"/>
      <c r="I482" s="193"/>
      <c r="J482" s="193"/>
      <c r="K482" s="193"/>
      <c r="L482" s="193"/>
      <c r="M482" s="193"/>
      <c r="N482" s="193"/>
      <c r="O482" s="193"/>
      <c r="S482" s="194"/>
      <c r="T482" s="194"/>
      <c r="U482" s="194"/>
      <c r="V482" s="194"/>
      <c r="W482" s="194"/>
      <c r="X482" s="194"/>
      <c r="Y482" s="194"/>
      <c r="Z482" s="194"/>
      <c r="AA482" s="194"/>
      <c r="AB482" s="194"/>
      <c r="AC482" s="194"/>
      <c r="AD482" s="194"/>
      <c r="AE482" s="195"/>
      <c r="AF482" s="195"/>
      <c r="AG482" s="195"/>
      <c r="AH482" s="195"/>
    </row>
    <row r="483" customHeight="1" spans="1:34">
      <c r="A483" s="314" t="s">
        <v>12</v>
      </c>
      <c r="B483" s="327" t="s">
        <v>771</v>
      </c>
      <c r="C483" s="328"/>
      <c r="D483" s="317"/>
      <c r="E483" s="326">
        <f>G474+G482</f>
        <v>113.03488854</v>
      </c>
      <c r="F483" s="334">
        <f>费率表!$C$14</f>
        <v>0.07</v>
      </c>
      <c r="G483" s="329">
        <f t="shared" si="34"/>
        <v>7.9124421978</v>
      </c>
      <c r="H483" s="193"/>
      <c r="I483" s="193"/>
      <c r="J483" s="193"/>
      <c r="K483" s="193"/>
      <c r="L483" s="193"/>
      <c r="M483" s="193"/>
      <c r="N483" s="193"/>
      <c r="O483" s="193"/>
      <c r="S483" s="194"/>
      <c r="T483" s="194"/>
      <c r="U483" s="194"/>
      <c r="V483" s="194"/>
      <c r="W483" s="194"/>
      <c r="X483" s="194"/>
      <c r="Y483" s="194"/>
      <c r="Z483" s="194"/>
      <c r="AA483" s="194"/>
      <c r="AB483" s="194"/>
      <c r="AC483" s="194"/>
      <c r="AD483" s="194"/>
      <c r="AE483" s="195"/>
      <c r="AF483" s="195"/>
      <c r="AG483" s="195"/>
      <c r="AH483" s="195"/>
    </row>
    <row r="484" customHeight="1" spans="1:34">
      <c r="A484" s="314" t="s">
        <v>15</v>
      </c>
      <c r="B484" s="327" t="s">
        <v>772</v>
      </c>
      <c r="C484" s="328"/>
      <c r="D484" s="317"/>
      <c r="E484" s="326">
        <f>G474+G482++G483</f>
        <v>120.9473307378</v>
      </c>
      <c r="F484" s="334">
        <f>费率表!$C$15</f>
        <v>0.09</v>
      </c>
      <c r="G484" s="329">
        <f t="shared" si="34"/>
        <v>10.885259766402</v>
      </c>
      <c r="H484" s="193"/>
      <c r="I484" s="193"/>
      <c r="J484" s="193"/>
      <c r="K484" s="193"/>
      <c r="L484" s="193"/>
      <c r="M484" s="193"/>
      <c r="N484" s="193"/>
      <c r="O484" s="193"/>
      <c r="S484" s="194"/>
      <c r="T484" s="194"/>
      <c r="U484" s="194"/>
      <c r="V484" s="194"/>
      <c r="W484" s="194"/>
      <c r="X484" s="194"/>
      <c r="Y484" s="194"/>
      <c r="Z484" s="194"/>
      <c r="AA484" s="194"/>
      <c r="AB484" s="194"/>
      <c r="AC484" s="194"/>
      <c r="AD484" s="194"/>
      <c r="AE484" s="195"/>
      <c r="AF484" s="195"/>
      <c r="AG484" s="195"/>
      <c r="AH484" s="195"/>
    </row>
    <row r="485" customHeight="1" spans="1:34">
      <c r="A485" s="314"/>
      <c r="B485" s="327" t="s">
        <v>907</v>
      </c>
      <c r="C485" s="328"/>
      <c r="D485" s="317"/>
      <c r="E485" s="326">
        <f>G474+G482+G483+G484</f>
        <v>131.832590504202</v>
      </c>
      <c r="F485" s="334">
        <f>费率表!$I$19</f>
        <v>0.03</v>
      </c>
      <c r="G485" s="329">
        <f t="shared" si="34"/>
        <v>3.95497771512606</v>
      </c>
      <c r="H485" s="193"/>
      <c r="I485" s="193"/>
      <c r="J485" s="193"/>
      <c r="K485" s="193"/>
      <c r="L485" s="193"/>
      <c r="M485" s="193"/>
      <c r="N485" s="193"/>
      <c r="O485" s="193"/>
      <c r="S485" s="194"/>
      <c r="T485" s="194"/>
      <c r="U485" s="194"/>
      <c r="V485" s="194"/>
      <c r="W485" s="194"/>
      <c r="X485" s="194"/>
      <c r="Y485" s="194"/>
      <c r="Z485" s="194"/>
      <c r="AA485" s="194"/>
      <c r="AB485" s="194"/>
      <c r="AC485" s="194"/>
      <c r="AD485" s="194"/>
      <c r="AE485" s="195"/>
      <c r="AF485" s="195"/>
      <c r="AG485" s="195"/>
      <c r="AH485" s="195"/>
    </row>
    <row r="486" customHeight="1" spans="1:34">
      <c r="A486" s="335"/>
      <c r="B486" s="336" t="s">
        <v>39</v>
      </c>
      <c r="C486" s="337"/>
      <c r="D486" s="338"/>
      <c r="E486" s="339"/>
      <c r="F486" s="338"/>
      <c r="G486" s="340">
        <f>G474+G482+G483+G484+G485</f>
        <v>135.787568219328</v>
      </c>
      <c r="H486" s="193"/>
      <c r="I486" s="193"/>
      <c r="J486" s="193"/>
      <c r="K486" s="193"/>
      <c r="L486" s="193"/>
      <c r="M486" s="193"/>
      <c r="N486" s="193"/>
      <c r="O486" s="193"/>
      <c r="S486" s="194"/>
      <c r="T486" s="194"/>
      <c r="U486" s="194"/>
      <c r="V486" s="194"/>
      <c r="W486" s="194"/>
      <c r="X486" s="194"/>
      <c r="Y486" s="194"/>
      <c r="Z486" s="194"/>
      <c r="AA486" s="194"/>
      <c r="AB486" s="194"/>
      <c r="AC486" s="194"/>
      <c r="AD486" s="194"/>
      <c r="AE486" s="195"/>
      <c r="AF486" s="195"/>
      <c r="AG486" s="195"/>
      <c r="AH486" s="195"/>
    </row>
    <row r="487" customHeight="1" spans="1:34">
      <c r="H487" s="193"/>
      <c r="I487" s="193"/>
      <c r="J487" s="193"/>
      <c r="K487" s="193"/>
      <c r="L487" s="193"/>
      <c r="M487" s="193"/>
      <c r="N487" s="193"/>
      <c r="O487" s="193"/>
      <c r="S487" s="194"/>
      <c r="T487" s="194"/>
      <c r="U487" s="194"/>
      <c r="V487" s="194"/>
      <c r="W487" s="194"/>
      <c r="X487" s="194"/>
      <c r="Y487" s="194"/>
      <c r="Z487" s="194"/>
      <c r="AA487" s="194"/>
      <c r="AB487" s="194"/>
      <c r="AC487" s="194"/>
      <c r="AD487" s="194"/>
      <c r="AE487" s="195"/>
      <c r="AF487" s="195"/>
      <c r="AG487" s="195"/>
      <c r="AH487" s="195"/>
    </row>
    <row r="488" customHeight="1" spans="1:34">
      <c r="A488" s="352" t="s">
        <v>868</v>
      </c>
      <c r="B488" s="352"/>
      <c r="C488" s="352"/>
      <c r="D488" s="352"/>
      <c r="E488" s="352"/>
      <c r="F488" s="352"/>
      <c r="G488" s="352"/>
      <c r="H488" s="193"/>
      <c r="I488" s="193"/>
      <c r="J488" s="193"/>
      <c r="K488" s="193"/>
      <c r="L488" s="193"/>
      <c r="M488" s="193"/>
      <c r="N488" s="193"/>
      <c r="O488" s="193"/>
      <c r="S488" s="194"/>
      <c r="T488" s="194"/>
      <c r="U488" s="194"/>
      <c r="V488" s="194"/>
      <c r="W488" s="194"/>
      <c r="X488" s="194"/>
      <c r="Y488" s="194"/>
      <c r="Z488" s="194"/>
      <c r="AA488" s="194"/>
      <c r="AB488" s="194"/>
      <c r="AC488" s="194"/>
      <c r="AD488" s="194"/>
      <c r="AE488" s="195"/>
      <c r="AF488" s="195"/>
      <c r="AG488" s="195"/>
      <c r="AH488" s="195"/>
    </row>
    <row r="489" customHeight="1" spans="1:34">
      <c r="A489" s="309" t="s">
        <v>869</v>
      </c>
      <c r="B489" s="310"/>
      <c r="C489" s="310" t="s">
        <v>196</v>
      </c>
      <c r="D489" s="310" t="s">
        <v>870</v>
      </c>
      <c r="E489" s="311" t="s">
        <v>1286</v>
      </c>
      <c r="F489" s="312"/>
      <c r="G489" s="313"/>
      <c r="H489" s="193"/>
      <c r="I489" s="193"/>
      <c r="J489" s="193"/>
      <c r="K489" s="193"/>
      <c r="L489" s="193"/>
      <c r="M489" s="193"/>
      <c r="N489" s="193"/>
      <c r="O489" s="193"/>
      <c r="S489" s="194"/>
      <c r="T489" s="194"/>
      <c r="U489" s="194"/>
      <c r="V489" s="194"/>
      <c r="W489" s="194"/>
      <c r="X489" s="194"/>
      <c r="Y489" s="194"/>
      <c r="Z489" s="194"/>
      <c r="AA489" s="194"/>
      <c r="AB489" s="194"/>
      <c r="AC489" s="194"/>
      <c r="AD489" s="194"/>
      <c r="AE489" s="195"/>
      <c r="AF489" s="195"/>
      <c r="AG489" s="195"/>
      <c r="AH489" s="195"/>
    </row>
    <row r="490" customHeight="1" spans="1:34">
      <c r="A490" s="314" t="s">
        <v>507</v>
      </c>
      <c r="B490" s="315"/>
      <c r="C490" s="316" t="s">
        <v>1287</v>
      </c>
      <c r="D490" s="316"/>
      <c r="E490" s="316"/>
      <c r="F490" s="317" t="s">
        <v>873</v>
      </c>
      <c r="G490" s="318" t="s">
        <v>874</v>
      </c>
      <c r="H490" s="193"/>
      <c r="I490" s="193"/>
      <c r="J490" s="193"/>
      <c r="K490" s="193"/>
      <c r="L490" s="193"/>
      <c r="M490" s="193"/>
      <c r="N490" s="193"/>
      <c r="O490" s="193"/>
      <c r="S490" s="194"/>
      <c r="T490" s="194"/>
      <c r="U490" s="194"/>
      <c r="V490" s="194"/>
      <c r="W490" s="194"/>
      <c r="X490" s="194"/>
      <c r="Y490" s="194"/>
      <c r="Z490" s="194"/>
      <c r="AA490" s="194"/>
      <c r="AB490" s="194"/>
      <c r="AC490" s="194"/>
      <c r="AD490" s="194"/>
      <c r="AE490" s="195"/>
      <c r="AF490" s="195"/>
      <c r="AG490" s="195"/>
      <c r="AH490" s="195"/>
    </row>
    <row r="491" customHeight="1" spans="1:34">
      <c r="A491" s="319" t="s">
        <v>875</v>
      </c>
      <c r="B491" s="320"/>
      <c r="C491" s="320"/>
      <c r="D491" s="320"/>
      <c r="E491" s="320"/>
      <c r="F491" s="320"/>
      <c r="G491" s="321"/>
      <c r="H491" s="193"/>
      <c r="I491" s="193"/>
      <c r="J491" s="193"/>
      <c r="K491" s="193"/>
      <c r="L491" s="193"/>
      <c r="M491" s="193"/>
      <c r="N491" s="193"/>
      <c r="O491" s="193"/>
      <c r="S491" s="194"/>
      <c r="T491" s="194"/>
      <c r="U491" s="194"/>
      <c r="V491" s="194"/>
      <c r="W491" s="194"/>
      <c r="X491" s="194"/>
      <c r="Y491" s="194"/>
      <c r="Z491" s="194"/>
      <c r="AA491" s="194"/>
      <c r="AB491" s="194"/>
      <c r="AC491" s="194"/>
      <c r="AD491" s="194"/>
      <c r="AE491" s="195"/>
      <c r="AF491" s="195"/>
      <c r="AG491" s="195"/>
      <c r="AH491" s="195"/>
    </row>
    <row r="492" customHeight="1" spans="1:34">
      <c r="A492" s="322" t="s">
        <v>1288</v>
      </c>
      <c r="B492" s="323"/>
      <c r="C492" s="324"/>
      <c r="D492" s="324"/>
      <c r="E492" s="324"/>
      <c r="F492" s="324"/>
      <c r="G492" s="325"/>
      <c r="H492" s="193"/>
      <c r="I492" s="193"/>
      <c r="J492" s="193"/>
      <c r="K492" s="193"/>
      <c r="L492" s="193"/>
      <c r="M492" s="193"/>
      <c r="N492" s="193"/>
      <c r="O492" s="193"/>
      <c r="S492" s="194"/>
      <c r="T492" s="194"/>
      <c r="U492" s="194"/>
      <c r="V492" s="194"/>
      <c r="W492" s="194"/>
      <c r="X492" s="194"/>
      <c r="Y492" s="194"/>
      <c r="Z492" s="194"/>
      <c r="AA492" s="194"/>
      <c r="AB492" s="194"/>
      <c r="AC492" s="194"/>
      <c r="AD492" s="194"/>
      <c r="AE492" s="195"/>
      <c r="AF492" s="195"/>
      <c r="AG492" s="195"/>
      <c r="AH492" s="195"/>
    </row>
    <row r="493" customHeight="1" spans="1:34">
      <c r="A493" s="314" t="s">
        <v>34</v>
      </c>
      <c r="B493" s="317" t="s">
        <v>761</v>
      </c>
      <c r="C493" s="317"/>
      <c r="D493" s="317" t="s">
        <v>60</v>
      </c>
      <c r="E493" s="326" t="s">
        <v>877</v>
      </c>
      <c r="F493" s="317" t="s">
        <v>878</v>
      </c>
      <c r="G493" s="318" t="s">
        <v>879</v>
      </c>
      <c r="H493" s="193"/>
      <c r="I493" s="193"/>
      <c r="J493" s="193"/>
      <c r="K493" s="193"/>
      <c r="L493" s="193"/>
      <c r="M493" s="193"/>
      <c r="N493" s="193"/>
      <c r="O493" s="193"/>
      <c r="S493" s="194"/>
      <c r="T493" s="194"/>
      <c r="U493" s="194"/>
      <c r="V493" s="194"/>
      <c r="W493" s="194"/>
      <c r="X493" s="194"/>
      <c r="Y493" s="194"/>
      <c r="Z493" s="194"/>
      <c r="AA493" s="194"/>
      <c r="AB493" s="194"/>
      <c r="AC493" s="194"/>
      <c r="AD493" s="194"/>
      <c r="AE493" s="195"/>
      <c r="AF493" s="195"/>
      <c r="AG493" s="195"/>
      <c r="AH493" s="195"/>
    </row>
    <row r="494" customHeight="1" spans="1:34">
      <c r="A494" s="314" t="s">
        <v>8</v>
      </c>
      <c r="B494" s="327" t="s">
        <v>880</v>
      </c>
      <c r="C494" s="328"/>
      <c r="D494" s="317"/>
      <c r="E494" s="326"/>
      <c r="F494" s="326"/>
      <c r="G494" s="329">
        <f>G495+G501</f>
        <v>518.5751928</v>
      </c>
      <c r="H494" s="193"/>
      <c r="I494" s="193"/>
      <c r="J494" s="193"/>
      <c r="K494" s="193"/>
      <c r="L494" s="193"/>
      <c r="M494" s="193"/>
      <c r="N494" s="193"/>
      <c r="O494" s="193"/>
      <c r="S494" s="194"/>
      <c r="T494" s="194"/>
      <c r="U494" s="194"/>
      <c r="V494" s="194"/>
      <c r="W494" s="194"/>
      <c r="X494" s="194"/>
      <c r="Y494" s="194"/>
      <c r="Z494" s="194"/>
      <c r="AA494" s="194"/>
      <c r="AB494" s="194"/>
      <c r="AC494" s="194"/>
      <c r="AD494" s="194"/>
      <c r="AE494" s="195"/>
      <c r="AF494" s="195"/>
      <c r="AG494" s="195"/>
      <c r="AH494" s="195"/>
    </row>
    <row r="495" customHeight="1" spans="1:34">
      <c r="A495" s="314" t="s">
        <v>881</v>
      </c>
      <c r="B495" s="327" t="s">
        <v>882</v>
      </c>
      <c r="C495" s="328"/>
      <c r="D495" s="317"/>
      <c r="E495" s="326"/>
      <c r="F495" s="326"/>
      <c r="G495" s="329">
        <f>G496+G499</f>
        <v>487.3827</v>
      </c>
      <c r="H495" s="193"/>
      <c r="I495" s="193"/>
      <c r="J495" s="193"/>
      <c r="K495" s="193"/>
      <c r="L495" s="193"/>
      <c r="M495" s="193"/>
      <c r="N495" s="193"/>
      <c r="O495" s="193"/>
      <c r="S495" s="194"/>
      <c r="T495" s="194"/>
      <c r="U495" s="194"/>
      <c r="V495" s="194"/>
      <c r="W495" s="194"/>
      <c r="X495" s="194"/>
      <c r="Y495" s="194"/>
      <c r="Z495" s="194"/>
      <c r="AA495" s="194"/>
      <c r="AB495" s="194"/>
      <c r="AC495" s="194"/>
      <c r="AD495" s="194"/>
      <c r="AE495" s="195"/>
      <c r="AF495" s="195"/>
      <c r="AG495" s="195"/>
      <c r="AH495" s="195"/>
    </row>
    <row r="496" customHeight="1" spans="1:34">
      <c r="A496" s="314" t="s">
        <v>17</v>
      </c>
      <c r="B496" s="327" t="s">
        <v>510</v>
      </c>
      <c r="C496" s="328"/>
      <c r="D496" s="317"/>
      <c r="E496" s="326"/>
      <c r="F496" s="326"/>
      <c r="G496" s="329">
        <f>SUM(G497:G498)</f>
        <v>464.174</v>
      </c>
      <c r="H496" s="193"/>
      <c r="I496" s="193"/>
      <c r="J496" s="193"/>
      <c r="K496" s="193"/>
      <c r="L496" s="193"/>
      <c r="M496" s="193"/>
      <c r="N496" s="193"/>
      <c r="O496" s="193"/>
      <c r="S496" s="194"/>
      <c r="T496" s="194"/>
      <c r="U496" s="194"/>
      <c r="V496" s="194"/>
      <c r="W496" s="194"/>
      <c r="X496" s="194"/>
      <c r="Y496" s="194"/>
      <c r="Z496" s="194"/>
      <c r="AA496" s="194"/>
      <c r="AB496" s="194"/>
      <c r="AC496" s="194"/>
      <c r="AD496" s="194"/>
      <c r="AE496" s="195"/>
      <c r="AF496" s="195"/>
      <c r="AG496" s="195"/>
      <c r="AH496" s="195"/>
    </row>
    <row r="497" customHeight="1" spans="1:34">
      <c r="A497" s="314"/>
      <c r="B497" s="327" t="s">
        <v>704</v>
      </c>
      <c r="C497" s="328"/>
      <c r="D497" s="317" t="s">
        <v>705</v>
      </c>
      <c r="E497" s="330">
        <v>1.6</v>
      </c>
      <c r="F497" s="330">
        <f>主要材料预算!D19</f>
        <v>8.1</v>
      </c>
      <c r="G497" s="329">
        <f t="shared" ref="G497:G505" si="35">E497*F497</f>
        <v>12.96</v>
      </c>
      <c r="H497" s="193"/>
      <c r="I497" s="193"/>
      <c r="J497" s="193"/>
      <c r="K497" s="193"/>
      <c r="L497" s="193"/>
      <c r="M497" s="193"/>
      <c r="N497" s="193"/>
      <c r="O497" s="193"/>
      <c r="S497" s="194"/>
      <c r="T497" s="194"/>
      <c r="U497" s="194"/>
      <c r="V497" s="194"/>
      <c r="W497" s="194"/>
      <c r="X497" s="194"/>
      <c r="Y497" s="194"/>
      <c r="Z497" s="194"/>
      <c r="AA497" s="194"/>
      <c r="AB497" s="194"/>
      <c r="AC497" s="194"/>
      <c r="AD497" s="194"/>
      <c r="AE497" s="195"/>
      <c r="AF497" s="195"/>
      <c r="AG497" s="195"/>
      <c r="AH497" s="195"/>
    </row>
    <row r="498" customHeight="1" spans="1:34">
      <c r="A498" s="314"/>
      <c r="B498" s="327" t="s">
        <v>706</v>
      </c>
      <c r="C498" s="328"/>
      <c r="D498" s="317" t="s">
        <v>705</v>
      </c>
      <c r="E498" s="330">
        <v>78.2</v>
      </c>
      <c r="F498" s="326">
        <f>主要材料预算!D20</f>
        <v>5.77</v>
      </c>
      <c r="G498" s="329">
        <f t="shared" si="35"/>
        <v>451.214</v>
      </c>
      <c r="H498" s="193"/>
      <c r="I498" s="193"/>
      <c r="J498" s="193"/>
      <c r="K498" s="193"/>
      <c r="L498" s="193"/>
      <c r="M498" s="193"/>
      <c r="N498" s="193"/>
      <c r="O498" s="193"/>
      <c r="S498" s="194"/>
      <c r="T498" s="194"/>
      <c r="U498" s="194"/>
      <c r="V498" s="194"/>
      <c r="W498" s="194"/>
      <c r="X498" s="194"/>
      <c r="Y498" s="194"/>
      <c r="Z498" s="194"/>
      <c r="AA498" s="194"/>
      <c r="AB498" s="194"/>
      <c r="AC498" s="194"/>
      <c r="AD498" s="194"/>
      <c r="AE498" s="195"/>
      <c r="AF498" s="195"/>
      <c r="AG498" s="195"/>
      <c r="AH498" s="195"/>
    </row>
    <row r="499" customHeight="1" spans="1:34">
      <c r="A499" s="314" t="s">
        <v>19</v>
      </c>
      <c r="B499" s="327" t="s">
        <v>511</v>
      </c>
      <c r="C499" s="328"/>
      <c r="D499" s="317"/>
      <c r="E499" s="326"/>
      <c r="F499" s="326"/>
      <c r="G499" s="329">
        <f>G500</f>
        <v>23.2087</v>
      </c>
      <c r="H499" s="193"/>
      <c r="I499" s="193"/>
      <c r="J499" s="193"/>
      <c r="K499" s="193"/>
      <c r="L499" s="193"/>
      <c r="M499" s="193"/>
      <c r="N499" s="193"/>
      <c r="O499" s="193"/>
      <c r="S499" s="194"/>
      <c r="T499" s="194"/>
      <c r="U499" s="194"/>
      <c r="V499" s="194"/>
      <c r="W499" s="194"/>
      <c r="X499" s="194"/>
      <c r="Y499" s="194"/>
      <c r="Z499" s="194"/>
      <c r="AA499" s="194"/>
      <c r="AB499" s="194"/>
      <c r="AC499" s="194"/>
      <c r="AD499" s="194"/>
      <c r="AE499" s="195"/>
      <c r="AF499" s="195"/>
      <c r="AG499" s="195"/>
      <c r="AH499" s="195"/>
    </row>
    <row r="500" customHeight="1" spans="1:34">
      <c r="A500" s="314"/>
      <c r="B500" s="327" t="s">
        <v>1008</v>
      </c>
      <c r="C500" s="328"/>
      <c r="D500" s="317" t="s">
        <v>894</v>
      </c>
      <c r="E500" s="147">
        <f>G496</f>
        <v>464.174</v>
      </c>
      <c r="F500" s="331">
        <v>5</v>
      </c>
      <c r="G500" s="329">
        <f>E500*F500/100</f>
        <v>23.2087</v>
      </c>
      <c r="H500" s="193"/>
      <c r="I500" s="193"/>
      <c r="J500" s="193"/>
      <c r="K500" s="193"/>
      <c r="L500" s="193"/>
      <c r="M500" s="193"/>
      <c r="N500" s="193"/>
      <c r="O500" s="193"/>
      <c r="S500" s="194"/>
      <c r="T500" s="194"/>
      <c r="U500" s="194"/>
      <c r="V500" s="194"/>
      <c r="W500" s="194"/>
      <c r="X500" s="194"/>
      <c r="Y500" s="194"/>
      <c r="Z500" s="194"/>
      <c r="AA500" s="194"/>
      <c r="AB500" s="194"/>
      <c r="AC500" s="194"/>
      <c r="AD500" s="194"/>
      <c r="AE500" s="195"/>
      <c r="AF500" s="195"/>
      <c r="AG500" s="195"/>
      <c r="AH500" s="195"/>
    </row>
    <row r="501" customHeight="1" spans="1:34">
      <c r="A501" s="314" t="s">
        <v>905</v>
      </c>
      <c r="B501" s="327" t="s">
        <v>514</v>
      </c>
      <c r="C501" s="328"/>
      <c r="D501" s="317"/>
      <c r="E501" s="332">
        <f>G495</f>
        <v>487.3827</v>
      </c>
      <c r="F501" s="333">
        <f>费率表!$C$12</f>
        <v>0.064</v>
      </c>
      <c r="G501" s="329">
        <f t="shared" si="35"/>
        <v>31.1924928</v>
      </c>
      <c r="H501" s="193"/>
      <c r="I501" s="193"/>
      <c r="J501" s="193"/>
      <c r="K501" s="193"/>
      <c r="L501" s="193"/>
      <c r="M501" s="193"/>
      <c r="N501" s="193"/>
      <c r="O501" s="193"/>
      <c r="S501" s="194"/>
      <c r="T501" s="194"/>
      <c r="U501" s="194"/>
      <c r="V501" s="194"/>
      <c r="W501" s="194"/>
      <c r="X501" s="194"/>
      <c r="Y501" s="194"/>
      <c r="Z501" s="194"/>
      <c r="AA501" s="194"/>
      <c r="AB501" s="194"/>
      <c r="AC501" s="194"/>
      <c r="AD501" s="194"/>
      <c r="AE501" s="195"/>
      <c r="AF501" s="195"/>
      <c r="AG501" s="195"/>
      <c r="AH501" s="195"/>
    </row>
    <row r="502" customHeight="1" spans="1:34">
      <c r="A502" s="314" t="s">
        <v>10</v>
      </c>
      <c r="B502" s="327" t="s">
        <v>770</v>
      </c>
      <c r="C502" s="328"/>
      <c r="D502" s="317"/>
      <c r="E502" s="326">
        <f>G494</f>
        <v>518.5751928</v>
      </c>
      <c r="F502" s="334">
        <f>费率表!$C$13</f>
        <v>0.05</v>
      </c>
      <c r="G502" s="329">
        <f t="shared" si="35"/>
        <v>25.92875964</v>
      </c>
      <c r="H502" s="193"/>
      <c r="I502" s="193"/>
      <c r="J502" s="193"/>
      <c r="K502" s="193"/>
      <c r="L502" s="193"/>
      <c r="M502" s="193"/>
      <c r="N502" s="193"/>
      <c r="O502" s="193"/>
      <c r="S502" s="194"/>
      <c r="T502" s="194"/>
      <c r="U502" s="194"/>
      <c r="V502" s="194"/>
      <c r="W502" s="194"/>
      <c r="X502" s="194"/>
      <c r="Y502" s="194"/>
      <c r="Z502" s="194"/>
      <c r="AA502" s="194"/>
      <c r="AB502" s="194"/>
      <c r="AC502" s="194"/>
      <c r="AD502" s="194"/>
      <c r="AE502" s="195"/>
      <c r="AF502" s="195"/>
      <c r="AG502" s="195"/>
      <c r="AH502" s="195"/>
    </row>
    <row r="503" customHeight="1" spans="1:34">
      <c r="A503" s="314" t="s">
        <v>12</v>
      </c>
      <c r="B503" s="327" t="s">
        <v>771</v>
      </c>
      <c r="C503" s="328"/>
      <c r="D503" s="317"/>
      <c r="E503" s="326">
        <f>G494+G502</f>
        <v>544.50395244</v>
      </c>
      <c r="F503" s="334">
        <f>费率表!$C$14</f>
        <v>0.07</v>
      </c>
      <c r="G503" s="329">
        <f t="shared" si="35"/>
        <v>38.1152766708</v>
      </c>
      <c r="H503" s="193"/>
      <c r="I503" s="193"/>
      <c r="J503" s="193"/>
      <c r="K503" s="193"/>
      <c r="L503" s="193"/>
      <c r="M503" s="193"/>
      <c r="N503" s="193"/>
      <c r="O503" s="193"/>
      <c r="S503" s="194"/>
      <c r="T503" s="194"/>
      <c r="U503" s="194"/>
      <c r="V503" s="194"/>
      <c r="W503" s="194"/>
      <c r="X503" s="194"/>
      <c r="Y503" s="194"/>
      <c r="Z503" s="194"/>
      <c r="AA503" s="194"/>
      <c r="AB503" s="194"/>
      <c r="AC503" s="194"/>
      <c r="AD503" s="194"/>
      <c r="AE503" s="195"/>
      <c r="AF503" s="195"/>
      <c r="AG503" s="195"/>
      <c r="AH503" s="195"/>
    </row>
    <row r="504" customHeight="1" spans="1:34">
      <c r="A504" s="314" t="s">
        <v>15</v>
      </c>
      <c r="B504" s="327" t="s">
        <v>772</v>
      </c>
      <c r="C504" s="328"/>
      <c r="D504" s="317"/>
      <c r="E504" s="326">
        <f>G494+G502++G503</f>
        <v>582.6192291108</v>
      </c>
      <c r="F504" s="334">
        <f>费率表!$C$15</f>
        <v>0.09</v>
      </c>
      <c r="G504" s="329">
        <f t="shared" si="35"/>
        <v>52.435730619972</v>
      </c>
      <c r="H504" s="193"/>
      <c r="I504" s="193"/>
      <c r="J504" s="193"/>
      <c r="K504" s="193"/>
      <c r="L504" s="193"/>
      <c r="M504" s="193"/>
      <c r="N504" s="193"/>
      <c r="O504" s="193"/>
      <c r="S504" s="194"/>
      <c r="T504" s="194"/>
      <c r="U504" s="194"/>
      <c r="V504" s="194"/>
      <c r="W504" s="194"/>
      <c r="X504" s="194"/>
      <c r="Y504" s="194"/>
      <c r="Z504" s="194"/>
      <c r="AA504" s="194"/>
      <c r="AB504" s="194"/>
      <c r="AC504" s="194"/>
      <c r="AD504" s="194"/>
      <c r="AE504" s="195"/>
      <c r="AF504" s="195"/>
      <c r="AG504" s="195"/>
      <c r="AH504" s="195"/>
    </row>
    <row r="505" customHeight="1" spans="1:34">
      <c r="A505" s="314"/>
      <c r="B505" s="327" t="s">
        <v>907</v>
      </c>
      <c r="C505" s="328"/>
      <c r="D505" s="317"/>
      <c r="E505" s="326">
        <f>G494+G502+G503+G504</f>
        <v>635.054959730772</v>
      </c>
      <c r="F505" s="334">
        <f>费率表!$I$19</f>
        <v>0.03</v>
      </c>
      <c r="G505" s="329">
        <f t="shared" si="35"/>
        <v>19.0516487919232</v>
      </c>
      <c r="H505" s="193"/>
      <c r="I505" s="193"/>
      <c r="J505" s="193"/>
      <c r="K505" s="193"/>
      <c r="L505" s="193"/>
      <c r="M505" s="193"/>
      <c r="N505" s="193"/>
      <c r="O505" s="193"/>
      <c r="S505" s="194"/>
      <c r="T505" s="194"/>
      <c r="U505" s="194"/>
      <c r="V505" s="194"/>
      <c r="W505" s="194"/>
      <c r="X505" s="194"/>
      <c r="Y505" s="194"/>
      <c r="Z505" s="194"/>
      <c r="AA505" s="194"/>
      <c r="AB505" s="194"/>
      <c r="AC505" s="194"/>
      <c r="AD505" s="194"/>
      <c r="AE505" s="195"/>
      <c r="AF505" s="195"/>
      <c r="AG505" s="195"/>
      <c r="AH505" s="195"/>
    </row>
    <row r="506" customHeight="1" spans="1:34">
      <c r="A506" s="335"/>
      <c r="B506" s="336" t="s">
        <v>39</v>
      </c>
      <c r="C506" s="337"/>
      <c r="D506" s="338"/>
      <c r="E506" s="339"/>
      <c r="F506" s="338"/>
      <c r="G506" s="340">
        <f>G494+G502+G503+G504+G505</f>
        <v>654.106608522695</v>
      </c>
      <c r="H506" s="193"/>
      <c r="I506" s="193"/>
      <c r="J506" s="193"/>
      <c r="K506" s="193"/>
      <c r="L506" s="193"/>
      <c r="M506" s="193"/>
      <c r="N506" s="193"/>
      <c r="O506" s="193"/>
      <c r="S506" s="194"/>
      <c r="T506" s="194"/>
      <c r="U506" s="194"/>
      <c r="V506" s="194"/>
      <c r="W506" s="194"/>
      <c r="X506" s="194"/>
      <c r="Y506" s="194"/>
      <c r="Z506" s="194"/>
      <c r="AA506" s="194"/>
      <c r="AB506" s="194"/>
      <c r="AC506" s="194"/>
      <c r="AD506" s="194"/>
      <c r="AE506" s="195"/>
      <c r="AF506" s="195"/>
      <c r="AG506" s="195"/>
      <c r="AH506" s="195"/>
    </row>
    <row r="507" customHeight="1" spans="1:34">
      <c r="H507" s="193"/>
      <c r="I507" s="193"/>
      <c r="J507" s="193"/>
      <c r="K507" s="193"/>
      <c r="L507" s="193"/>
      <c r="M507" s="193"/>
      <c r="N507" s="193"/>
      <c r="O507" s="193"/>
      <c r="S507" s="194"/>
      <c r="T507" s="194"/>
      <c r="U507" s="194"/>
      <c r="V507" s="194"/>
      <c r="W507" s="194"/>
      <c r="X507" s="194"/>
      <c r="Y507" s="194"/>
      <c r="Z507" s="194"/>
      <c r="AA507" s="194"/>
      <c r="AB507" s="194"/>
      <c r="AC507" s="194"/>
      <c r="AD507" s="194"/>
      <c r="AE507" s="195"/>
      <c r="AF507" s="195"/>
      <c r="AG507" s="195"/>
      <c r="AH507" s="195"/>
    </row>
    <row r="508" customHeight="1" spans="1:34">
      <c r="A508" s="308" t="s">
        <v>868</v>
      </c>
      <c r="B508" s="308"/>
      <c r="C508" s="308"/>
      <c r="D508" s="308"/>
      <c r="E508" s="308"/>
      <c r="F508" s="308"/>
      <c r="G508" s="308"/>
      <c r="H508" s="193"/>
      <c r="I508" s="193"/>
      <c r="J508" s="193"/>
      <c r="K508" s="193"/>
      <c r="L508" s="193"/>
      <c r="M508" s="193"/>
      <c r="N508" s="193"/>
      <c r="O508" s="193"/>
      <c r="S508" s="194"/>
      <c r="T508" s="194"/>
      <c r="U508" s="194"/>
      <c r="V508" s="194"/>
      <c r="W508" s="194"/>
      <c r="X508" s="194"/>
      <c r="Y508" s="194"/>
      <c r="Z508" s="194"/>
      <c r="AA508" s="194"/>
      <c r="AB508" s="194"/>
      <c r="AC508" s="194"/>
      <c r="AD508" s="194"/>
      <c r="AE508" s="195"/>
      <c r="AF508" s="195"/>
      <c r="AG508" s="195"/>
      <c r="AH508" s="195"/>
    </row>
    <row r="509" customHeight="1" spans="1:34">
      <c r="A509" s="309" t="s">
        <v>869</v>
      </c>
      <c r="B509" s="310"/>
      <c r="C509" s="310" t="s">
        <v>202</v>
      </c>
      <c r="D509" s="310" t="s">
        <v>870</v>
      </c>
      <c r="E509" s="311" t="s">
        <v>1289</v>
      </c>
      <c r="F509" s="312"/>
      <c r="G509" s="313"/>
      <c r="H509" s="193"/>
      <c r="I509" s="193"/>
      <c r="J509" s="193"/>
      <c r="K509" s="193"/>
      <c r="L509" s="193"/>
      <c r="M509" s="193"/>
      <c r="N509" s="193"/>
      <c r="O509" s="193"/>
      <c r="S509" s="194"/>
      <c r="T509" s="194"/>
      <c r="U509" s="194"/>
      <c r="V509" s="194"/>
      <c r="W509" s="194"/>
      <c r="X509" s="194"/>
      <c r="Y509" s="194"/>
      <c r="Z509" s="194"/>
      <c r="AA509" s="194"/>
      <c r="AB509" s="194"/>
      <c r="AC509" s="194"/>
      <c r="AD509" s="194"/>
      <c r="AE509" s="195"/>
      <c r="AF509" s="195"/>
      <c r="AG509" s="195"/>
      <c r="AH509" s="195"/>
    </row>
    <row r="510" customHeight="1" spans="1:34">
      <c r="A510" s="314" t="s">
        <v>507</v>
      </c>
      <c r="B510" s="315"/>
      <c r="C510" s="316" t="s">
        <v>1290</v>
      </c>
      <c r="D510" s="316"/>
      <c r="E510" s="316"/>
      <c r="F510" s="317" t="s">
        <v>873</v>
      </c>
      <c r="G510" s="318" t="s">
        <v>874</v>
      </c>
      <c r="H510" s="193"/>
      <c r="I510" s="193"/>
      <c r="J510" s="193"/>
      <c r="K510" s="193"/>
      <c r="L510" s="193"/>
      <c r="M510" s="193"/>
      <c r="N510" s="193"/>
      <c r="O510" s="193"/>
      <c r="S510" s="194"/>
      <c r="T510" s="194"/>
      <c r="U510" s="194"/>
      <c r="V510" s="194"/>
      <c r="W510" s="194"/>
      <c r="X510" s="194"/>
      <c r="Y510" s="194"/>
      <c r="Z510" s="194"/>
      <c r="AA510" s="194"/>
      <c r="AB510" s="194"/>
      <c r="AC510" s="194"/>
      <c r="AD510" s="194"/>
      <c r="AE510" s="195"/>
      <c r="AF510" s="195"/>
      <c r="AG510" s="195"/>
      <c r="AH510" s="195"/>
    </row>
    <row r="511" customHeight="1" spans="1:34">
      <c r="A511" s="319" t="s">
        <v>875</v>
      </c>
      <c r="B511" s="320"/>
      <c r="C511" s="320"/>
      <c r="D511" s="320"/>
      <c r="E511" s="320"/>
      <c r="F511" s="320"/>
      <c r="G511" s="321"/>
      <c r="H511" s="193"/>
      <c r="I511" s="193"/>
      <c r="J511" s="193"/>
      <c r="K511" s="193"/>
      <c r="L511" s="193"/>
      <c r="M511" s="193"/>
      <c r="N511" s="193"/>
      <c r="O511" s="193"/>
      <c r="S511" s="194"/>
      <c r="T511" s="194"/>
      <c r="U511" s="194"/>
      <c r="V511" s="194"/>
      <c r="W511" s="194"/>
      <c r="X511" s="194"/>
      <c r="Y511" s="194"/>
      <c r="Z511" s="194"/>
      <c r="AA511" s="194"/>
      <c r="AB511" s="194"/>
      <c r="AC511" s="194"/>
      <c r="AD511" s="194"/>
      <c r="AE511" s="195"/>
      <c r="AF511" s="195"/>
      <c r="AG511" s="195"/>
      <c r="AH511" s="195"/>
    </row>
    <row r="512" customHeight="1" spans="1:34">
      <c r="A512" s="322" t="s">
        <v>1291</v>
      </c>
      <c r="B512" s="323"/>
      <c r="C512" s="324"/>
      <c r="D512" s="324"/>
      <c r="E512" s="324"/>
      <c r="F512" s="324"/>
      <c r="G512" s="325"/>
      <c r="H512" s="193"/>
      <c r="I512" s="193"/>
      <c r="J512" s="193"/>
      <c r="K512" s="193"/>
      <c r="L512" s="193"/>
      <c r="M512" s="193"/>
      <c r="N512" s="193"/>
      <c r="O512" s="193"/>
      <c r="S512" s="194"/>
      <c r="T512" s="194"/>
      <c r="U512" s="194"/>
      <c r="V512" s="194"/>
      <c r="W512" s="194"/>
      <c r="X512" s="194"/>
      <c r="Y512" s="194"/>
      <c r="Z512" s="194"/>
      <c r="AA512" s="194"/>
      <c r="AB512" s="194"/>
      <c r="AC512" s="194"/>
      <c r="AD512" s="194"/>
      <c r="AE512" s="195"/>
      <c r="AF512" s="195"/>
      <c r="AG512" s="195"/>
      <c r="AH512" s="195"/>
    </row>
    <row r="513" customHeight="1" spans="1:34">
      <c r="A513" s="314" t="s">
        <v>34</v>
      </c>
      <c r="B513" s="317" t="s">
        <v>761</v>
      </c>
      <c r="C513" s="317"/>
      <c r="D513" s="317" t="s">
        <v>60</v>
      </c>
      <c r="E513" s="326" t="s">
        <v>877</v>
      </c>
      <c r="F513" s="317" t="s">
        <v>878</v>
      </c>
      <c r="G513" s="318" t="s">
        <v>879</v>
      </c>
      <c r="H513" s="193"/>
      <c r="I513" s="193"/>
      <c r="J513" s="193"/>
      <c r="K513" s="193"/>
      <c r="L513" s="193"/>
      <c r="M513" s="193"/>
      <c r="N513" s="193"/>
      <c r="O513" s="193"/>
      <c r="S513" s="194"/>
      <c r="T513" s="194"/>
      <c r="U513" s="194"/>
      <c r="V513" s="194"/>
      <c r="W513" s="194"/>
      <c r="X513" s="194"/>
      <c r="Y513" s="194"/>
      <c r="Z513" s="194"/>
      <c r="AA513" s="194"/>
      <c r="AB513" s="194"/>
      <c r="AC513" s="194"/>
      <c r="AD513" s="194"/>
      <c r="AE513" s="195"/>
      <c r="AF513" s="195"/>
      <c r="AG513" s="195"/>
      <c r="AH513" s="195"/>
    </row>
    <row r="514" customHeight="1" spans="1:34">
      <c r="A514" s="314" t="s">
        <v>8</v>
      </c>
      <c r="B514" s="327" t="s">
        <v>880</v>
      </c>
      <c r="C514" s="328"/>
      <c r="D514" s="317"/>
      <c r="E514" s="326"/>
      <c r="F514" s="326"/>
      <c r="G514" s="329">
        <f>G515+G523</f>
        <v>1863.42236122665</v>
      </c>
      <c r="H514" s="193"/>
      <c r="I514" s="193"/>
      <c r="J514" s="193"/>
      <c r="K514" s="193"/>
      <c r="L514" s="193"/>
      <c r="M514" s="193"/>
      <c r="N514" s="193"/>
      <c r="O514" s="193"/>
      <c r="S514" s="194"/>
      <c r="T514" s="194"/>
      <c r="U514" s="194"/>
      <c r="V514" s="194"/>
      <c r="W514" s="194"/>
      <c r="X514" s="194"/>
      <c r="Y514" s="194"/>
      <c r="Z514" s="194"/>
      <c r="AA514" s="194"/>
      <c r="AB514" s="194"/>
      <c r="AC514" s="194"/>
      <c r="AD514" s="194"/>
      <c r="AE514" s="195"/>
      <c r="AF514" s="195"/>
      <c r="AG514" s="195"/>
      <c r="AH514" s="195"/>
    </row>
    <row r="515" customHeight="1" spans="1:34">
      <c r="A515" s="314" t="s">
        <v>881</v>
      </c>
      <c r="B515" s="327" t="s">
        <v>882</v>
      </c>
      <c r="C515" s="328"/>
      <c r="D515" s="317"/>
      <c r="E515" s="326"/>
      <c r="F515" s="326"/>
      <c r="G515" s="329">
        <f>G516+G519+G521</f>
        <v>1751.33680566414</v>
      </c>
      <c r="H515" s="193"/>
      <c r="I515" s="193"/>
      <c r="J515" s="193"/>
      <c r="K515" s="193"/>
      <c r="L515" s="193"/>
      <c r="M515" s="193"/>
      <c r="N515" s="193"/>
      <c r="O515" s="193"/>
      <c r="S515" s="194"/>
      <c r="T515" s="194"/>
      <c r="U515" s="194"/>
      <c r="V515" s="194"/>
      <c r="W515" s="194"/>
      <c r="X515" s="194"/>
      <c r="Y515" s="194"/>
      <c r="Z515" s="194"/>
      <c r="AA515" s="194"/>
      <c r="AB515" s="194"/>
      <c r="AC515" s="194"/>
      <c r="AD515" s="194"/>
      <c r="AE515" s="195"/>
      <c r="AF515" s="195"/>
      <c r="AG515" s="195"/>
      <c r="AH515" s="195"/>
    </row>
    <row r="516" customHeight="1" spans="1:34">
      <c r="A516" s="314" t="s">
        <v>17</v>
      </c>
      <c r="B516" s="327" t="s">
        <v>510</v>
      </c>
      <c r="C516" s="328"/>
      <c r="D516" s="317"/>
      <c r="E516" s="326"/>
      <c r="F516" s="326"/>
      <c r="G516" s="329">
        <f>SUM(G517:G518)</f>
        <v>1343.588</v>
      </c>
      <c r="H516" s="193"/>
      <c r="I516" s="193"/>
      <c r="J516" s="193"/>
      <c r="K516" s="193"/>
      <c r="L516" s="193"/>
      <c r="M516" s="193"/>
      <c r="N516" s="193"/>
      <c r="O516" s="193"/>
      <c r="S516" s="194"/>
      <c r="T516" s="194"/>
      <c r="U516" s="194"/>
      <c r="V516" s="194"/>
      <c r="W516" s="194"/>
      <c r="X516" s="194"/>
      <c r="Y516" s="194"/>
      <c r="Z516" s="194"/>
      <c r="AA516" s="194"/>
      <c r="AB516" s="194"/>
      <c r="AC516" s="194"/>
      <c r="AD516" s="194"/>
      <c r="AE516" s="195"/>
      <c r="AF516" s="195"/>
      <c r="AG516" s="195"/>
      <c r="AH516" s="195"/>
    </row>
    <row r="517" customHeight="1" spans="1:34">
      <c r="A517" s="314"/>
      <c r="B517" s="327" t="s">
        <v>704</v>
      </c>
      <c r="C517" s="328"/>
      <c r="D517" s="317" t="s">
        <v>705</v>
      </c>
      <c r="E517" s="330">
        <v>4.6</v>
      </c>
      <c r="F517" s="330">
        <f>主要材料预算!$D$19</f>
        <v>8.1</v>
      </c>
      <c r="G517" s="329">
        <f>E517*F517</f>
        <v>37.26</v>
      </c>
      <c r="H517" s="193"/>
      <c r="I517" s="193"/>
      <c r="J517" s="193"/>
      <c r="K517" s="193"/>
      <c r="L517" s="193"/>
      <c r="M517" s="193"/>
      <c r="N517" s="193"/>
      <c r="O517" s="193"/>
      <c r="S517" s="194"/>
      <c r="T517" s="194"/>
      <c r="U517" s="194"/>
      <c r="V517" s="194"/>
      <c r="W517" s="194"/>
      <c r="X517" s="194"/>
      <c r="Y517" s="194"/>
      <c r="Z517" s="194"/>
      <c r="AA517" s="194"/>
      <c r="AB517" s="194"/>
      <c r="AC517" s="194"/>
      <c r="AD517" s="194"/>
      <c r="AE517" s="195"/>
      <c r="AF517" s="195"/>
      <c r="AG517" s="195"/>
      <c r="AH517" s="195"/>
    </row>
    <row r="518" customHeight="1" spans="1:34">
      <c r="A518" s="314"/>
      <c r="B518" s="327" t="s">
        <v>706</v>
      </c>
      <c r="C518" s="328"/>
      <c r="D518" s="317" t="s">
        <v>705</v>
      </c>
      <c r="E518" s="330">
        <v>226.4</v>
      </c>
      <c r="F518" s="326">
        <f>主要材料预算!$D$20</f>
        <v>5.77</v>
      </c>
      <c r="G518" s="329">
        <f>E518*F518</f>
        <v>1306.328</v>
      </c>
      <c r="H518" s="193"/>
      <c r="I518" s="193"/>
      <c r="J518" s="193"/>
      <c r="K518" s="193"/>
      <c r="L518" s="193"/>
      <c r="M518" s="193"/>
      <c r="N518" s="193"/>
      <c r="O518" s="193"/>
      <c r="S518" s="194"/>
      <c r="T518" s="194"/>
      <c r="U518" s="194"/>
      <c r="V518" s="194"/>
      <c r="W518" s="194"/>
      <c r="X518" s="194"/>
      <c r="Y518" s="194"/>
      <c r="Z518" s="194"/>
      <c r="AA518" s="194"/>
      <c r="AB518" s="194"/>
      <c r="AC518" s="194"/>
      <c r="AD518" s="194"/>
      <c r="AE518" s="195"/>
      <c r="AF518" s="195"/>
      <c r="AG518" s="195"/>
      <c r="AH518" s="195"/>
    </row>
    <row r="519" customHeight="1" spans="1:34">
      <c r="A519" s="314" t="s">
        <v>19</v>
      </c>
      <c r="B519" s="327" t="s">
        <v>511</v>
      </c>
      <c r="C519" s="328"/>
      <c r="D519" s="317"/>
      <c r="E519" s="326"/>
      <c r="F519" s="326"/>
      <c r="G519" s="329">
        <f>G520</f>
        <v>83.3969907459115</v>
      </c>
      <c r="H519" s="193"/>
      <c r="I519" s="193"/>
      <c r="J519" s="193"/>
      <c r="K519" s="193"/>
      <c r="L519" s="193"/>
      <c r="M519" s="193"/>
      <c r="N519" s="193"/>
      <c r="O519" s="193"/>
      <c r="S519" s="194"/>
      <c r="T519" s="194"/>
      <c r="U519" s="194"/>
      <c r="V519" s="194"/>
      <c r="W519" s="194"/>
      <c r="X519" s="194"/>
      <c r="Y519" s="194"/>
      <c r="Z519" s="194"/>
      <c r="AA519" s="194"/>
      <c r="AB519" s="194"/>
      <c r="AC519" s="194"/>
      <c r="AD519" s="194"/>
      <c r="AE519" s="195"/>
      <c r="AF519" s="195"/>
      <c r="AG519" s="195"/>
      <c r="AH519" s="195"/>
    </row>
    <row r="520" customHeight="1" spans="1:34">
      <c r="A520" s="314"/>
      <c r="B520" s="327" t="s">
        <v>1008</v>
      </c>
      <c r="C520" s="328"/>
      <c r="D520" s="317" t="s">
        <v>894</v>
      </c>
      <c r="E520" s="147">
        <f>G516+G521</f>
        <v>1667.93981491823</v>
      </c>
      <c r="F520" s="331">
        <v>5</v>
      </c>
      <c r="G520" s="329">
        <f>E520*F520/100</f>
        <v>83.3969907459115</v>
      </c>
      <c r="H520" s="193"/>
      <c r="I520" s="193"/>
      <c r="J520" s="193"/>
      <c r="K520" s="193"/>
      <c r="L520" s="193"/>
      <c r="M520" s="193"/>
      <c r="N520" s="193"/>
      <c r="O520" s="193"/>
      <c r="S520" s="194"/>
      <c r="T520" s="194"/>
      <c r="U520" s="194"/>
      <c r="V520" s="194"/>
      <c r="W520" s="194"/>
      <c r="X520" s="194"/>
      <c r="Y520" s="194"/>
      <c r="Z520" s="194"/>
      <c r="AA520" s="194"/>
      <c r="AB520" s="194"/>
      <c r="AC520" s="194"/>
      <c r="AD520" s="194"/>
      <c r="AE520" s="195"/>
      <c r="AF520" s="195"/>
      <c r="AG520" s="195"/>
      <c r="AH520" s="195"/>
    </row>
    <row r="521" customHeight="1" spans="1:34">
      <c r="A521" s="314" t="s">
        <v>21</v>
      </c>
      <c r="B521" s="327" t="s">
        <v>895</v>
      </c>
      <c r="C521" s="328"/>
      <c r="D521" s="317"/>
      <c r="E521" s="147"/>
      <c r="F521" s="326"/>
      <c r="G521" s="329">
        <f>G522</f>
        <v>324.351814918229</v>
      </c>
      <c r="H521" s="193"/>
      <c r="I521" s="193"/>
      <c r="J521" s="193"/>
      <c r="K521" s="193"/>
      <c r="L521" s="193"/>
      <c r="M521" s="193"/>
      <c r="N521" s="193"/>
      <c r="O521" s="193"/>
      <c r="S521" s="194"/>
      <c r="T521" s="194"/>
      <c r="U521" s="194"/>
      <c r="V521" s="194"/>
      <c r="W521" s="194"/>
      <c r="X521" s="194"/>
      <c r="Y521" s="194"/>
      <c r="Z521" s="194"/>
      <c r="AA521" s="194"/>
      <c r="AB521" s="194"/>
      <c r="AC521" s="194"/>
      <c r="AD521" s="194"/>
      <c r="AE521" s="195"/>
      <c r="AF521" s="195"/>
      <c r="AG521" s="195"/>
      <c r="AH521" s="195"/>
    </row>
    <row r="522" customHeight="1" spans="1:34">
      <c r="A522" s="314"/>
      <c r="B522" s="327" t="s">
        <v>1279</v>
      </c>
      <c r="C522" s="328"/>
      <c r="D522" s="317" t="s">
        <v>896</v>
      </c>
      <c r="E522" s="147">
        <v>14.4</v>
      </c>
      <c r="F522" s="326">
        <f>施工机械台时费!$E$17</f>
        <v>22.5244315915437</v>
      </c>
      <c r="G522" s="329">
        <f t="shared" ref="G522:G527" si="36">E522*F522</f>
        <v>324.351814918229</v>
      </c>
      <c r="H522" s="193"/>
      <c r="I522" s="193"/>
      <c r="J522" s="193"/>
      <c r="K522" s="193"/>
      <c r="L522" s="193"/>
      <c r="M522" s="193"/>
      <c r="N522" s="193"/>
      <c r="O522" s="193"/>
      <c r="S522" s="194"/>
      <c r="T522" s="194"/>
      <c r="U522" s="194"/>
      <c r="V522" s="194"/>
      <c r="W522" s="194"/>
      <c r="X522" s="194"/>
      <c r="Y522" s="194"/>
      <c r="Z522" s="194"/>
      <c r="AA522" s="194"/>
      <c r="AB522" s="194"/>
      <c r="AC522" s="194"/>
      <c r="AD522" s="194"/>
      <c r="AE522" s="195"/>
      <c r="AF522" s="195"/>
      <c r="AG522" s="195"/>
      <c r="AH522" s="195"/>
    </row>
    <row r="523" customHeight="1" spans="1:34">
      <c r="A523" s="314" t="s">
        <v>905</v>
      </c>
      <c r="B523" s="327" t="s">
        <v>514</v>
      </c>
      <c r="C523" s="328"/>
      <c r="D523" s="317"/>
      <c r="E523" s="332">
        <f>G515</f>
        <v>1751.33680566414</v>
      </c>
      <c r="F523" s="333">
        <f>费率表!$C$12</f>
        <v>0.064</v>
      </c>
      <c r="G523" s="329">
        <f t="shared" si="36"/>
        <v>112.085555562505</v>
      </c>
      <c r="H523" s="193"/>
      <c r="I523" s="193"/>
      <c r="J523" s="193"/>
      <c r="K523" s="193"/>
      <c r="L523" s="193"/>
      <c r="M523" s="193"/>
      <c r="N523" s="193"/>
      <c r="O523" s="193"/>
      <c r="S523" s="194"/>
      <c r="T523" s="194"/>
      <c r="U523" s="194"/>
      <c r="V523" s="194"/>
      <c r="W523" s="194"/>
      <c r="X523" s="194"/>
      <c r="Y523" s="194"/>
      <c r="Z523" s="194"/>
      <c r="AA523" s="194"/>
      <c r="AB523" s="194"/>
      <c r="AC523" s="194"/>
      <c r="AD523" s="194"/>
      <c r="AE523" s="195"/>
      <c r="AF523" s="195"/>
      <c r="AG523" s="195"/>
      <c r="AH523" s="195"/>
    </row>
    <row r="524" customHeight="1" spans="1:34">
      <c r="A524" s="314" t="s">
        <v>10</v>
      </c>
      <c r="B524" s="327" t="s">
        <v>770</v>
      </c>
      <c r="C524" s="328"/>
      <c r="D524" s="317"/>
      <c r="E524" s="326">
        <f>G514</f>
        <v>1863.42236122665</v>
      </c>
      <c r="F524" s="334">
        <f>费率表!$C$13</f>
        <v>0.05</v>
      </c>
      <c r="G524" s="329">
        <f t="shared" si="36"/>
        <v>93.1711180613323</v>
      </c>
      <c r="H524" s="193"/>
      <c r="I524" s="193"/>
      <c r="J524" s="193"/>
      <c r="K524" s="193"/>
      <c r="L524" s="193"/>
      <c r="M524" s="193"/>
      <c r="N524" s="193"/>
      <c r="O524" s="193"/>
      <c r="S524" s="194"/>
      <c r="T524" s="194"/>
      <c r="U524" s="194"/>
      <c r="V524" s="194"/>
      <c r="W524" s="194"/>
      <c r="X524" s="194"/>
      <c r="Y524" s="194"/>
      <c r="Z524" s="194"/>
      <c r="AA524" s="194"/>
      <c r="AB524" s="194"/>
      <c r="AC524" s="194"/>
      <c r="AD524" s="194"/>
      <c r="AE524" s="195"/>
      <c r="AF524" s="195"/>
      <c r="AG524" s="195"/>
      <c r="AH524" s="195"/>
    </row>
    <row r="525" customHeight="1" spans="1:34">
      <c r="A525" s="314" t="s">
        <v>12</v>
      </c>
      <c r="B525" s="327" t="s">
        <v>771</v>
      </c>
      <c r="C525" s="328"/>
      <c r="D525" s="317"/>
      <c r="E525" s="326">
        <f>G514+G524</f>
        <v>1956.59347928798</v>
      </c>
      <c r="F525" s="334">
        <f>费率表!$C$14</f>
        <v>0.07</v>
      </c>
      <c r="G525" s="329">
        <f t="shared" si="36"/>
        <v>136.961543550158</v>
      </c>
      <c r="H525" s="193"/>
      <c r="I525" s="193"/>
      <c r="J525" s="193"/>
      <c r="K525" s="193"/>
      <c r="L525" s="193"/>
      <c r="M525" s="193"/>
      <c r="N525" s="193"/>
      <c r="O525" s="193"/>
      <c r="S525" s="194"/>
      <c r="T525" s="194"/>
      <c r="U525" s="194"/>
      <c r="V525" s="194"/>
      <c r="W525" s="194"/>
      <c r="X525" s="194"/>
      <c r="Y525" s="194"/>
      <c r="Z525" s="194"/>
      <c r="AA525" s="194"/>
      <c r="AB525" s="194"/>
      <c r="AC525" s="194"/>
      <c r="AD525" s="194"/>
      <c r="AE525" s="195"/>
      <c r="AF525" s="195"/>
      <c r="AG525" s="195"/>
      <c r="AH525" s="195"/>
    </row>
    <row r="526" customHeight="1" spans="1:34">
      <c r="A526" s="314" t="s">
        <v>15</v>
      </c>
      <c r="B526" s="327" t="s">
        <v>772</v>
      </c>
      <c r="C526" s="328"/>
      <c r="D526" s="317"/>
      <c r="E526" s="326">
        <f>G514+G524++G525</f>
        <v>2093.55502283814</v>
      </c>
      <c r="F526" s="334">
        <f>费率表!$C$15</f>
        <v>0.09</v>
      </c>
      <c r="G526" s="329">
        <f t="shared" si="36"/>
        <v>188.419952055432</v>
      </c>
      <c r="H526" s="193"/>
      <c r="I526" s="193"/>
      <c r="J526" s="193"/>
      <c r="K526" s="193"/>
      <c r="L526" s="193"/>
      <c r="M526" s="193"/>
      <c r="N526" s="193"/>
      <c r="O526" s="193"/>
      <c r="S526" s="194"/>
      <c r="T526" s="194"/>
      <c r="U526" s="194"/>
      <c r="V526" s="194"/>
      <c r="W526" s="194"/>
      <c r="X526" s="194"/>
      <c r="Y526" s="194"/>
      <c r="Z526" s="194"/>
      <c r="AA526" s="194"/>
      <c r="AB526" s="194"/>
      <c r="AC526" s="194"/>
      <c r="AD526" s="194"/>
      <c r="AE526" s="195"/>
      <c r="AF526" s="195"/>
      <c r="AG526" s="195"/>
      <c r="AH526" s="195"/>
    </row>
    <row r="527" customHeight="1" spans="1:34">
      <c r="A527" s="314"/>
      <c r="B527" s="327" t="s">
        <v>907</v>
      </c>
      <c r="C527" s="328"/>
      <c r="D527" s="317"/>
      <c r="E527" s="326">
        <f>G514+G524+G525+G526</f>
        <v>2281.97497489357</v>
      </c>
      <c r="F527" s="334">
        <f>费率表!$I$19</f>
        <v>0.03</v>
      </c>
      <c r="G527" s="329">
        <f t="shared" si="36"/>
        <v>68.459249246807</v>
      </c>
      <c r="H527" s="193"/>
      <c r="I527" s="193"/>
      <c r="J527" s="193"/>
      <c r="K527" s="193"/>
      <c r="L527" s="193"/>
      <c r="M527" s="193"/>
      <c r="N527" s="193"/>
      <c r="O527" s="193"/>
      <c r="S527" s="194"/>
      <c r="T527" s="194"/>
      <c r="U527" s="194"/>
      <c r="V527" s="194"/>
      <c r="W527" s="194"/>
      <c r="X527" s="194"/>
      <c r="Y527" s="194"/>
      <c r="Z527" s="194"/>
      <c r="AA527" s="194"/>
      <c r="AB527" s="194"/>
      <c r="AC527" s="194"/>
      <c r="AD527" s="194"/>
      <c r="AE527" s="195"/>
      <c r="AF527" s="195"/>
      <c r="AG527" s="195"/>
      <c r="AH527" s="195"/>
    </row>
    <row r="528" customHeight="1" spans="1:34">
      <c r="A528" s="335"/>
      <c r="B528" s="336" t="s">
        <v>39</v>
      </c>
      <c r="C528" s="337"/>
      <c r="D528" s="338"/>
      <c r="E528" s="339"/>
      <c r="F528" s="338"/>
      <c r="G528" s="340">
        <f>G514+G524+G525+G526+G527</f>
        <v>2350.43422414038</v>
      </c>
      <c r="H528" s="193"/>
      <c r="I528" s="193"/>
      <c r="J528" s="193"/>
      <c r="K528" s="193"/>
      <c r="L528" s="193"/>
      <c r="M528" s="193"/>
      <c r="N528" s="193"/>
      <c r="O528" s="193"/>
      <c r="S528" s="194"/>
      <c r="T528" s="194"/>
      <c r="U528" s="194"/>
      <c r="V528" s="194"/>
      <c r="W528" s="194"/>
      <c r="X528" s="194"/>
      <c r="Y528" s="194"/>
      <c r="Z528" s="194"/>
      <c r="AA528" s="194"/>
      <c r="AB528" s="194"/>
      <c r="AC528" s="194"/>
      <c r="AD528" s="194"/>
      <c r="AE528" s="195"/>
      <c r="AF528" s="195"/>
      <c r="AG528" s="195"/>
      <c r="AH528" s="195"/>
    </row>
    <row r="529" customHeight="1" spans="1:34">
      <c r="H529" s="193"/>
      <c r="I529" s="193"/>
      <c r="J529" s="193"/>
      <c r="K529" s="193"/>
      <c r="L529" s="193"/>
      <c r="M529" s="193"/>
      <c r="N529" s="193"/>
      <c r="O529" s="193"/>
      <c r="S529" s="194"/>
      <c r="T529" s="194"/>
      <c r="U529" s="194"/>
      <c r="V529" s="194"/>
      <c r="W529" s="194"/>
      <c r="X529" s="194"/>
      <c r="Y529" s="194"/>
      <c r="Z529" s="194"/>
      <c r="AA529" s="194"/>
      <c r="AB529" s="194"/>
      <c r="AC529" s="194"/>
      <c r="AD529" s="194"/>
      <c r="AE529" s="195"/>
      <c r="AF529" s="195"/>
      <c r="AG529" s="195"/>
      <c r="AH529" s="195"/>
    </row>
    <row r="530" customHeight="1" spans="1:34">
      <c r="A530" s="353" t="s">
        <v>868</v>
      </c>
      <c r="B530" s="353"/>
      <c r="C530" s="353"/>
      <c r="D530" s="353"/>
      <c r="E530" s="353"/>
      <c r="F530" s="353"/>
      <c r="G530" s="353"/>
      <c r="H530" s="193"/>
      <c r="I530" s="193"/>
      <c r="J530" s="193"/>
      <c r="K530" s="193"/>
      <c r="L530" s="193"/>
      <c r="M530" s="193"/>
      <c r="N530" s="193"/>
      <c r="O530" s="193"/>
      <c r="S530" s="194"/>
      <c r="T530" s="194"/>
      <c r="U530" s="194"/>
      <c r="V530" s="194"/>
      <c r="W530" s="194"/>
      <c r="X530" s="194"/>
      <c r="Y530" s="194"/>
      <c r="Z530" s="194"/>
      <c r="AA530" s="194"/>
      <c r="AB530" s="194"/>
      <c r="AC530" s="194"/>
      <c r="AD530" s="194"/>
      <c r="AE530" s="195"/>
      <c r="AF530" s="195"/>
      <c r="AG530" s="195"/>
      <c r="AH530" s="195"/>
    </row>
    <row r="531" customHeight="1" spans="1:34">
      <c r="A531" s="309" t="s">
        <v>869</v>
      </c>
      <c r="B531" s="310"/>
      <c r="C531" s="310" t="s">
        <v>166</v>
      </c>
      <c r="D531" s="310" t="s">
        <v>870</v>
      </c>
      <c r="E531" s="343" t="s">
        <v>1292</v>
      </c>
      <c r="F531" s="343"/>
      <c r="G531" s="344"/>
      <c r="H531" s="193"/>
      <c r="I531" s="193"/>
      <c r="J531" s="193"/>
      <c r="K531" s="193"/>
      <c r="L531" s="193"/>
      <c r="M531" s="193"/>
      <c r="N531" s="193"/>
      <c r="O531" s="193"/>
      <c r="S531" s="194"/>
      <c r="T531" s="194"/>
      <c r="U531" s="194"/>
      <c r="V531" s="194"/>
      <c r="W531" s="194"/>
      <c r="X531" s="194"/>
      <c r="Y531" s="194"/>
      <c r="Z531" s="194"/>
      <c r="AA531" s="194"/>
      <c r="AB531" s="194"/>
      <c r="AC531" s="194"/>
      <c r="AD531" s="194"/>
      <c r="AE531" s="195"/>
      <c r="AF531" s="195"/>
      <c r="AG531" s="195"/>
      <c r="AH531" s="195"/>
    </row>
    <row r="532" customHeight="1" spans="1:34">
      <c r="A532" s="314" t="s">
        <v>507</v>
      </c>
      <c r="B532" s="315"/>
      <c r="C532" s="316" t="s">
        <v>1293</v>
      </c>
      <c r="D532" s="316"/>
      <c r="E532" s="316"/>
      <c r="F532" s="317" t="s">
        <v>873</v>
      </c>
      <c r="G532" s="318" t="s">
        <v>874</v>
      </c>
      <c r="H532" s="193"/>
      <c r="I532" s="193"/>
      <c r="J532" s="193"/>
      <c r="K532" s="193"/>
      <c r="L532" s="193"/>
      <c r="M532" s="193"/>
      <c r="N532" s="193"/>
      <c r="O532" s="193"/>
      <c r="S532" s="194"/>
      <c r="T532" s="194"/>
      <c r="U532" s="194"/>
      <c r="V532" s="194"/>
      <c r="W532" s="194"/>
      <c r="X532" s="194"/>
      <c r="Y532" s="194"/>
      <c r="Z532" s="194"/>
      <c r="AA532" s="194"/>
      <c r="AB532" s="194"/>
      <c r="AC532" s="194"/>
      <c r="AD532" s="194"/>
      <c r="AE532" s="195"/>
      <c r="AF532" s="195"/>
      <c r="AG532" s="195"/>
      <c r="AH532" s="195"/>
    </row>
    <row r="533" customHeight="1" spans="1:34">
      <c r="A533" s="345" t="s">
        <v>1294</v>
      </c>
      <c r="B533" s="316"/>
      <c r="C533" s="316"/>
      <c r="D533" s="316"/>
      <c r="E533" s="316"/>
      <c r="F533" s="316"/>
      <c r="G533" s="346"/>
      <c r="H533" s="193"/>
      <c r="I533" s="193"/>
      <c r="J533" s="193"/>
      <c r="K533" s="193"/>
      <c r="L533" s="193"/>
      <c r="M533" s="193"/>
      <c r="N533" s="193"/>
      <c r="O533" s="193"/>
      <c r="S533" s="194"/>
      <c r="T533" s="194"/>
      <c r="U533" s="194"/>
      <c r="V533" s="194"/>
      <c r="W533" s="194"/>
      <c r="X533" s="194"/>
      <c r="Y533" s="194"/>
      <c r="Z533" s="194"/>
      <c r="AA533" s="194"/>
      <c r="AB533" s="194"/>
      <c r="AC533" s="194"/>
      <c r="AD533" s="194"/>
      <c r="AE533" s="195"/>
      <c r="AF533" s="195"/>
      <c r="AG533" s="195"/>
      <c r="AH533" s="195"/>
    </row>
    <row r="534" customHeight="1" spans="1:34">
      <c r="A534" s="322" t="s">
        <v>1295</v>
      </c>
      <c r="B534" s="323"/>
      <c r="C534" s="324"/>
      <c r="D534" s="324"/>
      <c r="E534" s="324"/>
      <c r="F534" s="324"/>
      <c r="G534" s="325"/>
      <c r="H534" s="193"/>
      <c r="I534" s="193"/>
      <c r="J534" s="193"/>
      <c r="K534" s="193"/>
      <c r="L534" s="193"/>
      <c r="M534" s="193"/>
      <c r="N534" s="193"/>
      <c r="O534" s="193"/>
      <c r="S534" s="194"/>
      <c r="T534" s="194"/>
      <c r="U534" s="194"/>
      <c r="V534" s="194"/>
      <c r="W534" s="194"/>
      <c r="X534" s="194"/>
      <c r="Y534" s="194"/>
      <c r="Z534" s="194"/>
      <c r="AA534" s="194"/>
      <c r="AB534" s="194"/>
      <c r="AC534" s="194"/>
      <c r="AD534" s="194"/>
      <c r="AE534" s="195"/>
      <c r="AF534" s="195"/>
      <c r="AG534" s="195"/>
      <c r="AH534" s="195"/>
    </row>
    <row r="535" customHeight="1" spans="1:34">
      <c r="A535" s="314" t="s">
        <v>34</v>
      </c>
      <c r="B535" s="317" t="s">
        <v>761</v>
      </c>
      <c r="C535" s="317"/>
      <c r="D535" s="317" t="s">
        <v>60</v>
      </c>
      <c r="E535" s="326" t="s">
        <v>877</v>
      </c>
      <c r="F535" s="317" t="s">
        <v>878</v>
      </c>
      <c r="G535" s="318" t="s">
        <v>879</v>
      </c>
      <c r="H535" s="193"/>
      <c r="I535" s="193"/>
      <c r="J535" s="193"/>
      <c r="K535" s="193"/>
      <c r="L535" s="193"/>
      <c r="M535" s="193"/>
      <c r="N535" s="193"/>
      <c r="O535" s="193"/>
      <c r="S535" s="194"/>
      <c r="T535" s="194"/>
      <c r="U535" s="194"/>
      <c r="V535" s="194"/>
      <c r="W535" s="194"/>
      <c r="X535" s="194"/>
      <c r="Y535" s="194"/>
      <c r="Z535" s="194"/>
      <c r="AA535" s="194"/>
      <c r="AB535" s="194"/>
      <c r="AC535" s="194"/>
      <c r="AD535" s="194"/>
      <c r="AE535" s="195"/>
      <c r="AF535" s="195"/>
      <c r="AG535" s="195"/>
      <c r="AH535" s="195"/>
    </row>
    <row r="536" customHeight="1" spans="1:34">
      <c r="A536" s="314" t="s">
        <v>8</v>
      </c>
      <c r="B536" s="347" t="s">
        <v>880</v>
      </c>
      <c r="C536" s="347"/>
      <c r="D536" s="317"/>
      <c r="E536" s="326"/>
      <c r="F536" s="326"/>
      <c r="G536" s="329">
        <f>G537+G545</f>
        <v>2457.87875477355</v>
      </c>
      <c r="H536" s="193"/>
      <c r="I536" s="193"/>
      <c r="J536" s="193"/>
      <c r="K536" s="193"/>
      <c r="L536" s="193"/>
      <c r="M536" s="193"/>
      <c r="N536" s="193"/>
      <c r="O536" s="193"/>
      <c r="S536" s="194"/>
      <c r="T536" s="194"/>
      <c r="U536" s="194"/>
      <c r="V536" s="194"/>
      <c r="W536" s="194"/>
      <c r="X536" s="194"/>
      <c r="Y536" s="194"/>
      <c r="Z536" s="194"/>
      <c r="AA536" s="194"/>
      <c r="AB536" s="194"/>
      <c r="AC536" s="194"/>
      <c r="AD536" s="194"/>
      <c r="AE536" s="195"/>
      <c r="AF536" s="195"/>
      <c r="AG536" s="195"/>
      <c r="AH536" s="195"/>
    </row>
    <row r="537" customHeight="1" spans="1:34">
      <c r="A537" s="314" t="s">
        <v>881</v>
      </c>
      <c r="B537" s="347" t="s">
        <v>882</v>
      </c>
      <c r="C537" s="347"/>
      <c r="D537" s="317"/>
      <c r="E537" s="326"/>
      <c r="F537" s="326"/>
      <c r="G537" s="329">
        <f>G538+G541+G543</f>
        <v>2310.03642365935</v>
      </c>
      <c r="H537" s="193"/>
      <c r="I537" s="193"/>
      <c r="J537" s="193"/>
      <c r="K537" s="193"/>
      <c r="L537" s="193"/>
      <c r="M537" s="193"/>
      <c r="N537" s="193"/>
      <c r="O537" s="193"/>
      <c r="S537" s="194"/>
      <c r="T537" s="194"/>
      <c r="U537" s="194"/>
      <c r="V537" s="194"/>
      <c r="W537" s="194"/>
      <c r="X537" s="194"/>
      <c r="Y537" s="194"/>
      <c r="Z537" s="194"/>
      <c r="AA537" s="194"/>
      <c r="AB537" s="194"/>
      <c r="AC537" s="194"/>
      <c r="AD537" s="194"/>
      <c r="AE537" s="195"/>
      <c r="AF537" s="195"/>
      <c r="AG537" s="195"/>
      <c r="AH537" s="195"/>
    </row>
    <row r="538" customHeight="1" spans="1:34">
      <c r="A538" s="314" t="s">
        <v>17</v>
      </c>
      <c r="B538" s="347" t="s">
        <v>510</v>
      </c>
      <c r="C538" s="347"/>
      <c r="D538" s="317"/>
      <c r="E538" s="326"/>
      <c r="F538" s="326"/>
      <c r="G538" s="329">
        <f>SUM(G539:G540)</f>
        <v>1213.431</v>
      </c>
      <c r="H538" s="193"/>
      <c r="I538" s="193"/>
      <c r="J538" s="193"/>
      <c r="K538" s="193"/>
      <c r="L538" s="193"/>
      <c r="M538" s="193"/>
      <c r="N538" s="193"/>
      <c r="O538" s="193"/>
      <c r="S538" s="194"/>
      <c r="T538" s="194"/>
      <c r="U538" s="194"/>
      <c r="V538" s="194"/>
      <c r="W538" s="194"/>
      <c r="X538" s="194"/>
      <c r="Y538" s="194"/>
      <c r="Z538" s="194"/>
      <c r="AA538" s="194"/>
      <c r="AB538" s="194"/>
      <c r="AC538" s="194"/>
      <c r="AD538" s="194"/>
      <c r="AE538" s="195"/>
      <c r="AF538" s="195"/>
      <c r="AG538" s="195"/>
      <c r="AH538" s="195"/>
    </row>
    <row r="539" customHeight="1" spans="1:34">
      <c r="A539" s="314"/>
      <c r="B539" s="347" t="s">
        <v>704</v>
      </c>
      <c r="C539" s="347"/>
      <c r="D539" s="317" t="s">
        <v>705</v>
      </c>
      <c r="E539" s="326"/>
      <c r="F539" s="326"/>
      <c r="G539" s="329"/>
      <c r="H539" s="193"/>
      <c r="I539" s="193"/>
      <c r="J539" s="193"/>
      <c r="K539" s="193"/>
      <c r="L539" s="193"/>
      <c r="M539" s="193"/>
      <c r="N539" s="193"/>
      <c r="O539" s="193"/>
      <c r="S539" s="194"/>
      <c r="T539" s="194"/>
      <c r="U539" s="194"/>
      <c r="V539" s="194"/>
      <c r="W539" s="194"/>
      <c r="X539" s="194"/>
      <c r="Y539" s="194"/>
      <c r="Z539" s="194"/>
      <c r="AA539" s="194"/>
      <c r="AB539" s="194"/>
      <c r="AC539" s="194"/>
      <c r="AD539" s="194"/>
      <c r="AE539" s="195"/>
      <c r="AF539" s="195"/>
      <c r="AG539" s="195"/>
      <c r="AH539" s="195"/>
    </row>
    <row r="540" customHeight="1" spans="1:34">
      <c r="A540" s="314"/>
      <c r="B540" s="347" t="s">
        <v>706</v>
      </c>
      <c r="C540" s="347"/>
      <c r="D540" s="317" t="s">
        <v>705</v>
      </c>
      <c r="E540" s="330">
        <v>210.3</v>
      </c>
      <c r="F540" s="326">
        <f>主要材料预算!$D$20</f>
        <v>5.77</v>
      </c>
      <c r="G540" s="329">
        <f t="shared" ref="G540:G547" si="37">E540*F540</f>
        <v>1213.431</v>
      </c>
      <c r="H540" s="193"/>
      <c r="I540" s="193"/>
      <c r="J540" s="193"/>
      <c r="K540" s="193"/>
      <c r="L540" s="193"/>
      <c r="M540" s="193"/>
      <c r="N540" s="193"/>
      <c r="O540" s="193"/>
      <c r="S540" s="194"/>
      <c r="T540" s="194"/>
      <c r="U540" s="194"/>
      <c r="V540" s="194"/>
      <c r="W540" s="194"/>
      <c r="X540" s="194"/>
      <c r="Y540" s="194"/>
      <c r="Z540" s="194"/>
      <c r="AA540" s="194"/>
      <c r="AB540" s="194"/>
      <c r="AC540" s="194"/>
      <c r="AD540" s="194"/>
      <c r="AE540" s="195"/>
      <c r="AF540" s="195"/>
      <c r="AG540" s="195"/>
      <c r="AH540" s="195"/>
    </row>
    <row r="541" customHeight="1" spans="1:34">
      <c r="A541" s="314" t="s">
        <v>19</v>
      </c>
      <c r="B541" s="327" t="s">
        <v>511</v>
      </c>
      <c r="C541" s="328"/>
      <c r="D541" s="317"/>
      <c r="E541" s="326"/>
      <c r="F541" s="326"/>
      <c r="G541" s="329">
        <f>G542</f>
        <v>45.2948318364579</v>
      </c>
      <c r="H541" s="193"/>
      <c r="I541" s="193"/>
      <c r="J541" s="193"/>
      <c r="K541" s="193"/>
      <c r="L541" s="193"/>
      <c r="M541" s="193"/>
      <c r="N541" s="193"/>
      <c r="O541" s="193"/>
      <c r="S541" s="194"/>
      <c r="T541" s="194"/>
      <c r="U541" s="194"/>
      <c r="V541" s="194"/>
      <c r="W541" s="194"/>
      <c r="X541" s="194"/>
      <c r="Y541" s="194"/>
      <c r="Z541" s="194"/>
      <c r="AA541" s="194"/>
      <c r="AB541" s="194"/>
      <c r="AC541" s="194"/>
      <c r="AD541" s="194"/>
      <c r="AE541" s="195"/>
      <c r="AF541" s="195"/>
      <c r="AG541" s="195"/>
      <c r="AH541" s="195"/>
    </row>
    <row r="542" customHeight="1" spans="1:34">
      <c r="A542" s="314"/>
      <c r="B542" s="347" t="s">
        <v>1008</v>
      </c>
      <c r="C542" s="347"/>
      <c r="D542" s="317" t="s">
        <v>894</v>
      </c>
      <c r="E542" s="147">
        <f>G538+G543</f>
        <v>2264.7415918229</v>
      </c>
      <c r="F542" s="331">
        <v>2</v>
      </c>
      <c r="G542" s="329">
        <f>E542*F542/100</f>
        <v>45.2948318364579</v>
      </c>
      <c r="H542" s="193"/>
      <c r="I542" s="193"/>
      <c r="J542" s="193"/>
      <c r="K542" s="193"/>
      <c r="L542" s="193"/>
      <c r="M542" s="193"/>
      <c r="N542" s="193"/>
      <c r="O542" s="193"/>
      <c r="S542" s="194"/>
      <c r="T542" s="194"/>
      <c r="U542" s="194"/>
      <c r="V542" s="194"/>
      <c r="W542" s="194"/>
      <c r="X542" s="194"/>
      <c r="Y542" s="194"/>
      <c r="Z542" s="194"/>
      <c r="AA542" s="194"/>
      <c r="AB542" s="194"/>
      <c r="AC542" s="194"/>
      <c r="AD542" s="194"/>
      <c r="AE542" s="195"/>
      <c r="AF542" s="195"/>
      <c r="AG542" s="195"/>
      <c r="AH542" s="195"/>
    </row>
    <row r="543" customHeight="1" spans="1:34">
      <c r="A543" s="314" t="s">
        <v>21</v>
      </c>
      <c r="B543" s="347" t="s">
        <v>895</v>
      </c>
      <c r="C543" s="347"/>
      <c r="D543" s="347"/>
      <c r="E543" s="147"/>
      <c r="F543" s="326"/>
      <c r="G543" s="329">
        <f>SUM(G544:G544)</f>
        <v>1051.3105918229</v>
      </c>
      <c r="H543" s="193"/>
      <c r="I543" s="193"/>
      <c r="J543" s="193"/>
      <c r="K543" s="193"/>
      <c r="L543" s="193"/>
      <c r="M543" s="193"/>
      <c r="N543" s="193"/>
      <c r="O543" s="193"/>
      <c r="S543" s="194"/>
      <c r="T543" s="194"/>
      <c r="U543" s="194"/>
      <c r="V543" s="194"/>
      <c r="W543" s="194"/>
      <c r="X543" s="194"/>
      <c r="Y543" s="194"/>
      <c r="Z543" s="194"/>
      <c r="AA543" s="194"/>
      <c r="AB543" s="194"/>
      <c r="AC543" s="194"/>
      <c r="AD543" s="194"/>
      <c r="AE543" s="195"/>
      <c r="AF543" s="195"/>
      <c r="AG543" s="195"/>
      <c r="AH543" s="195"/>
    </row>
    <row r="544" customHeight="1" spans="1:34">
      <c r="A544" s="314"/>
      <c r="B544" s="327" t="s">
        <v>1296</v>
      </c>
      <c r="C544" s="328"/>
      <c r="D544" s="317" t="s">
        <v>896</v>
      </c>
      <c r="E544" s="147">
        <v>61.14</v>
      </c>
      <c r="F544" s="326">
        <f>施工机械台时费!$E$35</f>
        <v>17.1951356202633</v>
      </c>
      <c r="G544" s="329">
        <f t="shared" si="37"/>
        <v>1051.3105918229</v>
      </c>
      <c r="H544" s="193"/>
      <c r="I544" s="193"/>
      <c r="J544" s="193"/>
      <c r="K544" s="193"/>
      <c r="L544" s="193"/>
      <c r="M544" s="193"/>
      <c r="N544" s="193"/>
      <c r="O544" s="193"/>
      <c r="S544" s="194"/>
      <c r="T544" s="194"/>
      <c r="U544" s="194"/>
      <c r="V544" s="194"/>
      <c r="W544" s="194"/>
      <c r="X544" s="194"/>
      <c r="Y544" s="194"/>
      <c r="Z544" s="194"/>
      <c r="AA544" s="194"/>
      <c r="AB544" s="194"/>
      <c r="AC544" s="194"/>
      <c r="AD544" s="194"/>
      <c r="AE544" s="195"/>
      <c r="AF544" s="195"/>
      <c r="AG544" s="195"/>
      <c r="AH544" s="195"/>
    </row>
    <row r="545" customHeight="1" spans="1:34">
      <c r="A545" s="314" t="s">
        <v>905</v>
      </c>
      <c r="B545" s="347" t="s">
        <v>514</v>
      </c>
      <c r="C545" s="347"/>
      <c r="D545" s="317"/>
      <c r="E545" s="332">
        <f>G537</f>
        <v>2310.03642365935</v>
      </c>
      <c r="F545" s="333">
        <f>费率表!$D$12</f>
        <v>0.064</v>
      </c>
      <c r="G545" s="329">
        <f t="shared" si="37"/>
        <v>147.842331114199</v>
      </c>
      <c r="H545" s="193"/>
      <c r="I545" s="193"/>
      <c r="J545" s="193"/>
      <c r="K545" s="193"/>
      <c r="L545" s="193"/>
      <c r="M545" s="193"/>
      <c r="N545" s="193"/>
      <c r="O545" s="193"/>
      <c r="S545" s="194"/>
      <c r="T545" s="194"/>
      <c r="U545" s="194"/>
      <c r="V545" s="194"/>
      <c r="W545" s="194"/>
      <c r="X545" s="194"/>
      <c r="Y545" s="194"/>
      <c r="Z545" s="194"/>
      <c r="AA545" s="194"/>
      <c r="AB545" s="194"/>
      <c r="AC545" s="194"/>
      <c r="AD545" s="194"/>
      <c r="AE545" s="195"/>
      <c r="AF545" s="195"/>
      <c r="AG545" s="195"/>
      <c r="AH545" s="195"/>
    </row>
    <row r="546" customHeight="1" spans="1:34">
      <c r="A546" s="314" t="s">
        <v>10</v>
      </c>
      <c r="B546" s="347" t="s">
        <v>770</v>
      </c>
      <c r="C546" s="347"/>
      <c r="D546" s="317"/>
      <c r="E546" s="326">
        <f>G536</f>
        <v>2457.87875477355</v>
      </c>
      <c r="F546" s="334">
        <f>费率表!$D$13</f>
        <v>0.085</v>
      </c>
      <c r="G546" s="329">
        <f t="shared" si="37"/>
        <v>208.919694155752</v>
      </c>
      <c r="H546" s="193"/>
      <c r="I546" s="193"/>
      <c r="J546" s="193"/>
      <c r="K546" s="193"/>
      <c r="L546" s="193"/>
      <c r="M546" s="193"/>
      <c r="N546" s="193"/>
      <c r="O546" s="193"/>
      <c r="S546" s="194"/>
      <c r="T546" s="194"/>
      <c r="U546" s="194"/>
      <c r="V546" s="194"/>
      <c r="W546" s="194"/>
      <c r="X546" s="194"/>
      <c r="Y546" s="194"/>
      <c r="Z546" s="194"/>
      <c r="AA546" s="194"/>
      <c r="AB546" s="194"/>
      <c r="AC546" s="194"/>
      <c r="AD546" s="194"/>
      <c r="AE546" s="195"/>
      <c r="AF546" s="195"/>
      <c r="AG546" s="195"/>
      <c r="AH546" s="195"/>
    </row>
    <row r="547" customHeight="1" spans="1:34">
      <c r="A547" s="314" t="s">
        <v>12</v>
      </c>
      <c r="B547" s="347" t="s">
        <v>771</v>
      </c>
      <c r="C547" s="347"/>
      <c r="D547" s="317"/>
      <c r="E547" s="326">
        <f>G536+G546</f>
        <v>2666.7984489293</v>
      </c>
      <c r="F547" s="334">
        <f>费率表!$D$14</f>
        <v>0.07</v>
      </c>
      <c r="G547" s="329">
        <f t="shared" si="37"/>
        <v>186.675891425051</v>
      </c>
      <c r="H547" s="193"/>
      <c r="I547" s="193"/>
      <c r="J547" s="193"/>
      <c r="K547" s="193"/>
      <c r="L547" s="193"/>
      <c r="M547" s="193"/>
      <c r="N547" s="193"/>
      <c r="O547" s="193"/>
      <c r="S547" s="194"/>
      <c r="T547" s="194"/>
      <c r="U547" s="194"/>
      <c r="V547" s="194"/>
      <c r="W547" s="194"/>
      <c r="X547" s="194"/>
      <c r="Y547" s="194"/>
      <c r="Z547" s="194"/>
      <c r="AA547" s="194"/>
      <c r="AB547" s="194"/>
      <c r="AC547" s="194"/>
      <c r="AD547" s="194"/>
      <c r="AE547" s="195"/>
      <c r="AF547" s="195"/>
      <c r="AG547" s="195"/>
      <c r="AH547" s="195"/>
    </row>
    <row r="548" customHeight="1" spans="1:34">
      <c r="A548" s="314" t="s">
        <v>15</v>
      </c>
      <c r="B548" s="327" t="s">
        <v>517</v>
      </c>
      <c r="C548" s="328"/>
      <c r="D548" s="317"/>
      <c r="E548" s="326"/>
      <c r="F548" s="349"/>
      <c r="G548" s="329">
        <f>G549</f>
        <v>555.91122965186</v>
      </c>
      <c r="H548" s="193"/>
      <c r="I548" s="193"/>
      <c r="J548" s="193"/>
      <c r="K548" s="193"/>
      <c r="L548" s="193"/>
      <c r="M548" s="193"/>
      <c r="N548" s="193"/>
      <c r="O548" s="193"/>
      <c r="S548" s="194"/>
      <c r="T548" s="194"/>
      <c r="U548" s="194"/>
      <c r="V548" s="194"/>
      <c r="W548" s="194"/>
      <c r="X548" s="194"/>
      <c r="Y548" s="194"/>
      <c r="Z548" s="194"/>
      <c r="AA548" s="194"/>
      <c r="AB548" s="194"/>
      <c r="AC548" s="194"/>
      <c r="AD548" s="194"/>
      <c r="AE548" s="195"/>
      <c r="AF548" s="195"/>
      <c r="AG548" s="195"/>
      <c r="AH548" s="195"/>
    </row>
    <row r="549" customHeight="1" spans="1:34">
      <c r="A549" s="314" t="s">
        <v>17</v>
      </c>
      <c r="B549" s="327" t="s">
        <v>694</v>
      </c>
      <c r="C549" s="328"/>
      <c r="D549" s="317" t="s">
        <v>695</v>
      </c>
      <c r="E549" s="326">
        <f>E544*施工机械台时费!L35</f>
        <v>91.71</v>
      </c>
      <c r="F549" s="326">
        <f>主要材料预算!$N$13</f>
        <v>6.0616206482593</v>
      </c>
      <c r="G549" s="329">
        <f t="shared" ref="G549:G551" si="38">E549*F549</f>
        <v>555.91122965186</v>
      </c>
      <c r="H549" s="193"/>
      <c r="I549" s="193"/>
      <c r="J549" s="193"/>
      <c r="K549" s="193"/>
      <c r="L549" s="193"/>
      <c r="M549" s="193"/>
      <c r="N549" s="193"/>
      <c r="O549" s="193"/>
      <c r="S549" s="194"/>
      <c r="T549" s="194"/>
      <c r="U549" s="194"/>
      <c r="V549" s="194"/>
      <c r="W549" s="194"/>
      <c r="X549" s="194"/>
      <c r="Y549" s="194"/>
      <c r="Z549" s="194"/>
      <c r="AA549" s="194"/>
      <c r="AB549" s="194"/>
      <c r="AC549" s="194"/>
      <c r="AD549" s="194"/>
      <c r="AE549" s="195"/>
      <c r="AF549" s="195"/>
      <c r="AG549" s="195"/>
      <c r="AH549" s="195"/>
    </row>
    <row r="550" customHeight="1" spans="1:34">
      <c r="A550" s="314" t="s">
        <v>906</v>
      </c>
      <c r="B550" s="347" t="s">
        <v>772</v>
      </c>
      <c r="C550" s="347"/>
      <c r="D550" s="317"/>
      <c r="E550" s="326">
        <f>G536+G546+G547+G548</f>
        <v>3409.38557000621</v>
      </c>
      <c r="F550" s="334">
        <f>费率表!$D$15</f>
        <v>0.09</v>
      </c>
      <c r="G550" s="329">
        <f t="shared" si="38"/>
        <v>306.844701300559</v>
      </c>
      <c r="H550" s="193"/>
      <c r="I550" s="193"/>
      <c r="J550" s="193"/>
      <c r="K550" s="193"/>
      <c r="L550" s="193"/>
      <c r="M550" s="193"/>
      <c r="N550" s="193"/>
      <c r="O550" s="193"/>
      <c r="S550" s="194"/>
      <c r="T550" s="194"/>
      <c r="U550" s="194"/>
      <c r="V550" s="194"/>
      <c r="W550" s="194"/>
      <c r="X550" s="194"/>
      <c r="Y550" s="194"/>
      <c r="Z550" s="194"/>
      <c r="AA550" s="194"/>
      <c r="AB550" s="194"/>
      <c r="AC550" s="194"/>
      <c r="AD550" s="194"/>
      <c r="AE550" s="195"/>
      <c r="AF550" s="195"/>
      <c r="AG550" s="195"/>
      <c r="AH550" s="195"/>
    </row>
    <row r="551" customHeight="1" spans="1:34">
      <c r="A551" s="314"/>
      <c r="B551" s="347" t="s">
        <v>907</v>
      </c>
      <c r="C551" s="347"/>
      <c r="D551" s="317"/>
      <c r="E551" s="326">
        <f>G536+G546+G547+G548+G550</f>
        <v>3716.23027130677</v>
      </c>
      <c r="F551" s="334">
        <f>费率表!$I$19</f>
        <v>0.03</v>
      </c>
      <c r="G551" s="329">
        <f t="shared" si="38"/>
        <v>111.486908139203</v>
      </c>
      <c r="H551" s="193"/>
      <c r="I551" s="193"/>
      <c r="J551" s="193"/>
      <c r="K551" s="193"/>
      <c r="L551" s="193"/>
      <c r="M551" s="193"/>
      <c r="N551" s="193"/>
      <c r="O551" s="193"/>
      <c r="S551" s="194"/>
      <c r="T551" s="194"/>
      <c r="U551" s="194"/>
      <c r="V551" s="194"/>
      <c r="W551" s="194"/>
      <c r="X551" s="194"/>
      <c r="Y551" s="194"/>
      <c r="Z551" s="194"/>
      <c r="AA551" s="194"/>
      <c r="AB551" s="194"/>
      <c r="AC551" s="194"/>
      <c r="AD551" s="194"/>
      <c r="AE551" s="195"/>
      <c r="AF551" s="195"/>
      <c r="AG551" s="195"/>
      <c r="AH551" s="195"/>
    </row>
    <row r="552" customHeight="1" spans="1:34">
      <c r="A552" s="335"/>
      <c r="B552" s="338" t="s">
        <v>39</v>
      </c>
      <c r="C552" s="338"/>
      <c r="D552" s="338"/>
      <c r="E552" s="339"/>
      <c r="F552" s="338"/>
      <c r="G552" s="340">
        <f>G536+G546+G547+G548+G550+G551</f>
        <v>3827.71717944598</v>
      </c>
      <c r="H552" s="193"/>
      <c r="I552" s="193"/>
      <c r="J552" s="193"/>
      <c r="K552" s="193"/>
      <c r="L552" s="193"/>
      <c r="M552" s="193"/>
      <c r="N552" s="193"/>
      <c r="O552" s="193"/>
      <c r="S552" s="194"/>
      <c r="T552" s="194"/>
      <c r="U552" s="194"/>
      <c r="V552" s="194"/>
      <c r="W552" s="194"/>
      <c r="X552" s="194"/>
      <c r="Y552" s="194"/>
      <c r="Z552" s="194"/>
      <c r="AA552" s="194"/>
      <c r="AB552" s="194"/>
      <c r="AC552" s="194"/>
      <c r="AD552" s="194"/>
      <c r="AE552" s="195"/>
      <c r="AF552" s="195"/>
      <c r="AG552" s="195"/>
      <c r="AH552" s="195"/>
    </row>
    <row r="553" customHeight="1" spans="1:34">
      <c r="H553" s="193"/>
      <c r="I553" s="193"/>
      <c r="J553" s="193"/>
      <c r="K553" s="193"/>
      <c r="L553" s="193"/>
      <c r="M553" s="193"/>
      <c r="N553" s="193"/>
      <c r="O553" s="193"/>
      <c r="S553" s="194"/>
      <c r="T553" s="194"/>
      <c r="U553" s="194"/>
      <c r="V553" s="194"/>
      <c r="W553" s="194"/>
      <c r="X553" s="194"/>
      <c r="Y553" s="194"/>
      <c r="Z553" s="194"/>
      <c r="AA553" s="194"/>
      <c r="AB553" s="194"/>
      <c r="AC553" s="194"/>
      <c r="AD553" s="194"/>
      <c r="AE553" s="195"/>
      <c r="AF553" s="195"/>
      <c r="AG553" s="195"/>
      <c r="AH553" s="195"/>
    </row>
    <row r="554" customHeight="1" spans="1:34">
      <c r="A554" s="308" t="s">
        <v>868</v>
      </c>
      <c r="B554" s="308"/>
      <c r="C554" s="308"/>
      <c r="D554" s="308"/>
      <c r="E554" s="308"/>
      <c r="F554" s="308"/>
      <c r="G554" s="308"/>
      <c r="H554" s="193"/>
      <c r="I554" s="193"/>
      <c r="J554" s="193"/>
      <c r="K554" s="193"/>
      <c r="L554" s="193"/>
      <c r="M554" s="193"/>
      <c r="N554" s="193"/>
      <c r="O554" s="193"/>
      <c r="S554" s="194"/>
      <c r="T554" s="194"/>
      <c r="U554" s="194"/>
      <c r="V554" s="194"/>
      <c r="W554" s="194"/>
      <c r="X554" s="194"/>
      <c r="Y554" s="194"/>
      <c r="Z554" s="194"/>
      <c r="AA554" s="194"/>
      <c r="AB554" s="194"/>
      <c r="AC554" s="194"/>
      <c r="AD554" s="194"/>
      <c r="AE554" s="195"/>
      <c r="AF554" s="195"/>
      <c r="AG554" s="195"/>
      <c r="AH554" s="195"/>
    </row>
    <row r="555" customHeight="1" spans="1:34">
      <c r="A555" s="309" t="s">
        <v>869</v>
      </c>
      <c r="B555" s="310"/>
      <c r="C555" s="310" t="s">
        <v>17</v>
      </c>
      <c r="D555" s="310" t="s">
        <v>870</v>
      </c>
      <c r="E555" s="311" t="s">
        <v>1297</v>
      </c>
      <c r="F555" s="312"/>
      <c r="G555" s="313"/>
      <c r="H555" s="193"/>
      <c r="I555" s="193"/>
      <c r="J555" s="193"/>
      <c r="K555" s="193"/>
      <c r="L555" s="193"/>
      <c r="M555" s="193"/>
      <c r="N555" s="193"/>
      <c r="O555" s="193"/>
      <c r="S555" s="194"/>
      <c r="T555" s="194"/>
      <c r="U555" s="194"/>
      <c r="V555" s="194"/>
      <c r="W555" s="194"/>
      <c r="X555" s="194"/>
      <c r="Y555" s="194"/>
      <c r="Z555" s="194"/>
      <c r="AA555" s="194"/>
      <c r="AB555" s="194"/>
      <c r="AC555" s="194"/>
      <c r="AD555" s="194"/>
      <c r="AE555" s="195"/>
      <c r="AF555" s="195"/>
      <c r="AG555" s="195"/>
      <c r="AH555" s="195"/>
    </row>
    <row r="556" customHeight="1" spans="1:34">
      <c r="A556" s="314" t="s">
        <v>507</v>
      </c>
      <c r="B556" s="315"/>
      <c r="C556" s="316" t="s">
        <v>1298</v>
      </c>
      <c r="D556" s="316"/>
      <c r="E556" s="316"/>
      <c r="F556" s="317" t="s">
        <v>873</v>
      </c>
      <c r="G556" s="318" t="s">
        <v>1043</v>
      </c>
      <c r="H556" s="193"/>
      <c r="I556" s="193"/>
      <c r="J556" s="193"/>
      <c r="K556" s="193"/>
      <c r="L556" s="193"/>
      <c r="M556" s="193"/>
      <c r="N556" s="193"/>
      <c r="O556" s="193"/>
      <c r="S556" s="194"/>
      <c r="T556" s="194"/>
      <c r="U556" s="194"/>
      <c r="V556" s="194"/>
      <c r="W556" s="194"/>
      <c r="X556" s="194"/>
      <c r="Y556" s="194"/>
      <c r="Z556" s="194"/>
      <c r="AA556" s="194"/>
      <c r="AB556" s="194"/>
      <c r="AC556" s="194"/>
      <c r="AD556" s="194"/>
      <c r="AE556" s="195"/>
      <c r="AF556" s="195"/>
      <c r="AG556" s="195"/>
      <c r="AH556" s="195"/>
    </row>
    <row r="557" customHeight="1" spans="1:34">
      <c r="A557" s="319" t="s">
        <v>875</v>
      </c>
      <c r="B557" s="320"/>
      <c r="C557" s="320"/>
      <c r="D557" s="320"/>
      <c r="E557" s="320"/>
      <c r="F557" s="320"/>
      <c r="G557" s="321"/>
      <c r="H557" s="193"/>
      <c r="I557" s="193"/>
      <c r="J557" s="193"/>
      <c r="K557" s="193"/>
      <c r="L557" s="193"/>
      <c r="M557" s="193"/>
      <c r="N557" s="193"/>
      <c r="O557" s="193"/>
      <c r="S557" s="194"/>
      <c r="T557" s="194"/>
      <c r="U557" s="194"/>
      <c r="V557" s="194"/>
      <c r="W557" s="194"/>
      <c r="X557" s="194"/>
      <c r="Y557" s="194"/>
      <c r="Z557" s="194"/>
      <c r="AA557" s="194"/>
      <c r="AB557" s="194"/>
      <c r="AC557" s="194"/>
      <c r="AD557" s="194"/>
      <c r="AE557" s="195"/>
      <c r="AF557" s="195"/>
      <c r="AG557" s="195"/>
      <c r="AH557" s="195"/>
    </row>
    <row r="558" customHeight="1" spans="1:34">
      <c r="A558" s="322" t="s">
        <v>912</v>
      </c>
      <c r="B558" s="323"/>
      <c r="C558" s="324"/>
      <c r="D558" s="324"/>
      <c r="E558" s="324"/>
      <c r="F558" s="324"/>
      <c r="G558" s="325"/>
      <c r="H558" s="193"/>
      <c r="I558" s="193"/>
      <c r="J558" s="193"/>
      <c r="K558" s="193"/>
      <c r="L558" s="193"/>
      <c r="M558" s="193"/>
      <c r="N558" s="193"/>
      <c r="O558" s="193"/>
      <c r="S558" s="194"/>
      <c r="T558" s="194"/>
      <c r="U558" s="194"/>
      <c r="V558" s="194"/>
      <c r="W558" s="194"/>
      <c r="X558" s="194"/>
      <c r="Y558" s="194"/>
      <c r="Z558" s="194"/>
      <c r="AA558" s="194"/>
      <c r="AB558" s="194"/>
      <c r="AC558" s="194"/>
      <c r="AD558" s="194"/>
      <c r="AE558" s="195"/>
      <c r="AF558" s="195"/>
      <c r="AG558" s="195"/>
      <c r="AH558" s="195"/>
    </row>
    <row r="559" customHeight="1" spans="1:34">
      <c r="A559" s="314" t="s">
        <v>34</v>
      </c>
      <c r="B559" s="317" t="s">
        <v>761</v>
      </c>
      <c r="C559" s="317"/>
      <c r="D559" s="317" t="s">
        <v>60</v>
      </c>
      <c r="E559" s="326" t="s">
        <v>877</v>
      </c>
      <c r="F559" s="317" t="s">
        <v>878</v>
      </c>
      <c r="G559" s="318" t="s">
        <v>879</v>
      </c>
      <c r="H559" s="193"/>
      <c r="I559" s="193"/>
      <c r="J559" s="193"/>
      <c r="K559" s="193"/>
      <c r="L559" s="193"/>
      <c r="M559" s="193"/>
      <c r="N559" s="193"/>
      <c r="O559" s="193"/>
      <c r="S559" s="194"/>
      <c r="T559" s="194"/>
      <c r="U559" s="194"/>
      <c r="V559" s="194"/>
      <c r="W559" s="194"/>
      <c r="X559" s="194"/>
      <c r="Y559" s="194"/>
      <c r="Z559" s="194"/>
      <c r="AA559" s="194"/>
      <c r="AB559" s="194"/>
      <c r="AC559" s="194"/>
      <c r="AD559" s="194"/>
      <c r="AE559" s="195"/>
      <c r="AF559" s="195"/>
      <c r="AG559" s="195"/>
      <c r="AH559" s="195"/>
    </row>
    <row r="560" customHeight="1" spans="1:34">
      <c r="A560" s="314" t="s">
        <v>8</v>
      </c>
      <c r="B560" s="327" t="s">
        <v>880</v>
      </c>
      <c r="C560" s="328"/>
      <c r="D560" s="317"/>
      <c r="E560" s="326"/>
      <c r="F560" s="326"/>
      <c r="G560" s="329">
        <f>G561+G567</f>
        <v>198.308586</v>
      </c>
      <c r="H560" s="193"/>
      <c r="I560" s="193"/>
      <c r="J560" s="193"/>
      <c r="K560" s="193"/>
      <c r="L560" s="193"/>
      <c r="M560" s="193"/>
      <c r="N560" s="193"/>
      <c r="O560" s="193"/>
      <c r="S560" s="194"/>
      <c r="T560" s="194"/>
      <c r="U560" s="194"/>
      <c r="V560" s="194"/>
      <c r="W560" s="194"/>
      <c r="X560" s="194"/>
      <c r="Y560" s="194"/>
      <c r="Z560" s="194"/>
      <c r="AA560" s="194"/>
      <c r="AB560" s="194"/>
      <c r="AC560" s="194"/>
      <c r="AD560" s="194"/>
      <c r="AE560" s="195"/>
      <c r="AF560" s="195"/>
      <c r="AG560" s="195"/>
      <c r="AH560" s="195"/>
    </row>
    <row r="561" customHeight="1" spans="1:34">
      <c r="A561" s="314" t="s">
        <v>881</v>
      </c>
      <c r="B561" s="327" t="s">
        <v>882</v>
      </c>
      <c r="C561" s="328"/>
      <c r="D561" s="317"/>
      <c r="E561" s="326"/>
      <c r="F561" s="326"/>
      <c r="G561" s="329">
        <f>G562+G565</f>
        <v>186.38025</v>
      </c>
      <c r="H561" s="193"/>
      <c r="I561" s="193"/>
      <c r="J561" s="193"/>
      <c r="K561" s="193"/>
      <c r="L561" s="193"/>
      <c r="M561" s="193"/>
      <c r="N561" s="193"/>
      <c r="O561" s="193"/>
      <c r="S561" s="194"/>
      <c r="T561" s="194"/>
      <c r="U561" s="194"/>
      <c r="V561" s="194"/>
      <c r="W561" s="194"/>
      <c r="X561" s="194"/>
      <c r="Y561" s="194"/>
      <c r="Z561" s="194"/>
      <c r="AA561" s="194"/>
      <c r="AB561" s="194"/>
      <c r="AC561" s="194"/>
      <c r="AD561" s="194"/>
      <c r="AE561" s="195"/>
      <c r="AF561" s="195"/>
      <c r="AG561" s="195"/>
      <c r="AH561" s="195"/>
    </row>
    <row r="562" customHeight="1" spans="1:34">
      <c r="A562" s="314" t="s">
        <v>17</v>
      </c>
      <c r="B562" s="327" t="s">
        <v>510</v>
      </c>
      <c r="C562" s="328"/>
      <c r="D562" s="317"/>
      <c r="E562" s="326"/>
      <c r="F562" s="326"/>
      <c r="G562" s="329">
        <f>SUM(G563:G564)</f>
        <v>177.505</v>
      </c>
      <c r="H562" s="193"/>
      <c r="I562" s="193"/>
      <c r="J562" s="193"/>
      <c r="K562" s="193"/>
      <c r="L562" s="193"/>
      <c r="M562" s="193"/>
      <c r="N562" s="193"/>
      <c r="O562" s="193"/>
      <c r="S562" s="194"/>
      <c r="T562" s="194"/>
      <c r="U562" s="194"/>
      <c r="V562" s="194"/>
      <c r="W562" s="194"/>
      <c r="X562" s="194"/>
      <c r="Y562" s="194"/>
      <c r="Z562" s="194"/>
      <c r="AA562" s="194"/>
      <c r="AB562" s="194"/>
      <c r="AC562" s="194"/>
      <c r="AD562" s="194"/>
      <c r="AE562" s="195"/>
      <c r="AF562" s="195"/>
      <c r="AG562" s="195"/>
      <c r="AH562" s="195"/>
    </row>
    <row r="563" customHeight="1" spans="1:34">
      <c r="A563" s="314"/>
      <c r="B563" s="327" t="s">
        <v>704</v>
      </c>
      <c r="C563" s="328"/>
      <c r="D563" s="317" t="s">
        <v>705</v>
      </c>
      <c r="E563" s="330">
        <v>0.9</v>
      </c>
      <c r="F563" s="330">
        <f>主要材料预算!$D$19</f>
        <v>8.1</v>
      </c>
      <c r="G563" s="329">
        <f t="shared" ref="G563:G571" si="39">E563*F563</f>
        <v>7.29</v>
      </c>
      <c r="H563" s="193"/>
      <c r="I563" s="193"/>
      <c r="J563" s="193"/>
      <c r="K563" s="193"/>
      <c r="L563" s="193"/>
      <c r="M563" s="193"/>
      <c r="N563" s="193"/>
      <c r="O563" s="193"/>
      <c r="S563" s="194"/>
      <c r="T563" s="194"/>
      <c r="U563" s="194"/>
      <c r="V563" s="194"/>
      <c r="W563" s="194"/>
      <c r="X563" s="194"/>
      <c r="Y563" s="194"/>
      <c r="Z563" s="194"/>
      <c r="AA563" s="194"/>
      <c r="AB563" s="194"/>
      <c r="AC563" s="194"/>
      <c r="AD563" s="194"/>
      <c r="AE563" s="195"/>
      <c r="AF563" s="195"/>
      <c r="AG563" s="195"/>
      <c r="AH563" s="195"/>
    </row>
    <row r="564" customHeight="1" spans="1:34">
      <c r="A564" s="314"/>
      <c r="B564" s="327" t="s">
        <v>706</v>
      </c>
      <c r="C564" s="328"/>
      <c r="D564" s="317" t="s">
        <v>705</v>
      </c>
      <c r="E564" s="330">
        <v>29.5</v>
      </c>
      <c r="F564" s="326">
        <f>主要材料预算!$D$20</f>
        <v>5.77</v>
      </c>
      <c r="G564" s="329">
        <f t="shared" si="39"/>
        <v>170.215</v>
      </c>
      <c r="H564" s="193"/>
      <c r="I564" s="193"/>
      <c r="J564" s="193"/>
      <c r="K564" s="193"/>
      <c r="L564" s="193"/>
      <c r="M564" s="193"/>
      <c r="N564" s="193"/>
      <c r="O564" s="193"/>
      <c r="S564" s="194"/>
      <c r="T564" s="194"/>
      <c r="U564" s="194"/>
      <c r="V564" s="194"/>
      <c r="W564" s="194"/>
      <c r="X564" s="194"/>
      <c r="Y564" s="194"/>
      <c r="Z564" s="194"/>
      <c r="AA564" s="194"/>
      <c r="AB564" s="194"/>
      <c r="AC564" s="194"/>
      <c r="AD564" s="194"/>
      <c r="AE564" s="195"/>
      <c r="AF564" s="195"/>
      <c r="AG564" s="195"/>
      <c r="AH564" s="195"/>
    </row>
    <row r="565" customHeight="1" spans="1:34">
      <c r="A565" s="314" t="s">
        <v>19</v>
      </c>
      <c r="B565" s="327" t="s">
        <v>511</v>
      </c>
      <c r="C565" s="328"/>
      <c r="D565" s="317"/>
      <c r="E565" s="326"/>
      <c r="F565" s="326"/>
      <c r="G565" s="329">
        <f>G566</f>
        <v>8.87525</v>
      </c>
      <c r="H565" s="193"/>
      <c r="I565" s="193"/>
      <c r="J565" s="193"/>
      <c r="K565" s="193"/>
      <c r="L565" s="193"/>
      <c r="M565" s="193"/>
      <c r="N565" s="193"/>
      <c r="O565" s="193"/>
      <c r="S565" s="194"/>
      <c r="T565" s="194"/>
      <c r="U565" s="194"/>
      <c r="V565" s="194"/>
      <c r="W565" s="194"/>
      <c r="X565" s="194"/>
      <c r="Y565" s="194"/>
      <c r="Z565" s="194"/>
      <c r="AA565" s="194"/>
      <c r="AB565" s="194"/>
      <c r="AC565" s="194"/>
      <c r="AD565" s="194"/>
      <c r="AE565" s="195"/>
      <c r="AF565" s="195"/>
      <c r="AG565" s="195"/>
      <c r="AH565" s="195"/>
    </row>
    <row r="566" customHeight="1" spans="1:34">
      <c r="A566" s="314"/>
      <c r="B566" s="327" t="s">
        <v>1008</v>
      </c>
      <c r="C566" s="328"/>
      <c r="D566" s="317" t="s">
        <v>894</v>
      </c>
      <c r="E566" s="147">
        <f>G562</f>
        <v>177.505</v>
      </c>
      <c r="F566" s="331">
        <v>5</v>
      </c>
      <c r="G566" s="329">
        <f>E566*F566/100</f>
        <v>8.87525</v>
      </c>
      <c r="H566" s="193"/>
      <c r="I566" s="193"/>
      <c r="J566" s="193"/>
      <c r="K566" s="193"/>
      <c r="L566" s="193"/>
      <c r="M566" s="193"/>
      <c r="N566" s="193"/>
      <c r="O566" s="193"/>
      <c r="S566" s="194"/>
      <c r="T566" s="194"/>
      <c r="U566" s="194"/>
      <c r="V566" s="194"/>
      <c r="W566" s="194"/>
      <c r="X566" s="194"/>
      <c r="Y566" s="194"/>
      <c r="Z566" s="194"/>
      <c r="AA566" s="194"/>
      <c r="AB566" s="194"/>
      <c r="AC566" s="194"/>
      <c r="AD566" s="194"/>
      <c r="AE566" s="195"/>
      <c r="AF566" s="195"/>
      <c r="AG566" s="195"/>
      <c r="AH566" s="195"/>
    </row>
    <row r="567" customHeight="1" spans="1:34">
      <c r="A567" s="314" t="s">
        <v>905</v>
      </c>
      <c r="B567" s="327" t="s">
        <v>514</v>
      </c>
      <c r="C567" s="328"/>
      <c r="D567" s="317"/>
      <c r="E567" s="332">
        <f>G561</f>
        <v>186.38025</v>
      </c>
      <c r="F567" s="333">
        <f>费率表!$J$12</f>
        <v>0.064</v>
      </c>
      <c r="G567" s="329">
        <f t="shared" si="39"/>
        <v>11.928336</v>
      </c>
      <c r="H567" s="193"/>
      <c r="I567" s="193"/>
      <c r="J567" s="193"/>
      <c r="K567" s="193"/>
      <c r="L567" s="193"/>
      <c r="M567" s="193"/>
      <c r="N567" s="193"/>
      <c r="O567" s="193"/>
      <c r="S567" s="194"/>
      <c r="T567" s="194"/>
      <c r="U567" s="194"/>
      <c r="V567" s="194"/>
      <c r="W567" s="194"/>
      <c r="X567" s="194"/>
      <c r="Y567" s="194"/>
      <c r="Z567" s="194"/>
      <c r="AA567" s="194"/>
      <c r="AB567" s="194"/>
      <c r="AC567" s="194"/>
      <c r="AD567" s="194"/>
      <c r="AE567" s="195"/>
      <c r="AF567" s="195"/>
      <c r="AG567" s="195"/>
      <c r="AH567" s="195"/>
    </row>
    <row r="568" customHeight="1" spans="1:34">
      <c r="A568" s="314" t="s">
        <v>10</v>
      </c>
      <c r="B568" s="327" t="s">
        <v>770</v>
      </c>
      <c r="C568" s="328"/>
      <c r="D568" s="317"/>
      <c r="E568" s="326">
        <f>G560</f>
        <v>198.308586</v>
      </c>
      <c r="F568" s="334">
        <f>费率表!$J$13</f>
        <v>0.074</v>
      </c>
      <c r="G568" s="329">
        <f t="shared" si="39"/>
        <v>14.674835364</v>
      </c>
      <c r="H568" s="193"/>
      <c r="I568" s="193"/>
      <c r="J568" s="193"/>
      <c r="K568" s="193"/>
      <c r="L568" s="193"/>
      <c r="M568" s="193"/>
      <c r="N568" s="193"/>
      <c r="O568" s="193"/>
      <c r="S568" s="194"/>
      <c r="T568" s="194"/>
      <c r="U568" s="194"/>
      <c r="V568" s="194"/>
      <c r="W568" s="194"/>
      <c r="X568" s="194"/>
      <c r="Y568" s="194"/>
      <c r="Z568" s="194"/>
      <c r="AA568" s="194"/>
      <c r="AB568" s="194"/>
      <c r="AC568" s="194"/>
      <c r="AD568" s="194"/>
      <c r="AE568" s="195"/>
      <c r="AF568" s="195"/>
      <c r="AG568" s="195"/>
      <c r="AH568" s="195"/>
    </row>
    <row r="569" customHeight="1" spans="1:34">
      <c r="A569" s="314" t="s">
        <v>12</v>
      </c>
      <c r="B569" s="327" t="s">
        <v>771</v>
      </c>
      <c r="C569" s="328"/>
      <c r="D569" s="317"/>
      <c r="E569" s="326">
        <f>G560+G568</f>
        <v>212.983421364</v>
      </c>
      <c r="F569" s="334">
        <f>费率表!$J$14</f>
        <v>0.07</v>
      </c>
      <c r="G569" s="329">
        <f t="shared" si="39"/>
        <v>14.90883949548</v>
      </c>
      <c r="H569" s="193"/>
      <c r="I569" s="193"/>
      <c r="J569" s="193"/>
      <c r="K569" s="193"/>
      <c r="L569" s="193"/>
      <c r="M569" s="193"/>
      <c r="N569" s="193"/>
      <c r="O569" s="193"/>
      <c r="S569" s="194"/>
      <c r="T569" s="194"/>
      <c r="U569" s="194"/>
      <c r="V569" s="194"/>
      <c r="W569" s="194"/>
      <c r="X569" s="194"/>
      <c r="Y569" s="194"/>
      <c r="Z569" s="194"/>
      <c r="AA569" s="194"/>
      <c r="AB569" s="194"/>
      <c r="AC569" s="194"/>
      <c r="AD569" s="194"/>
      <c r="AE569" s="195"/>
      <c r="AF569" s="195"/>
      <c r="AG569" s="195"/>
      <c r="AH569" s="195"/>
    </row>
    <row r="570" customHeight="1" spans="1:34">
      <c r="A570" s="314" t="s">
        <v>15</v>
      </c>
      <c r="B570" s="327" t="s">
        <v>772</v>
      </c>
      <c r="C570" s="328"/>
      <c r="D570" s="317"/>
      <c r="E570" s="326">
        <f>G560+G568++G569</f>
        <v>227.89226085948</v>
      </c>
      <c r="F570" s="334">
        <f>费率表!$J$15</f>
        <v>0.09</v>
      </c>
      <c r="G570" s="329">
        <f t="shared" si="39"/>
        <v>20.5103034773532</v>
      </c>
      <c r="H570" s="193"/>
      <c r="I570" s="193"/>
      <c r="J570" s="193"/>
      <c r="K570" s="193"/>
      <c r="L570" s="193"/>
      <c r="M570" s="193"/>
      <c r="N570" s="193"/>
      <c r="O570" s="193"/>
      <c r="S570" s="194"/>
      <c r="T570" s="194"/>
      <c r="U570" s="194"/>
      <c r="V570" s="194"/>
      <c r="W570" s="194"/>
      <c r="X570" s="194"/>
      <c r="Y570" s="194"/>
      <c r="Z570" s="194"/>
      <c r="AA570" s="194"/>
      <c r="AB570" s="194"/>
      <c r="AC570" s="194"/>
      <c r="AD570" s="194"/>
      <c r="AE570" s="195"/>
      <c r="AF570" s="195"/>
      <c r="AG570" s="195"/>
      <c r="AH570" s="195"/>
    </row>
    <row r="571" customHeight="1" spans="1:34">
      <c r="A571" s="314"/>
      <c r="B571" s="327" t="s">
        <v>907</v>
      </c>
      <c r="C571" s="328"/>
      <c r="D571" s="317"/>
      <c r="E571" s="326">
        <f>G560+G568+G569+G570</f>
        <v>248.402564336833</v>
      </c>
      <c r="F571" s="334">
        <f>费率表!$I$19</f>
        <v>0.03</v>
      </c>
      <c r="G571" s="329">
        <f t="shared" si="39"/>
        <v>7.45207693010499</v>
      </c>
      <c r="H571" s="193"/>
      <c r="I571" s="193"/>
      <c r="J571" s="193"/>
      <c r="K571" s="193"/>
      <c r="L571" s="193"/>
      <c r="M571" s="193"/>
      <c r="N571" s="193"/>
      <c r="O571" s="193"/>
      <c r="S571" s="194"/>
      <c r="T571" s="194"/>
      <c r="U571" s="194"/>
      <c r="V571" s="194"/>
      <c r="W571" s="194"/>
      <c r="X571" s="194"/>
      <c r="Y571" s="194"/>
      <c r="Z571" s="194"/>
      <c r="AA571" s="194"/>
      <c r="AB571" s="194"/>
      <c r="AC571" s="194"/>
      <c r="AD571" s="194"/>
      <c r="AE571" s="195"/>
      <c r="AF571" s="195"/>
      <c r="AG571" s="195"/>
      <c r="AH571" s="195"/>
    </row>
    <row r="572" customHeight="1" spans="1:34">
      <c r="A572" s="335"/>
      <c r="B572" s="336" t="s">
        <v>39</v>
      </c>
      <c r="C572" s="337"/>
      <c r="D572" s="338"/>
      <c r="E572" s="339"/>
      <c r="F572" s="338"/>
      <c r="G572" s="340">
        <f>G560+G568+G569+G570+G571</f>
        <v>255.854641266938</v>
      </c>
      <c r="S572" s="196"/>
      <c r="T572" s="196"/>
      <c r="U572" s="196"/>
      <c r="V572" s="196"/>
      <c r="W572" s="196"/>
      <c r="X572" s="196"/>
      <c r="Y572" s="196"/>
      <c r="Z572" s="196"/>
      <c r="AA572" s="196"/>
      <c r="AB572" s="196"/>
      <c r="AC572" s="196"/>
      <c r="AD572" s="196"/>
      <c r="AE572" s="197"/>
      <c r="AF572" s="197"/>
      <c r="AG572" s="197"/>
      <c r="AH572" s="197"/>
    </row>
    <row r="573" customHeight="1" spans="1:34">
      <c r="S573" s="196"/>
      <c r="T573" s="196"/>
      <c r="U573" s="196"/>
      <c r="V573" s="196"/>
      <c r="W573" s="196"/>
      <c r="X573" s="196"/>
      <c r="Y573" s="196"/>
      <c r="Z573" s="196"/>
      <c r="AA573" s="196"/>
      <c r="AB573" s="196"/>
      <c r="AC573" s="196"/>
      <c r="AD573" s="196"/>
      <c r="AE573" s="197"/>
      <c r="AF573" s="197"/>
      <c r="AG573" s="197"/>
      <c r="AH573" s="197"/>
    </row>
    <row r="574" customHeight="1" spans="1:34">
      <c r="A574" s="308" t="s">
        <v>868</v>
      </c>
      <c r="B574" s="308"/>
      <c r="C574" s="308"/>
      <c r="D574" s="308"/>
      <c r="E574" s="308"/>
      <c r="F574" s="308"/>
      <c r="G574" s="308"/>
      <c r="S574" s="196"/>
      <c r="T574" s="196"/>
      <c r="U574" s="196"/>
      <c r="V574" s="196"/>
      <c r="W574" s="196"/>
      <c r="X574" s="196"/>
      <c r="Y574" s="196"/>
      <c r="Z574" s="196"/>
      <c r="AA574" s="196"/>
      <c r="AB574" s="196"/>
      <c r="AC574" s="196"/>
      <c r="AD574" s="196"/>
      <c r="AE574" s="197"/>
      <c r="AF574" s="197"/>
      <c r="AG574" s="197"/>
      <c r="AH574" s="197"/>
    </row>
    <row r="575" customHeight="1" spans="1:34">
      <c r="A575" s="309" t="s">
        <v>869</v>
      </c>
      <c r="B575" s="310"/>
      <c r="C575" s="310" t="s">
        <v>202</v>
      </c>
      <c r="D575" s="310" t="s">
        <v>870</v>
      </c>
      <c r="E575" s="311" t="s">
        <v>1299</v>
      </c>
      <c r="F575" s="312"/>
      <c r="G575" s="313"/>
      <c r="S575" s="196"/>
      <c r="T575" s="196"/>
      <c r="U575" s="196"/>
      <c r="V575" s="196"/>
      <c r="W575" s="196"/>
      <c r="X575" s="196"/>
      <c r="Y575" s="196"/>
      <c r="Z575" s="196"/>
      <c r="AA575" s="196"/>
      <c r="AB575" s="196"/>
      <c r="AC575" s="196"/>
      <c r="AD575" s="196"/>
      <c r="AE575" s="197"/>
      <c r="AF575" s="197"/>
      <c r="AG575" s="197"/>
      <c r="AH575" s="197"/>
    </row>
    <row r="576" customHeight="1" spans="1:34">
      <c r="A576" s="314" t="s">
        <v>507</v>
      </c>
      <c r="B576" s="315"/>
      <c r="C576" s="316" t="s">
        <v>1300</v>
      </c>
      <c r="D576" s="316"/>
      <c r="E576" s="316"/>
      <c r="F576" s="317" t="s">
        <v>873</v>
      </c>
      <c r="G576" s="318" t="s">
        <v>874</v>
      </c>
      <c r="S576" s="196"/>
      <c r="T576" s="196"/>
      <c r="U576" s="196"/>
      <c r="V576" s="196"/>
      <c r="W576" s="196"/>
      <c r="X576" s="196"/>
      <c r="Y576" s="196"/>
      <c r="Z576" s="196"/>
      <c r="AA576" s="196"/>
      <c r="AB576" s="196"/>
      <c r="AC576" s="196"/>
      <c r="AD576" s="196"/>
      <c r="AE576" s="197"/>
      <c r="AF576" s="197"/>
      <c r="AG576" s="197"/>
      <c r="AH576" s="197"/>
    </row>
    <row r="577" customHeight="1" spans="1:34">
      <c r="A577" s="319" t="s">
        <v>1151</v>
      </c>
      <c r="B577" s="320"/>
      <c r="C577" s="320"/>
      <c r="D577" s="320"/>
      <c r="E577" s="320"/>
      <c r="F577" s="320"/>
      <c r="G577" s="321"/>
      <c r="S577" s="196"/>
      <c r="T577" s="196"/>
      <c r="U577" s="196"/>
      <c r="V577" s="196"/>
      <c r="W577" s="196"/>
      <c r="X577" s="196"/>
      <c r="Y577" s="196"/>
      <c r="Z577" s="196"/>
      <c r="AA577" s="196"/>
      <c r="AB577" s="196"/>
      <c r="AC577" s="196"/>
      <c r="AD577" s="196"/>
      <c r="AE577" s="197"/>
      <c r="AF577" s="197"/>
      <c r="AG577" s="197"/>
      <c r="AH577" s="197"/>
    </row>
    <row r="578" customHeight="1" spans="1:34">
      <c r="A578" s="322" t="s">
        <v>1301</v>
      </c>
      <c r="B578" s="323"/>
      <c r="C578" s="324"/>
      <c r="D578" s="324"/>
      <c r="E578" s="324"/>
      <c r="F578" s="324"/>
      <c r="G578" s="325"/>
      <c r="S578" s="196"/>
      <c r="T578" s="196"/>
      <c r="U578" s="196"/>
      <c r="V578" s="196"/>
      <c r="W578" s="196"/>
      <c r="X578" s="196"/>
      <c r="Y578" s="196"/>
      <c r="Z578" s="196"/>
      <c r="AA578" s="196"/>
      <c r="AB578" s="196"/>
      <c r="AC578" s="196"/>
      <c r="AD578" s="196"/>
      <c r="AE578" s="197"/>
      <c r="AF578" s="197"/>
      <c r="AG578" s="197"/>
      <c r="AH578" s="197"/>
    </row>
    <row r="579" customHeight="1" spans="1:34">
      <c r="A579" s="314" t="s">
        <v>34</v>
      </c>
      <c r="B579" s="317" t="s">
        <v>761</v>
      </c>
      <c r="C579" s="317"/>
      <c r="D579" s="317" t="s">
        <v>60</v>
      </c>
      <c r="E579" s="326" t="s">
        <v>877</v>
      </c>
      <c r="F579" s="317" t="s">
        <v>878</v>
      </c>
      <c r="G579" s="318" t="s">
        <v>879</v>
      </c>
      <c r="S579" s="196"/>
      <c r="T579" s="196"/>
      <c r="U579" s="196"/>
      <c r="V579" s="196"/>
      <c r="W579" s="196"/>
      <c r="X579" s="196"/>
      <c r="Y579" s="196"/>
      <c r="Z579" s="196"/>
      <c r="AA579" s="196"/>
      <c r="AB579" s="196"/>
      <c r="AC579" s="196"/>
      <c r="AD579" s="196"/>
      <c r="AE579" s="197"/>
      <c r="AF579" s="197"/>
      <c r="AG579" s="197"/>
      <c r="AH579" s="197"/>
    </row>
    <row r="580" customHeight="1" spans="1:34">
      <c r="A580" s="314" t="s">
        <v>8</v>
      </c>
      <c r="B580" s="327" t="s">
        <v>880</v>
      </c>
      <c r="C580" s="328"/>
      <c r="D580" s="317"/>
      <c r="E580" s="326"/>
      <c r="F580" s="326"/>
      <c r="G580" s="329">
        <f>G581+G592</f>
        <v>8170.914584</v>
      </c>
      <c r="S580" s="196"/>
      <c r="T580" s="196"/>
      <c r="U580" s="196"/>
      <c r="V580" s="196"/>
      <c r="W580" s="196"/>
      <c r="X580" s="196"/>
      <c r="Y580" s="196"/>
      <c r="Z580" s="196"/>
      <c r="AA580" s="196"/>
      <c r="AB580" s="196"/>
      <c r="AC580" s="196"/>
      <c r="AD580" s="196"/>
      <c r="AE580" s="197"/>
      <c r="AF580" s="197"/>
      <c r="AG580" s="197"/>
      <c r="AH580" s="197"/>
    </row>
    <row r="581" customHeight="1" spans="1:34">
      <c r="A581" s="314" t="s">
        <v>881</v>
      </c>
      <c r="B581" s="327" t="s">
        <v>882</v>
      </c>
      <c r="C581" s="328"/>
      <c r="D581" s="317"/>
      <c r="E581" s="326"/>
      <c r="F581" s="326"/>
      <c r="G581" s="329">
        <f>G582+G585+G590</f>
        <v>7679.431</v>
      </c>
      <c r="S581" s="196"/>
      <c r="T581" s="196"/>
      <c r="U581" s="196"/>
      <c r="V581" s="196"/>
      <c r="W581" s="196"/>
      <c r="X581" s="196"/>
      <c r="Y581" s="196"/>
      <c r="Z581" s="196"/>
      <c r="AA581" s="196"/>
      <c r="AB581" s="196"/>
      <c r="AC581" s="196"/>
      <c r="AD581" s="196"/>
      <c r="AE581" s="197"/>
      <c r="AF581" s="197"/>
      <c r="AG581" s="197"/>
      <c r="AH581" s="197"/>
    </row>
    <row r="582" customHeight="1" spans="1:34">
      <c r="A582" s="314" t="s">
        <v>17</v>
      </c>
      <c r="B582" s="327" t="s">
        <v>510</v>
      </c>
      <c r="C582" s="328"/>
      <c r="D582" s="317"/>
      <c r="E582" s="326"/>
      <c r="F582" s="326"/>
      <c r="G582" s="329">
        <f>SUM(G583:G584)</f>
        <v>4080.031</v>
      </c>
      <c r="S582" s="196"/>
      <c r="T582" s="196"/>
      <c r="U582" s="196"/>
      <c r="V582" s="196"/>
      <c r="W582" s="196"/>
      <c r="X582" s="196"/>
      <c r="Y582" s="196"/>
      <c r="Z582" s="196"/>
      <c r="AA582" s="196"/>
      <c r="AB582" s="196"/>
      <c r="AC582" s="196"/>
      <c r="AD582" s="196"/>
      <c r="AE582" s="197"/>
      <c r="AF582" s="197"/>
      <c r="AG582" s="197"/>
      <c r="AH582" s="197"/>
    </row>
    <row r="583" customHeight="1" spans="1:34">
      <c r="A583" s="314"/>
      <c r="B583" s="327" t="s">
        <v>704</v>
      </c>
      <c r="C583" s="328"/>
      <c r="D583" s="317" t="s">
        <v>705</v>
      </c>
      <c r="E583" s="330">
        <v>13.4</v>
      </c>
      <c r="F583" s="330">
        <f>主要材料预算!$D$19</f>
        <v>8.1</v>
      </c>
      <c r="G583" s="329">
        <f>E583*F583</f>
        <v>108.54</v>
      </c>
      <c r="S583" s="196"/>
      <c r="T583" s="196"/>
      <c r="U583" s="196"/>
      <c r="V583" s="196"/>
      <c r="W583" s="196"/>
      <c r="X583" s="196"/>
      <c r="Y583" s="196"/>
      <c r="Z583" s="196"/>
      <c r="AA583" s="196"/>
      <c r="AB583" s="196"/>
      <c r="AC583" s="196"/>
      <c r="AD583" s="196"/>
      <c r="AE583" s="197"/>
      <c r="AF583" s="197"/>
      <c r="AG583" s="197"/>
      <c r="AH583" s="197"/>
    </row>
    <row r="584" customHeight="1" spans="1:34">
      <c r="A584" s="314"/>
      <c r="B584" s="327" t="s">
        <v>706</v>
      </c>
      <c r="C584" s="328"/>
      <c r="D584" s="317" t="s">
        <v>705</v>
      </c>
      <c r="E584" s="330">
        <v>688.3</v>
      </c>
      <c r="F584" s="326">
        <f>主要材料预算!$D$20</f>
        <v>5.77</v>
      </c>
      <c r="G584" s="329">
        <f>E584*F584</f>
        <v>3971.491</v>
      </c>
      <c r="S584" s="196"/>
      <c r="T584" s="196"/>
      <c r="U584" s="196"/>
      <c r="V584" s="196"/>
      <c r="W584" s="196"/>
      <c r="X584" s="196"/>
      <c r="Y584" s="196"/>
      <c r="Z584" s="196"/>
      <c r="AA584" s="196"/>
      <c r="AB584" s="196"/>
      <c r="AC584" s="196"/>
      <c r="AD584" s="196"/>
      <c r="AE584" s="197"/>
      <c r="AF584" s="197"/>
      <c r="AG584" s="197"/>
      <c r="AH584" s="197"/>
    </row>
    <row r="585" customHeight="1" spans="1:34">
      <c r="A585" s="314" t="s">
        <v>19</v>
      </c>
      <c r="B585" s="327" t="s">
        <v>511</v>
      </c>
      <c r="C585" s="328"/>
      <c r="D585" s="317"/>
      <c r="E585" s="326"/>
      <c r="F585" s="326"/>
      <c r="G585" s="329">
        <f>SUM(G586:G589)</f>
        <v>3599.4</v>
      </c>
      <c r="S585" s="196"/>
      <c r="T585" s="196"/>
      <c r="U585" s="196"/>
      <c r="V585" s="196"/>
      <c r="W585" s="196"/>
      <c r="X585" s="196"/>
      <c r="Y585" s="196"/>
      <c r="Z585" s="196"/>
      <c r="AA585" s="196"/>
      <c r="AB585" s="196"/>
      <c r="AC585" s="196"/>
      <c r="AD585" s="196"/>
      <c r="AE585" s="197"/>
      <c r="AF585" s="197"/>
      <c r="AG585" s="197"/>
      <c r="AH585" s="197"/>
    </row>
    <row r="586" customHeight="1" spans="1:34">
      <c r="A586" s="314"/>
      <c r="B586" s="327" t="s">
        <v>1302</v>
      </c>
      <c r="C586" s="328"/>
      <c r="D586" s="317" t="s">
        <v>1303</v>
      </c>
      <c r="E586" s="326">
        <v>53</v>
      </c>
      <c r="F586" s="326">
        <v>58</v>
      </c>
      <c r="G586" s="329">
        <f>E586*F586</f>
        <v>3074</v>
      </c>
      <c r="S586" s="196"/>
      <c r="T586" s="196"/>
      <c r="U586" s="196"/>
      <c r="V586" s="196"/>
      <c r="W586" s="196"/>
      <c r="X586" s="196"/>
      <c r="Y586" s="196"/>
      <c r="Z586" s="196"/>
      <c r="AA586" s="196"/>
      <c r="AB586" s="196"/>
      <c r="AC586" s="196"/>
      <c r="AD586" s="196"/>
      <c r="AE586" s="197"/>
      <c r="AF586" s="197"/>
      <c r="AG586" s="197"/>
      <c r="AH586" s="197"/>
    </row>
    <row r="587" customHeight="1" spans="1:34">
      <c r="A587" s="314"/>
      <c r="B587" s="327" t="s">
        <v>1204</v>
      </c>
      <c r="C587" s="328"/>
      <c r="D587" s="355" t="s">
        <v>1304</v>
      </c>
      <c r="E587" s="326">
        <v>118</v>
      </c>
      <c r="F587" s="326">
        <v>3</v>
      </c>
      <c r="G587" s="329">
        <f>E587*F587</f>
        <v>354</v>
      </c>
      <c r="S587" s="196"/>
      <c r="T587" s="196"/>
      <c r="U587" s="196"/>
      <c r="V587" s="196"/>
      <c r="W587" s="196"/>
      <c r="X587" s="196"/>
      <c r="Y587" s="196"/>
      <c r="Z587" s="196"/>
      <c r="AA587" s="196"/>
      <c r="AB587" s="196"/>
      <c r="AC587" s="196"/>
      <c r="AD587" s="196"/>
      <c r="AE587" s="197"/>
      <c r="AF587" s="197"/>
      <c r="AG587" s="197"/>
      <c r="AH587" s="197"/>
    </row>
    <row r="588" customHeight="1" spans="1:34">
      <c r="A588" s="314"/>
      <c r="B588" s="327" t="s">
        <v>1305</v>
      </c>
      <c r="C588" s="328"/>
      <c r="D588" s="317" t="s">
        <v>695</v>
      </c>
      <c r="E588" s="326">
        <v>75</v>
      </c>
      <c r="F588" s="326"/>
      <c r="G588" s="329">
        <f>E588*F588</f>
        <v>0</v>
      </c>
      <c r="S588" s="196"/>
      <c r="T588" s="196"/>
      <c r="U588" s="196"/>
      <c r="V588" s="196"/>
      <c r="W588" s="196"/>
      <c r="X588" s="196"/>
      <c r="Y588" s="196"/>
      <c r="Z588" s="196"/>
      <c r="AA588" s="196"/>
      <c r="AB588" s="196"/>
      <c r="AC588" s="196"/>
      <c r="AD588" s="196"/>
      <c r="AE588" s="197"/>
      <c r="AF588" s="197"/>
      <c r="AG588" s="197"/>
      <c r="AH588" s="197"/>
    </row>
    <row r="589" customHeight="1" spans="1:34">
      <c r="A589" s="314"/>
      <c r="B589" s="327" t="s">
        <v>1008</v>
      </c>
      <c r="C589" s="328"/>
      <c r="D589" s="317" t="s">
        <v>894</v>
      </c>
      <c r="E589" s="147">
        <f>SUM(G586:G588)</f>
        <v>3428</v>
      </c>
      <c r="F589" s="331">
        <v>5</v>
      </c>
      <c r="G589" s="329">
        <f>E589*F589/100</f>
        <v>171.4</v>
      </c>
      <c r="S589" s="196"/>
      <c r="T589" s="196"/>
      <c r="U589" s="196"/>
      <c r="V589" s="196"/>
      <c r="W589" s="196"/>
      <c r="X589" s="196"/>
      <c r="Y589" s="196"/>
      <c r="Z589" s="196"/>
      <c r="AA589" s="196"/>
      <c r="AB589" s="196"/>
      <c r="AC589" s="196"/>
      <c r="AD589" s="196"/>
      <c r="AE589" s="197"/>
      <c r="AF589" s="197"/>
      <c r="AG589" s="197"/>
      <c r="AH589" s="197"/>
    </row>
    <row r="590" customHeight="1" spans="1:34">
      <c r="A590" s="314" t="s">
        <v>21</v>
      </c>
      <c r="B590" s="327" t="s">
        <v>895</v>
      </c>
      <c r="C590" s="328"/>
      <c r="D590" s="317"/>
      <c r="E590" s="147"/>
      <c r="F590" s="326"/>
      <c r="G590" s="329">
        <f>G591</f>
        <v>0</v>
      </c>
      <c r="S590" s="196"/>
      <c r="T590" s="196"/>
      <c r="U590" s="196"/>
      <c r="V590" s="196"/>
      <c r="W590" s="196"/>
      <c r="X590" s="196"/>
      <c r="Y590" s="196"/>
      <c r="Z590" s="196"/>
      <c r="AA590" s="196"/>
      <c r="AB590" s="196"/>
      <c r="AC590" s="196"/>
      <c r="AD590" s="196"/>
      <c r="AE590" s="197"/>
      <c r="AF590" s="197"/>
      <c r="AG590" s="197"/>
      <c r="AH590" s="197"/>
    </row>
    <row r="591" customHeight="1" spans="1:34">
      <c r="A591" s="314"/>
      <c r="B591" s="327"/>
      <c r="C591" s="328"/>
      <c r="D591" s="317"/>
      <c r="E591" s="147"/>
      <c r="F591" s="326"/>
      <c r="G591" s="329"/>
      <c r="S591" s="196"/>
      <c r="T591" s="196"/>
      <c r="U591" s="196"/>
      <c r="V591" s="196"/>
      <c r="W591" s="196"/>
      <c r="X591" s="196"/>
      <c r="Y591" s="196"/>
      <c r="Z591" s="196"/>
      <c r="AA591" s="196"/>
      <c r="AB591" s="196"/>
      <c r="AC591" s="196"/>
      <c r="AD591" s="196"/>
      <c r="AE591" s="197"/>
      <c r="AF591" s="197"/>
      <c r="AG591" s="197"/>
      <c r="AH591" s="197"/>
    </row>
    <row r="592" customHeight="1" spans="1:34">
      <c r="A592" s="314" t="s">
        <v>905</v>
      </c>
      <c r="B592" s="327" t="s">
        <v>514</v>
      </c>
      <c r="C592" s="328"/>
      <c r="D592" s="317"/>
      <c r="E592" s="332">
        <f>G581</f>
        <v>7679.431</v>
      </c>
      <c r="F592" s="333">
        <f>费率表!$C$12</f>
        <v>0.064</v>
      </c>
      <c r="G592" s="329">
        <f t="shared" ref="G589:G596" si="40">E592*F592</f>
        <v>491.483584</v>
      </c>
      <c r="S592" s="196"/>
      <c r="T592" s="196"/>
      <c r="U592" s="196"/>
      <c r="V592" s="196"/>
      <c r="W592" s="196"/>
      <c r="X592" s="196"/>
      <c r="Y592" s="196"/>
      <c r="Z592" s="196"/>
      <c r="AA592" s="196"/>
      <c r="AB592" s="196"/>
      <c r="AC592" s="196"/>
      <c r="AD592" s="196"/>
      <c r="AE592" s="197"/>
      <c r="AF592" s="197"/>
      <c r="AG592" s="197"/>
      <c r="AH592" s="197"/>
    </row>
    <row r="593" customHeight="1" spans="1:34">
      <c r="A593" s="314" t="s">
        <v>10</v>
      </c>
      <c r="B593" s="327" t="s">
        <v>770</v>
      </c>
      <c r="C593" s="328"/>
      <c r="D593" s="317"/>
      <c r="E593" s="326">
        <f>G580</f>
        <v>8170.914584</v>
      </c>
      <c r="F593" s="334">
        <f>费率表!$C$13</f>
        <v>0.05</v>
      </c>
      <c r="G593" s="329">
        <f t="shared" si="40"/>
        <v>408.5457292</v>
      </c>
      <c r="S593" s="196"/>
      <c r="T593" s="196"/>
      <c r="U593" s="196"/>
      <c r="V593" s="196"/>
      <c r="W593" s="196"/>
      <c r="X593" s="196"/>
      <c r="Y593" s="196"/>
      <c r="Z593" s="196"/>
      <c r="AA593" s="196"/>
      <c r="AB593" s="196"/>
      <c r="AC593" s="196"/>
      <c r="AD593" s="196"/>
      <c r="AE593" s="197"/>
      <c r="AF593" s="197"/>
      <c r="AG593" s="197"/>
      <c r="AH593" s="197"/>
    </row>
    <row r="594" customHeight="1" spans="1:34">
      <c r="A594" s="314" t="s">
        <v>12</v>
      </c>
      <c r="B594" s="327" t="s">
        <v>771</v>
      </c>
      <c r="C594" s="328"/>
      <c r="D594" s="317"/>
      <c r="E594" s="326">
        <f>G580+G593</f>
        <v>8579.4603132</v>
      </c>
      <c r="F594" s="334">
        <f>费率表!$C$14</f>
        <v>0.07</v>
      </c>
      <c r="G594" s="329">
        <f t="shared" si="40"/>
        <v>600.562221924</v>
      </c>
      <c r="S594" s="196"/>
      <c r="T594" s="196"/>
      <c r="U594" s="196"/>
      <c r="V594" s="196"/>
      <c r="W594" s="196"/>
      <c r="X594" s="196"/>
      <c r="Y594" s="196"/>
      <c r="Z594" s="196"/>
      <c r="AA594" s="196"/>
      <c r="AB594" s="196"/>
      <c r="AC594" s="196"/>
      <c r="AD594" s="196"/>
      <c r="AE594" s="197"/>
      <c r="AF594" s="197"/>
      <c r="AG594" s="197"/>
      <c r="AH594" s="197"/>
    </row>
    <row r="595" customHeight="1" spans="1:34">
      <c r="A595" s="314" t="s">
        <v>15</v>
      </c>
      <c r="B595" s="327" t="s">
        <v>772</v>
      </c>
      <c r="C595" s="328"/>
      <c r="D595" s="317"/>
      <c r="E595" s="326">
        <f>G580+G593++G594</f>
        <v>9180.022535124</v>
      </c>
      <c r="F595" s="334">
        <f>费率表!$C$15</f>
        <v>0.09</v>
      </c>
      <c r="G595" s="329">
        <f t="shared" si="40"/>
        <v>826.20202816116</v>
      </c>
      <c r="S595" s="196"/>
      <c r="T595" s="196"/>
      <c r="U595" s="196"/>
      <c r="V595" s="196"/>
      <c r="W595" s="196"/>
      <c r="X595" s="196"/>
      <c r="Y595" s="196"/>
      <c r="Z595" s="196"/>
      <c r="AA595" s="196"/>
      <c r="AB595" s="196"/>
      <c r="AC595" s="196"/>
      <c r="AD595" s="196"/>
      <c r="AE595" s="197"/>
      <c r="AF595" s="197"/>
      <c r="AG595" s="197"/>
      <c r="AH595" s="197"/>
    </row>
    <row r="596" customHeight="1" spans="1:34">
      <c r="A596" s="314"/>
      <c r="B596" s="327" t="s">
        <v>907</v>
      </c>
      <c r="C596" s="328"/>
      <c r="D596" s="317"/>
      <c r="E596" s="326">
        <f>G580+G593+G594+G595</f>
        <v>10006.2245632852</v>
      </c>
      <c r="F596" s="334">
        <f>费率表!$I$19</f>
        <v>0.03</v>
      </c>
      <c r="G596" s="329">
        <f t="shared" si="40"/>
        <v>300.186736898555</v>
      </c>
      <c r="S596" s="196"/>
      <c r="T596" s="196"/>
      <c r="U596" s="196"/>
      <c r="V596" s="196"/>
      <c r="W596" s="196"/>
      <c r="X596" s="196"/>
      <c r="Y596" s="196"/>
      <c r="Z596" s="196"/>
      <c r="AA596" s="196"/>
      <c r="AB596" s="196"/>
      <c r="AC596" s="196"/>
      <c r="AD596" s="196"/>
      <c r="AE596" s="197"/>
      <c r="AF596" s="197"/>
      <c r="AG596" s="197"/>
      <c r="AH596" s="197"/>
    </row>
    <row r="597" customHeight="1" spans="1:34">
      <c r="A597" s="335"/>
      <c r="B597" s="336" t="s">
        <v>39</v>
      </c>
      <c r="C597" s="337"/>
      <c r="D597" s="338"/>
      <c r="E597" s="339"/>
      <c r="F597" s="338"/>
      <c r="G597" s="340">
        <f>G580+G593+G594+G595+G596</f>
        <v>10306.4113001837</v>
      </c>
      <c r="S597" s="196"/>
      <c r="T597" s="196"/>
      <c r="U597" s="196"/>
      <c r="V597" s="196"/>
      <c r="W597" s="196"/>
      <c r="X597" s="196"/>
      <c r="Y597" s="196"/>
      <c r="Z597" s="196"/>
      <c r="AA597" s="196"/>
      <c r="AB597" s="196"/>
      <c r="AC597" s="196"/>
      <c r="AD597" s="196"/>
      <c r="AE597" s="197"/>
      <c r="AF597" s="197"/>
      <c r="AG597" s="197"/>
      <c r="AH597" s="197"/>
    </row>
    <row r="598" customHeight="1" spans="1:34">
      <c r="S598" s="196"/>
      <c r="T598" s="196"/>
      <c r="U598" s="196"/>
      <c r="V598" s="196"/>
      <c r="W598" s="196"/>
      <c r="X598" s="196"/>
      <c r="Y598" s="196"/>
      <c r="Z598" s="196"/>
      <c r="AA598" s="196"/>
      <c r="AB598" s="196"/>
      <c r="AC598" s="196"/>
      <c r="AD598" s="196"/>
      <c r="AE598" s="197"/>
      <c r="AF598" s="197"/>
      <c r="AG598" s="197"/>
      <c r="AH598" s="197"/>
    </row>
    <row r="599" customHeight="1" spans="1:34">
      <c r="S599" s="196"/>
      <c r="T599" s="196"/>
      <c r="U599" s="196"/>
      <c r="V599" s="196"/>
      <c r="W599" s="196"/>
      <c r="X599" s="196"/>
      <c r="Y599" s="196"/>
      <c r="Z599" s="196"/>
      <c r="AA599" s="196"/>
      <c r="AB599" s="196"/>
      <c r="AC599" s="196"/>
      <c r="AD599" s="196"/>
      <c r="AE599" s="197"/>
      <c r="AF599" s="197"/>
      <c r="AG599" s="197"/>
      <c r="AH599" s="197"/>
    </row>
    <row r="600" customHeight="1" spans="1:34">
      <c r="S600" s="196"/>
      <c r="T600" s="196"/>
      <c r="U600" s="196"/>
      <c r="V600" s="196"/>
      <c r="W600" s="196"/>
      <c r="X600" s="196"/>
      <c r="Y600" s="196"/>
      <c r="Z600" s="196"/>
      <c r="AA600" s="196"/>
      <c r="AB600" s="196"/>
      <c r="AC600" s="196"/>
      <c r="AD600" s="196"/>
      <c r="AE600" s="197"/>
      <c r="AF600" s="197"/>
      <c r="AG600" s="197"/>
      <c r="AH600" s="197"/>
    </row>
    <row r="601" customHeight="1" spans="1:34">
      <c r="S601" s="196"/>
      <c r="T601" s="196"/>
      <c r="U601" s="196"/>
      <c r="V601" s="196"/>
      <c r="W601" s="196"/>
      <c r="X601" s="196"/>
      <c r="Y601" s="196"/>
      <c r="Z601" s="196"/>
      <c r="AA601" s="196"/>
      <c r="AB601" s="196"/>
      <c r="AC601" s="196"/>
      <c r="AD601" s="196"/>
      <c r="AE601" s="197"/>
      <c r="AF601" s="197"/>
      <c r="AG601" s="197"/>
      <c r="AH601" s="197"/>
    </row>
    <row r="602" customHeight="1" spans="1:34">
      <c r="S602" s="196"/>
      <c r="T602" s="196"/>
      <c r="U602" s="196"/>
      <c r="V602" s="196"/>
      <c r="W602" s="196"/>
      <c r="X602" s="196"/>
      <c r="Y602" s="196"/>
      <c r="Z602" s="196"/>
      <c r="AA602" s="196"/>
      <c r="AB602" s="196"/>
      <c r="AC602" s="196"/>
      <c r="AD602" s="196"/>
      <c r="AE602" s="197"/>
      <c r="AF602" s="197"/>
      <c r="AG602" s="197"/>
      <c r="AH602" s="197"/>
    </row>
    <row r="603" customHeight="1" spans="1:34">
      <c r="S603" s="196"/>
      <c r="T603" s="196"/>
      <c r="U603" s="196"/>
      <c r="V603" s="196"/>
      <c r="W603" s="196"/>
      <c r="X603" s="196"/>
      <c r="Y603" s="196"/>
      <c r="Z603" s="196"/>
      <c r="AA603" s="196"/>
      <c r="AB603" s="196"/>
      <c r="AC603" s="196"/>
      <c r="AD603" s="196"/>
      <c r="AE603" s="197"/>
      <c r="AF603" s="197"/>
      <c r="AG603" s="197"/>
      <c r="AH603" s="197"/>
    </row>
    <row r="604" customHeight="1" spans="1:34">
      <c r="S604" s="196"/>
      <c r="T604" s="196"/>
      <c r="U604" s="196"/>
      <c r="V604" s="196"/>
      <c r="W604" s="196"/>
      <c r="X604" s="196"/>
      <c r="Y604" s="196"/>
      <c r="Z604" s="196"/>
      <c r="AA604" s="196"/>
      <c r="AB604" s="196"/>
      <c r="AC604" s="196"/>
      <c r="AD604" s="196"/>
      <c r="AE604" s="197"/>
      <c r="AF604" s="197"/>
      <c r="AG604" s="197"/>
      <c r="AH604" s="197"/>
    </row>
    <row r="605" customHeight="1" spans="1:34">
      <c r="S605" s="196"/>
      <c r="T605" s="196"/>
      <c r="U605" s="196"/>
      <c r="V605" s="196"/>
      <c r="W605" s="196"/>
      <c r="X605" s="196"/>
      <c r="Y605" s="196"/>
      <c r="Z605" s="196"/>
      <c r="AA605" s="196"/>
      <c r="AB605" s="196"/>
      <c r="AC605" s="196"/>
      <c r="AD605" s="196"/>
      <c r="AE605" s="197"/>
      <c r="AF605" s="197"/>
      <c r="AG605" s="197"/>
      <c r="AH605" s="197"/>
    </row>
    <row r="606" customHeight="1" spans="1:34">
      <c r="S606" s="196"/>
      <c r="T606" s="196"/>
      <c r="U606" s="196"/>
      <c r="V606" s="196"/>
      <c r="W606" s="196"/>
      <c r="X606" s="196"/>
      <c r="Y606" s="196"/>
      <c r="Z606" s="196"/>
      <c r="AA606" s="196"/>
      <c r="AB606" s="196"/>
      <c r="AC606" s="196"/>
      <c r="AD606" s="196"/>
      <c r="AE606" s="197"/>
      <c r="AF606" s="197"/>
      <c r="AG606" s="197"/>
      <c r="AH606" s="197"/>
    </row>
    <row r="607" customHeight="1" spans="1:34">
      <c r="S607" s="196"/>
      <c r="T607" s="196"/>
      <c r="U607" s="196"/>
      <c r="V607" s="196"/>
      <c r="W607" s="196"/>
      <c r="X607" s="196"/>
      <c r="Y607" s="196"/>
      <c r="Z607" s="196"/>
      <c r="AA607" s="196"/>
      <c r="AB607" s="196"/>
      <c r="AC607" s="196"/>
      <c r="AD607" s="196"/>
      <c r="AE607" s="197"/>
      <c r="AF607" s="197"/>
      <c r="AG607" s="197"/>
      <c r="AH607" s="197"/>
    </row>
    <row r="608" customHeight="1" spans="1:34">
      <c r="S608" s="196"/>
      <c r="T608" s="196"/>
      <c r="U608" s="196"/>
      <c r="V608" s="196"/>
      <c r="W608" s="196"/>
      <c r="X608" s="196"/>
      <c r="Y608" s="196"/>
      <c r="Z608" s="196"/>
      <c r="AA608" s="196"/>
      <c r="AB608" s="196"/>
      <c r="AC608" s="196"/>
      <c r="AD608" s="196"/>
      <c r="AE608" s="197"/>
      <c r="AF608" s="197"/>
      <c r="AG608" s="197"/>
      <c r="AH608" s="197"/>
    </row>
    <row r="609" customHeight="1" spans="19:34">
      <c r="S609" s="196"/>
      <c r="T609" s="196"/>
      <c r="U609" s="196"/>
      <c r="V609" s="196"/>
      <c r="W609" s="196"/>
      <c r="X609" s="196"/>
      <c r="Y609" s="196"/>
      <c r="Z609" s="196"/>
      <c r="AA609" s="196"/>
      <c r="AB609" s="196"/>
      <c r="AC609" s="196"/>
      <c r="AD609" s="196"/>
      <c r="AE609" s="197"/>
      <c r="AF609" s="197"/>
      <c r="AG609" s="197"/>
      <c r="AH609" s="197"/>
    </row>
    <row r="610" customHeight="1" spans="19:34">
      <c r="S610" s="196"/>
      <c r="T610" s="196"/>
      <c r="U610" s="196"/>
      <c r="V610" s="196"/>
      <c r="W610" s="196"/>
      <c r="X610" s="196"/>
      <c r="Y610" s="196"/>
      <c r="Z610" s="196"/>
      <c r="AA610" s="196"/>
      <c r="AB610" s="196"/>
      <c r="AC610" s="196"/>
      <c r="AD610" s="196"/>
      <c r="AE610" s="197"/>
      <c r="AF610" s="197"/>
      <c r="AG610" s="197"/>
      <c r="AH610" s="197"/>
    </row>
    <row r="611" customHeight="1" spans="19:34">
      <c r="S611" s="196"/>
      <c r="T611" s="196"/>
      <c r="U611" s="196"/>
      <c r="V611" s="196"/>
      <c r="W611" s="196"/>
      <c r="X611" s="196"/>
      <c r="Y611" s="196"/>
      <c r="Z611" s="196"/>
      <c r="AA611" s="196"/>
      <c r="AB611" s="196"/>
      <c r="AC611" s="196"/>
      <c r="AD611" s="196"/>
      <c r="AE611" s="197"/>
      <c r="AF611" s="197"/>
      <c r="AG611" s="197"/>
      <c r="AH611" s="197"/>
    </row>
    <row r="612" customHeight="1" spans="19:34">
      <c r="S612" s="196"/>
      <c r="T612" s="196"/>
      <c r="U612" s="196"/>
      <c r="V612" s="196"/>
      <c r="W612" s="196"/>
      <c r="X612" s="196"/>
      <c r="Y612" s="196"/>
      <c r="Z612" s="196"/>
      <c r="AA612" s="196"/>
      <c r="AB612" s="196"/>
      <c r="AC612" s="196"/>
      <c r="AD612" s="196"/>
      <c r="AE612" s="197"/>
      <c r="AF612" s="197"/>
      <c r="AG612" s="197"/>
      <c r="AH612" s="197"/>
    </row>
    <row r="613" customHeight="1" spans="19:34">
      <c r="S613" s="196"/>
      <c r="T613" s="196"/>
      <c r="U613" s="196"/>
      <c r="V613" s="196"/>
      <c r="W613" s="196"/>
      <c r="X613" s="196"/>
      <c r="Y613" s="196"/>
      <c r="Z613" s="196"/>
      <c r="AA613" s="196"/>
      <c r="AB613" s="196"/>
      <c r="AC613" s="196"/>
      <c r="AD613" s="196"/>
      <c r="AE613" s="197"/>
      <c r="AF613" s="197"/>
      <c r="AG613" s="197"/>
      <c r="AH613" s="197"/>
    </row>
    <row r="614" customHeight="1" spans="19:34">
      <c r="S614" s="196"/>
      <c r="T614" s="196"/>
      <c r="U614" s="196"/>
      <c r="V614" s="196"/>
      <c r="W614" s="196"/>
      <c r="X614" s="196"/>
      <c r="Y614" s="196"/>
      <c r="Z614" s="196"/>
      <c r="AA614" s="196"/>
      <c r="AB614" s="196"/>
      <c r="AC614" s="196"/>
      <c r="AD614" s="196"/>
      <c r="AE614" s="197"/>
      <c r="AF614" s="197"/>
      <c r="AG614" s="197"/>
      <c r="AH614" s="197"/>
    </row>
    <row r="615" customHeight="1" spans="19:34">
      <c r="S615" s="196"/>
      <c r="T615" s="196"/>
      <c r="U615" s="196"/>
      <c r="V615" s="196"/>
      <c r="W615" s="196"/>
      <c r="X615" s="196"/>
      <c r="Y615" s="196"/>
      <c r="Z615" s="196"/>
      <c r="AA615" s="196"/>
      <c r="AB615" s="196"/>
      <c r="AC615" s="196"/>
      <c r="AD615" s="196"/>
      <c r="AE615" s="197"/>
      <c r="AF615" s="197"/>
      <c r="AG615" s="197"/>
      <c r="AH615" s="197"/>
    </row>
    <row r="616" customHeight="1" spans="19:34">
      <c r="S616" s="196"/>
      <c r="T616" s="196"/>
      <c r="U616" s="196"/>
      <c r="V616" s="196"/>
      <c r="W616" s="196"/>
      <c r="X616" s="196"/>
      <c r="Y616" s="196"/>
      <c r="Z616" s="196"/>
      <c r="AA616" s="196"/>
      <c r="AB616" s="196"/>
      <c r="AC616" s="196"/>
      <c r="AD616" s="196"/>
      <c r="AE616" s="197"/>
      <c r="AF616" s="197"/>
      <c r="AG616" s="197"/>
      <c r="AH616" s="197"/>
    </row>
    <row r="617" customHeight="1" spans="19:34">
      <c r="S617" s="196"/>
      <c r="T617" s="196"/>
      <c r="U617" s="196"/>
      <c r="V617" s="196"/>
      <c r="W617" s="196"/>
      <c r="X617" s="196"/>
      <c r="Y617" s="196"/>
      <c r="Z617" s="196"/>
      <c r="AA617" s="196"/>
      <c r="AB617" s="196"/>
      <c r="AC617" s="196"/>
      <c r="AD617" s="196"/>
      <c r="AE617" s="197"/>
      <c r="AF617" s="197"/>
      <c r="AG617" s="197"/>
      <c r="AH617" s="197"/>
    </row>
    <row r="618" customHeight="1" spans="19:34">
      <c r="S618" s="196"/>
      <c r="T618" s="196"/>
      <c r="U618" s="196"/>
      <c r="V618" s="196"/>
      <c r="W618" s="196"/>
      <c r="X618" s="196"/>
      <c r="Y618" s="196"/>
      <c r="Z618" s="196"/>
      <c r="AA618" s="196"/>
      <c r="AB618" s="196"/>
      <c r="AC618" s="196"/>
      <c r="AD618" s="196"/>
      <c r="AE618" s="197"/>
      <c r="AF618" s="197"/>
      <c r="AG618" s="197"/>
      <c r="AH618" s="197"/>
    </row>
    <row r="619" customHeight="1" spans="19:34">
      <c r="S619" s="196"/>
      <c r="T619" s="196"/>
      <c r="U619" s="196"/>
      <c r="V619" s="196"/>
      <c r="W619" s="196"/>
      <c r="X619" s="196"/>
      <c r="Y619" s="196"/>
      <c r="Z619" s="196"/>
      <c r="AA619" s="196"/>
      <c r="AB619" s="196"/>
      <c r="AC619" s="196"/>
      <c r="AD619" s="196"/>
      <c r="AE619" s="197"/>
      <c r="AF619" s="197"/>
      <c r="AG619" s="197"/>
      <c r="AH619" s="197"/>
    </row>
    <row r="620" customHeight="1" spans="19:34">
      <c r="S620" s="196"/>
      <c r="T620" s="196"/>
      <c r="U620" s="196"/>
      <c r="V620" s="196"/>
      <c r="W620" s="196"/>
      <c r="X620" s="196"/>
      <c r="Y620" s="196"/>
      <c r="Z620" s="196"/>
      <c r="AA620" s="196"/>
      <c r="AB620" s="196"/>
      <c r="AC620" s="196"/>
      <c r="AD620" s="196"/>
      <c r="AE620" s="197"/>
      <c r="AF620" s="197"/>
      <c r="AG620" s="197"/>
      <c r="AH620" s="197"/>
    </row>
    <row r="621" customHeight="1" spans="19:34">
      <c r="S621" s="196"/>
      <c r="T621" s="196"/>
      <c r="U621" s="196"/>
      <c r="V621" s="196"/>
      <c r="W621" s="196"/>
      <c r="X621" s="196"/>
      <c r="Y621" s="196"/>
      <c r="Z621" s="196"/>
      <c r="AA621" s="196"/>
      <c r="AB621" s="196"/>
      <c r="AC621" s="196"/>
      <c r="AD621" s="196"/>
      <c r="AE621" s="197"/>
      <c r="AF621" s="197"/>
      <c r="AG621" s="197"/>
      <c r="AH621" s="197"/>
    </row>
    <row r="622" customHeight="1" spans="19:34">
      <c r="S622" s="196"/>
      <c r="T622" s="196"/>
      <c r="U622" s="196"/>
      <c r="V622" s="196"/>
      <c r="W622" s="196"/>
      <c r="X622" s="196"/>
      <c r="Y622" s="196"/>
      <c r="Z622" s="196"/>
      <c r="AA622" s="196"/>
      <c r="AB622" s="196"/>
      <c r="AC622" s="196"/>
      <c r="AD622" s="196"/>
      <c r="AE622" s="197"/>
      <c r="AF622" s="197"/>
      <c r="AG622" s="197"/>
      <c r="AH622" s="197"/>
    </row>
    <row r="623" customHeight="1" spans="19:34">
      <c r="S623" s="196"/>
      <c r="T623" s="196"/>
      <c r="U623" s="196"/>
      <c r="V623" s="196"/>
      <c r="W623" s="196"/>
      <c r="X623" s="196"/>
      <c r="Y623" s="196"/>
      <c r="Z623" s="196"/>
      <c r="AA623" s="196"/>
      <c r="AB623" s="196"/>
      <c r="AC623" s="196"/>
      <c r="AD623" s="196"/>
      <c r="AE623" s="197"/>
      <c r="AF623" s="197"/>
      <c r="AG623" s="197"/>
      <c r="AH623" s="197"/>
    </row>
    <row r="624" customHeight="1" spans="19:34">
      <c r="S624" s="196"/>
      <c r="T624" s="196"/>
      <c r="U624" s="196"/>
      <c r="V624" s="196"/>
      <c r="W624" s="196"/>
      <c r="X624" s="196"/>
      <c r="Y624" s="196"/>
      <c r="Z624" s="196"/>
      <c r="AA624" s="196"/>
      <c r="AB624" s="196"/>
      <c r="AC624" s="196"/>
      <c r="AD624" s="196"/>
      <c r="AE624" s="197"/>
      <c r="AF624" s="197"/>
      <c r="AG624" s="197"/>
      <c r="AH624" s="197"/>
    </row>
    <row r="625" customHeight="1" spans="19:34">
      <c r="S625" s="196"/>
      <c r="T625" s="196"/>
      <c r="U625" s="196"/>
      <c r="V625" s="196"/>
      <c r="W625" s="196"/>
      <c r="X625" s="196"/>
      <c r="Y625" s="196"/>
      <c r="Z625" s="196"/>
      <c r="AA625" s="196"/>
      <c r="AB625" s="196"/>
      <c r="AC625" s="196"/>
      <c r="AD625" s="196"/>
      <c r="AE625" s="197"/>
      <c r="AF625" s="197"/>
      <c r="AG625" s="197"/>
      <c r="AH625" s="197"/>
    </row>
    <row r="626" customHeight="1" spans="19:34">
      <c r="S626" s="196"/>
      <c r="T626" s="196"/>
      <c r="U626" s="196"/>
      <c r="V626" s="196"/>
      <c r="W626" s="196"/>
      <c r="X626" s="196"/>
      <c r="Y626" s="196"/>
      <c r="Z626" s="196"/>
      <c r="AA626" s="196"/>
      <c r="AB626" s="196"/>
      <c r="AC626" s="196"/>
      <c r="AD626" s="196"/>
      <c r="AE626" s="197"/>
      <c r="AF626" s="197"/>
      <c r="AG626" s="197"/>
      <c r="AH626" s="197"/>
    </row>
    <row r="627" customHeight="1" spans="19:34">
      <c r="S627" s="196"/>
      <c r="T627" s="196"/>
      <c r="U627" s="196"/>
      <c r="V627" s="196"/>
      <c r="W627" s="196"/>
      <c r="X627" s="196"/>
      <c r="Y627" s="196"/>
      <c r="Z627" s="196"/>
      <c r="AA627" s="196"/>
      <c r="AB627" s="196"/>
      <c r="AC627" s="196"/>
      <c r="AD627" s="196"/>
      <c r="AE627" s="197"/>
      <c r="AF627" s="197"/>
      <c r="AG627" s="197"/>
      <c r="AH627" s="197"/>
    </row>
    <row r="628" customHeight="1" spans="19:34">
      <c r="S628" s="196"/>
      <c r="T628" s="196"/>
      <c r="U628" s="196"/>
      <c r="V628" s="196"/>
      <c r="W628" s="196"/>
      <c r="X628" s="196"/>
      <c r="Y628" s="196"/>
      <c r="Z628" s="196"/>
      <c r="AA628" s="196"/>
      <c r="AB628" s="196"/>
      <c r="AC628" s="196"/>
      <c r="AD628" s="196"/>
      <c r="AE628" s="197"/>
      <c r="AF628" s="197"/>
      <c r="AG628" s="197"/>
      <c r="AH628" s="197"/>
    </row>
    <row r="629" customHeight="1" spans="19:34">
      <c r="S629" s="196"/>
      <c r="T629" s="196"/>
      <c r="U629" s="196"/>
      <c r="V629" s="196"/>
      <c r="W629" s="196"/>
      <c r="X629" s="196"/>
      <c r="Y629" s="196"/>
      <c r="Z629" s="196"/>
      <c r="AA629" s="196"/>
      <c r="AB629" s="196"/>
      <c r="AC629" s="196"/>
      <c r="AD629" s="196"/>
      <c r="AE629" s="197"/>
      <c r="AF629" s="197"/>
      <c r="AG629" s="197"/>
      <c r="AH629" s="197"/>
    </row>
    <row r="630" customHeight="1" spans="19:34">
      <c r="S630" s="196"/>
      <c r="T630" s="196"/>
      <c r="U630" s="196"/>
      <c r="V630" s="196"/>
      <c r="W630" s="196"/>
      <c r="X630" s="196"/>
      <c r="Y630" s="196"/>
      <c r="Z630" s="196"/>
      <c r="AA630" s="196"/>
      <c r="AB630" s="196"/>
      <c r="AC630" s="196"/>
      <c r="AD630" s="196"/>
      <c r="AE630" s="197"/>
      <c r="AF630" s="197"/>
      <c r="AG630" s="197"/>
      <c r="AH630" s="197"/>
    </row>
    <row r="631" customHeight="1" spans="19:34">
      <c r="S631" s="196"/>
      <c r="T631" s="196"/>
      <c r="U631" s="196"/>
      <c r="V631" s="196"/>
      <c r="W631" s="196"/>
      <c r="X631" s="196"/>
      <c r="Y631" s="196"/>
      <c r="Z631" s="196"/>
      <c r="AA631" s="196"/>
      <c r="AB631" s="196"/>
      <c r="AC631" s="196"/>
      <c r="AD631" s="196"/>
      <c r="AE631" s="197"/>
      <c r="AF631" s="197"/>
      <c r="AG631" s="197"/>
      <c r="AH631" s="197"/>
    </row>
    <row r="632" customHeight="1" spans="19:34">
      <c r="S632" s="196"/>
      <c r="T632" s="196"/>
      <c r="U632" s="196"/>
      <c r="V632" s="196"/>
      <c r="W632" s="196"/>
      <c r="X632" s="196"/>
      <c r="Y632" s="196"/>
      <c r="Z632" s="196"/>
      <c r="AA632" s="196"/>
      <c r="AB632" s="196"/>
      <c r="AC632" s="196"/>
      <c r="AD632" s="196"/>
      <c r="AE632" s="197"/>
      <c r="AF632" s="197"/>
      <c r="AG632" s="197"/>
      <c r="AH632" s="197"/>
    </row>
    <row r="633" customHeight="1" spans="19:34">
      <c r="S633" s="196"/>
      <c r="T633" s="196"/>
      <c r="U633" s="196"/>
      <c r="V633" s="196"/>
      <c r="W633" s="196"/>
      <c r="X633" s="196"/>
      <c r="Y633" s="196"/>
      <c r="Z633" s="196"/>
      <c r="AA633" s="196"/>
      <c r="AB633" s="196"/>
      <c r="AC633" s="196"/>
      <c r="AD633" s="196"/>
      <c r="AE633" s="197"/>
      <c r="AF633" s="197"/>
      <c r="AG633" s="197"/>
      <c r="AH633" s="197"/>
    </row>
    <row r="634" customHeight="1" spans="19:34">
      <c r="S634" s="196"/>
      <c r="T634" s="196"/>
      <c r="U634" s="196"/>
      <c r="V634" s="196"/>
      <c r="W634" s="196"/>
      <c r="X634" s="196"/>
      <c r="Y634" s="196"/>
      <c r="Z634" s="196"/>
      <c r="AA634" s="196"/>
      <c r="AB634" s="196"/>
      <c r="AC634" s="196"/>
      <c r="AD634" s="196"/>
      <c r="AE634" s="197"/>
      <c r="AF634" s="197"/>
      <c r="AG634" s="197"/>
      <c r="AH634" s="197"/>
    </row>
    <row r="635" customHeight="1" spans="19:34">
      <c r="S635" s="196"/>
      <c r="T635" s="196"/>
      <c r="U635" s="196"/>
      <c r="V635" s="196"/>
      <c r="W635" s="196"/>
      <c r="X635" s="196"/>
      <c r="Y635" s="196"/>
      <c r="Z635" s="196"/>
      <c r="AA635" s="196"/>
      <c r="AB635" s="196"/>
      <c r="AC635" s="196"/>
      <c r="AD635" s="196"/>
      <c r="AE635" s="197"/>
      <c r="AF635" s="197"/>
      <c r="AG635" s="197"/>
      <c r="AH635" s="197"/>
    </row>
    <row r="636" customHeight="1" spans="19:34">
      <c r="S636" s="196"/>
      <c r="T636" s="196"/>
      <c r="U636" s="196"/>
      <c r="V636" s="196"/>
      <c r="W636" s="196"/>
      <c r="X636" s="196"/>
      <c r="Y636" s="196"/>
      <c r="Z636" s="196"/>
      <c r="AA636" s="196"/>
      <c r="AB636" s="196"/>
      <c r="AC636" s="196"/>
      <c r="AD636" s="196"/>
      <c r="AE636" s="197"/>
      <c r="AF636" s="197"/>
      <c r="AG636" s="197"/>
      <c r="AH636" s="197"/>
    </row>
    <row r="637" customHeight="1" spans="19:34">
      <c r="S637" s="196"/>
      <c r="T637" s="196"/>
      <c r="U637" s="196"/>
      <c r="V637" s="196"/>
      <c r="W637" s="196"/>
      <c r="X637" s="196"/>
      <c r="Y637" s="196"/>
      <c r="Z637" s="196"/>
      <c r="AA637" s="196"/>
      <c r="AB637" s="196"/>
      <c r="AC637" s="196"/>
      <c r="AD637" s="196"/>
      <c r="AE637" s="197"/>
      <c r="AF637" s="197"/>
      <c r="AG637" s="197"/>
      <c r="AH637" s="197"/>
    </row>
    <row r="638" customHeight="1" spans="19:34">
      <c r="S638" s="196"/>
      <c r="T638" s="196"/>
      <c r="U638" s="196"/>
      <c r="V638" s="196"/>
      <c r="W638" s="196"/>
      <c r="X638" s="196"/>
      <c r="Y638" s="196"/>
      <c r="Z638" s="196"/>
      <c r="AA638" s="196"/>
      <c r="AB638" s="196"/>
      <c r="AC638" s="196"/>
      <c r="AD638" s="196"/>
      <c r="AE638" s="197"/>
      <c r="AF638" s="197"/>
      <c r="AG638" s="197"/>
      <c r="AH638" s="197"/>
    </row>
    <row r="639" customHeight="1" spans="19:34">
      <c r="S639" s="196"/>
      <c r="T639" s="196"/>
      <c r="U639" s="196"/>
      <c r="V639" s="196"/>
      <c r="W639" s="196"/>
      <c r="X639" s="196"/>
      <c r="Y639" s="196"/>
      <c r="Z639" s="196"/>
      <c r="AA639" s="196"/>
      <c r="AB639" s="196"/>
      <c r="AC639" s="196"/>
      <c r="AD639" s="196"/>
      <c r="AE639" s="197"/>
      <c r="AF639" s="197"/>
      <c r="AG639" s="197"/>
      <c r="AH639" s="197"/>
    </row>
    <row r="640" customHeight="1" spans="19:34">
      <c r="S640" s="196"/>
      <c r="T640" s="196"/>
      <c r="U640" s="196"/>
      <c r="V640" s="196"/>
      <c r="W640" s="196"/>
      <c r="X640" s="196"/>
      <c r="Y640" s="196"/>
      <c r="Z640" s="196"/>
      <c r="AA640" s="196"/>
      <c r="AB640" s="196"/>
      <c r="AC640" s="196"/>
      <c r="AD640" s="196"/>
      <c r="AE640" s="197"/>
      <c r="AF640" s="197"/>
      <c r="AG640" s="197"/>
      <c r="AH640" s="197"/>
    </row>
    <row r="641" customHeight="1" spans="19:34">
      <c r="S641" s="196"/>
      <c r="T641" s="196"/>
      <c r="U641" s="196"/>
      <c r="V641" s="196"/>
      <c r="W641" s="196"/>
      <c r="X641" s="196"/>
      <c r="Y641" s="196"/>
      <c r="Z641" s="196"/>
      <c r="AA641" s="196"/>
      <c r="AB641" s="196"/>
      <c r="AC641" s="196"/>
      <c r="AD641" s="196"/>
      <c r="AE641" s="197"/>
      <c r="AF641" s="197"/>
      <c r="AG641" s="197"/>
      <c r="AH641" s="197"/>
    </row>
    <row r="642" customHeight="1" spans="19:34">
      <c r="S642" s="196"/>
      <c r="T642" s="196"/>
      <c r="U642" s="196"/>
      <c r="V642" s="196"/>
      <c r="W642" s="196"/>
      <c r="X642" s="196"/>
      <c r="Y642" s="196"/>
      <c r="Z642" s="196"/>
      <c r="AA642" s="196"/>
      <c r="AB642" s="196"/>
      <c r="AC642" s="196"/>
      <c r="AD642" s="196"/>
      <c r="AE642" s="197"/>
      <c r="AF642" s="197"/>
      <c r="AG642" s="197"/>
      <c r="AH642" s="197"/>
    </row>
    <row r="643" customHeight="1" spans="19:34">
      <c r="S643" s="196"/>
      <c r="T643" s="196"/>
      <c r="U643" s="196"/>
      <c r="V643" s="196"/>
      <c r="W643" s="196"/>
      <c r="X643" s="196"/>
      <c r="Y643" s="196"/>
      <c r="Z643" s="196"/>
      <c r="AA643" s="196"/>
      <c r="AB643" s="196"/>
      <c r="AC643" s="196"/>
      <c r="AD643" s="196"/>
      <c r="AE643" s="197"/>
      <c r="AF643" s="197"/>
      <c r="AG643" s="197"/>
      <c r="AH643" s="197"/>
    </row>
    <row r="644" customHeight="1" spans="19:34">
      <c r="S644" s="196"/>
      <c r="T644" s="196"/>
      <c r="U644" s="196"/>
      <c r="V644" s="196"/>
      <c r="W644" s="196"/>
      <c r="X644" s="196"/>
      <c r="Y644" s="196"/>
      <c r="Z644" s="196"/>
      <c r="AA644" s="196"/>
      <c r="AB644" s="196"/>
      <c r="AC644" s="196"/>
      <c r="AD644" s="196"/>
      <c r="AE644" s="197"/>
      <c r="AF644" s="197"/>
      <c r="AG644" s="197"/>
      <c r="AH644" s="197"/>
    </row>
    <row r="645" customHeight="1" spans="19:34">
      <c r="S645" s="196"/>
      <c r="T645" s="196"/>
      <c r="U645" s="196"/>
      <c r="V645" s="196"/>
      <c r="W645" s="196"/>
      <c r="X645" s="196"/>
      <c r="Y645" s="196"/>
      <c r="Z645" s="196"/>
      <c r="AA645" s="196"/>
      <c r="AB645" s="196"/>
      <c r="AC645" s="196"/>
      <c r="AD645" s="196"/>
      <c r="AE645" s="197"/>
      <c r="AF645" s="197"/>
      <c r="AG645" s="197"/>
      <c r="AH645" s="197"/>
    </row>
    <row r="646" customHeight="1" spans="19:34">
      <c r="S646" s="196"/>
      <c r="T646" s="196"/>
      <c r="U646" s="196"/>
      <c r="V646" s="196"/>
      <c r="W646" s="196"/>
      <c r="X646" s="196"/>
      <c r="Y646" s="196"/>
      <c r="Z646" s="196"/>
      <c r="AA646" s="196"/>
      <c r="AB646" s="196"/>
      <c r="AC646" s="196"/>
      <c r="AD646" s="196"/>
      <c r="AE646" s="197"/>
      <c r="AF646" s="197"/>
      <c r="AG646" s="197"/>
      <c r="AH646" s="197"/>
    </row>
    <row r="647" customHeight="1" spans="19:34">
      <c r="S647" s="196"/>
      <c r="T647" s="196"/>
      <c r="U647" s="196"/>
      <c r="V647" s="196"/>
      <c r="W647" s="196"/>
      <c r="X647" s="196"/>
      <c r="Y647" s="196"/>
      <c r="Z647" s="196"/>
      <c r="AA647" s="196"/>
      <c r="AB647" s="196"/>
      <c r="AC647" s="196"/>
      <c r="AD647" s="196"/>
      <c r="AE647" s="197"/>
      <c r="AF647" s="197"/>
      <c r="AG647" s="197"/>
      <c r="AH647" s="197"/>
    </row>
    <row r="648" customHeight="1" spans="19:34">
      <c r="S648" s="196"/>
      <c r="T648" s="196"/>
      <c r="U648" s="196"/>
      <c r="V648" s="196"/>
      <c r="W648" s="196"/>
      <c r="X648" s="196"/>
      <c r="Y648" s="196"/>
      <c r="Z648" s="196"/>
      <c r="AA648" s="196"/>
      <c r="AB648" s="196"/>
      <c r="AC648" s="196"/>
      <c r="AD648" s="196"/>
      <c r="AE648" s="197"/>
      <c r="AF648" s="197"/>
      <c r="AG648" s="197"/>
      <c r="AH648" s="197"/>
    </row>
    <row r="649" customHeight="1" spans="19:34">
      <c r="S649" s="196"/>
      <c r="T649" s="196"/>
      <c r="U649" s="196"/>
      <c r="V649" s="196"/>
      <c r="W649" s="196"/>
      <c r="X649" s="196"/>
      <c r="Y649" s="196"/>
      <c r="Z649" s="196"/>
      <c r="AA649" s="196"/>
      <c r="AB649" s="196"/>
      <c r="AC649" s="196"/>
      <c r="AD649" s="196"/>
      <c r="AE649" s="197"/>
      <c r="AF649" s="197"/>
      <c r="AG649" s="197"/>
      <c r="AH649" s="197"/>
    </row>
    <row r="650" customHeight="1" spans="19:34">
      <c r="S650" s="196"/>
      <c r="T650" s="196"/>
      <c r="U650" s="196"/>
      <c r="V650" s="196"/>
      <c r="W650" s="196"/>
      <c r="X650" s="196"/>
      <c r="Y650" s="196"/>
      <c r="Z650" s="196"/>
      <c r="AA650" s="196"/>
      <c r="AB650" s="196"/>
      <c r="AC650" s="196"/>
      <c r="AD650" s="196"/>
      <c r="AE650" s="197"/>
      <c r="AF650" s="197"/>
      <c r="AG650" s="197"/>
      <c r="AH650" s="197"/>
    </row>
    <row r="651" customHeight="1" spans="19:34">
      <c r="S651" s="196"/>
      <c r="T651" s="196"/>
      <c r="U651" s="196"/>
      <c r="V651" s="196"/>
      <c r="W651" s="196"/>
      <c r="X651" s="196"/>
      <c r="Y651" s="196"/>
      <c r="Z651" s="196"/>
      <c r="AA651" s="196"/>
      <c r="AB651" s="196"/>
      <c r="AC651" s="196"/>
      <c r="AD651" s="196"/>
      <c r="AE651" s="197"/>
      <c r="AF651" s="197"/>
      <c r="AG651" s="197"/>
      <c r="AH651" s="197"/>
    </row>
    <row r="652" customHeight="1" spans="19:34">
      <c r="S652" s="196"/>
      <c r="T652" s="196"/>
      <c r="U652" s="196"/>
      <c r="V652" s="196"/>
      <c r="W652" s="196"/>
      <c r="X652" s="196"/>
      <c r="Y652" s="196"/>
      <c r="Z652" s="196"/>
      <c r="AA652" s="196"/>
      <c r="AB652" s="196"/>
      <c r="AC652" s="196"/>
      <c r="AD652" s="196"/>
      <c r="AE652" s="197"/>
      <c r="AF652" s="197"/>
      <c r="AG652" s="197"/>
      <c r="AH652" s="197"/>
    </row>
    <row r="653" customHeight="1" spans="19:34">
      <c r="S653" s="196"/>
      <c r="T653" s="196"/>
      <c r="U653" s="196"/>
      <c r="V653" s="196"/>
      <c r="W653" s="196"/>
      <c r="X653" s="196"/>
      <c r="Y653" s="196"/>
      <c r="Z653" s="196"/>
      <c r="AA653" s="196"/>
      <c r="AB653" s="196"/>
      <c r="AC653" s="196"/>
      <c r="AD653" s="196"/>
      <c r="AE653" s="197"/>
      <c r="AF653" s="197"/>
      <c r="AG653" s="197"/>
      <c r="AH653" s="197"/>
    </row>
    <row r="654" customHeight="1" spans="19:34">
      <c r="S654" s="196"/>
      <c r="T654" s="196"/>
      <c r="U654" s="196"/>
      <c r="V654" s="196"/>
      <c r="W654" s="196"/>
      <c r="X654" s="196"/>
      <c r="Y654" s="196"/>
      <c r="Z654" s="196"/>
      <c r="AA654" s="196"/>
      <c r="AB654" s="196"/>
      <c r="AC654" s="196"/>
      <c r="AD654" s="196"/>
      <c r="AE654" s="197"/>
      <c r="AF654" s="197"/>
      <c r="AG654" s="197"/>
      <c r="AH654" s="197"/>
    </row>
    <row r="655" customHeight="1" spans="19:34">
      <c r="S655" s="196"/>
      <c r="T655" s="196"/>
      <c r="U655" s="196"/>
      <c r="V655" s="196"/>
      <c r="W655" s="196"/>
      <c r="X655" s="196"/>
      <c r="Y655" s="196"/>
      <c r="Z655" s="196"/>
      <c r="AA655" s="196"/>
      <c r="AB655" s="196"/>
      <c r="AC655" s="196"/>
      <c r="AD655" s="196"/>
      <c r="AE655" s="197"/>
      <c r="AF655" s="197"/>
      <c r="AG655" s="197"/>
      <c r="AH655" s="197"/>
    </row>
    <row r="656" customHeight="1" spans="19:34">
      <c r="S656" s="196"/>
      <c r="T656" s="196"/>
      <c r="U656" s="196"/>
      <c r="V656" s="196"/>
      <c r="W656" s="196"/>
      <c r="X656" s="196"/>
      <c r="Y656" s="196"/>
      <c r="Z656" s="196"/>
      <c r="AA656" s="196"/>
      <c r="AB656" s="196"/>
      <c r="AC656" s="196"/>
      <c r="AD656" s="196"/>
      <c r="AE656" s="197"/>
      <c r="AF656" s="197"/>
      <c r="AG656" s="197"/>
      <c r="AH656" s="197"/>
    </row>
    <row r="657" customHeight="1" spans="19:34">
      <c r="S657" s="196"/>
      <c r="T657" s="196"/>
      <c r="U657" s="196"/>
      <c r="V657" s="196"/>
      <c r="W657" s="196"/>
      <c r="X657" s="196"/>
      <c r="Y657" s="196"/>
      <c r="Z657" s="196"/>
      <c r="AA657" s="196"/>
      <c r="AB657" s="196"/>
      <c r="AC657" s="196"/>
      <c r="AD657" s="196"/>
      <c r="AE657" s="197"/>
      <c r="AF657" s="197"/>
      <c r="AG657" s="197"/>
      <c r="AH657" s="197"/>
    </row>
    <row r="658" customHeight="1" spans="19:34">
      <c r="S658" s="196"/>
      <c r="T658" s="196"/>
      <c r="U658" s="196"/>
      <c r="V658" s="196"/>
      <c r="W658" s="196"/>
      <c r="X658" s="196"/>
      <c r="Y658" s="196"/>
      <c r="Z658" s="196"/>
      <c r="AA658" s="196"/>
      <c r="AB658" s="196"/>
      <c r="AC658" s="196"/>
      <c r="AD658" s="196"/>
      <c r="AE658" s="197"/>
      <c r="AF658" s="197"/>
      <c r="AG658" s="197"/>
      <c r="AH658" s="197"/>
    </row>
    <row r="659" customHeight="1" spans="19:34">
      <c r="S659" s="196"/>
      <c r="T659" s="196"/>
      <c r="U659" s="196"/>
      <c r="V659" s="196"/>
      <c r="W659" s="196"/>
      <c r="X659" s="196"/>
      <c r="Y659" s="196"/>
      <c r="Z659" s="196"/>
      <c r="AA659" s="196"/>
      <c r="AB659" s="196"/>
      <c r="AC659" s="196"/>
      <c r="AD659" s="196"/>
      <c r="AE659" s="197"/>
      <c r="AF659" s="197"/>
      <c r="AG659" s="197"/>
      <c r="AH659" s="197"/>
    </row>
    <row r="660" customHeight="1" spans="19:34">
      <c r="S660" s="196"/>
      <c r="T660" s="196"/>
      <c r="U660" s="196"/>
      <c r="V660" s="196"/>
      <c r="W660" s="196"/>
      <c r="X660" s="196"/>
      <c r="Y660" s="196"/>
      <c r="Z660" s="196"/>
      <c r="AA660" s="196"/>
      <c r="AB660" s="196"/>
      <c r="AC660" s="196"/>
      <c r="AD660" s="196"/>
      <c r="AE660" s="197"/>
      <c r="AF660" s="197"/>
      <c r="AG660" s="197"/>
      <c r="AH660" s="197"/>
    </row>
    <row r="661" customHeight="1" spans="19:34">
      <c r="S661" s="196"/>
      <c r="T661" s="196"/>
      <c r="U661" s="196"/>
      <c r="V661" s="196"/>
      <c r="W661" s="196"/>
      <c r="X661" s="196"/>
      <c r="Y661" s="196"/>
      <c r="Z661" s="196"/>
      <c r="AA661" s="196"/>
      <c r="AB661" s="196"/>
      <c r="AC661" s="196"/>
      <c r="AD661" s="196"/>
      <c r="AE661" s="197"/>
      <c r="AF661" s="197"/>
      <c r="AG661" s="197"/>
      <c r="AH661" s="197"/>
    </row>
    <row r="662" customHeight="1" spans="19:34">
      <c r="S662" s="196"/>
      <c r="T662" s="196"/>
      <c r="U662" s="196"/>
      <c r="V662" s="196"/>
      <c r="W662" s="196"/>
      <c r="X662" s="196"/>
      <c r="Y662" s="196"/>
      <c r="Z662" s="196"/>
      <c r="AA662" s="196"/>
      <c r="AB662" s="196"/>
      <c r="AC662" s="196"/>
      <c r="AD662" s="196"/>
      <c r="AE662" s="197"/>
      <c r="AF662" s="197"/>
      <c r="AG662" s="197"/>
      <c r="AH662" s="197"/>
    </row>
    <row r="663" customHeight="1" spans="19:34">
      <c r="S663" s="196"/>
      <c r="T663" s="196"/>
      <c r="U663" s="196"/>
      <c r="V663" s="196"/>
      <c r="W663" s="196"/>
      <c r="X663" s="196"/>
      <c r="Y663" s="196"/>
      <c r="Z663" s="196"/>
      <c r="AA663" s="196"/>
      <c r="AB663" s="196"/>
      <c r="AC663" s="196"/>
      <c r="AD663" s="196"/>
      <c r="AE663" s="197"/>
      <c r="AF663" s="197"/>
      <c r="AG663" s="197"/>
      <c r="AH663" s="197"/>
    </row>
    <row r="664" customHeight="1" spans="19:34">
      <c r="S664" s="196"/>
      <c r="T664" s="196"/>
      <c r="U664" s="196"/>
      <c r="V664" s="196"/>
      <c r="W664" s="196"/>
      <c r="X664" s="196"/>
      <c r="Y664" s="196"/>
      <c r="Z664" s="196"/>
      <c r="AA664" s="196"/>
      <c r="AB664" s="196"/>
      <c r="AC664" s="196"/>
      <c r="AD664" s="196"/>
      <c r="AE664" s="197"/>
      <c r="AF664" s="197"/>
      <c r="AG664" s="197"/>
      <c r="AH664" s="197"/>
    </row>
    <row r="665" customHeight="1" spans="19:34">
      <c r="S665" s="196"/>
      <c r="T665" s="196"/>
      <c r="U665" s="196"/>
      <c r="V665" s="196"/>
      <c r="W665" s="196"/>
      <c r="X665" s="196"/>
      <c r="Y665" s="196"/>
      <c r="Z665" s="196"/>
      <c r="AA665" s="196"/>
      <c r="AB665" s="196"/>
      <c r="AC665" s="196"/>
      <c r="AD665" s="196"/>
      <c r="AE665" s="197"/>
      <c r="AF665" s="197"/>
      <c r="AG665" s="197"/>
      <c r="AH665" s="197"/>
    </row>
    <row r="666" customHeight="1" spans="19:34">
      <c r="S666" s="196"/>
      <c r="T666" s="196"/>
      <c r="U666" s="196"/>
      <c r="V666" s="196"/>
      <c r="W666" s="196"/>
      <c r="X666" s="196"/>
      <c r="Y666" s="196"/>
      <c r="Z666" s="196"/>
      <c r="AA666" s="196"/>
      <c r="AB666" s="196"/>
      <c r="AC666" s="196"/>
      <c r="AD666" s="196"/>
      <c r="AE666" s="197"/>
      <c r="AF666" s="197"/>
      <c r="AG666" s="197"/>
      <c r="AH666" s="197"/>
    </row>
    <row r="667" customHeight="1" spans="19:34">
      <c r="S667" s="196"/>
      <c r="T667" s="196"/>
      <c r="U667" s="196"/>
      <c r="V667" s="196"/>
      <c r="W667" s="196"/>
      <c r="X667" s="196"/>
      <c r="Y667" s="196"/>
      <c r="Z667" s="196"/>
      <c r="AA667" s="196"/>
      <c r="AB667" s="196"/>
      <c r="AC667" s="196"/>
      <c r="AD667" s="196"/>
      <c r="AE667" s="197"/>
      <c r="AF667" s="197"/>
      <c r="AG667" s="197"/>
      <c r="AH667" s="197"/>
    </row>
    <row r="668" customHeight="1" spans="19:34">
      <c r="S668" s="196"/>
      <c r="T668" s="196"/>
      <c r="U668" s="196"/>
      <c r="V668" s="196"/>
      <c r="W668" s="196"/>
      <c r="X668" s="196"/>
      <c r="Y668" s="196"/>
      <c r="Z668" s="196"/>
      <c r="AA668" s="196"/>
      <c r="AB668" s="196"/>
      <c r="AC668" s="196"/>
      <c r="AD668" s="196"/>
      <c r="AE668" s="197"/>
      <c r="AF668" s="197"/>
      <c r="AG668" s="197"/>
      <c r="AH668" s="197"/>
    </row>
    <row r="669" customHeight="1" spans="19:34">
      <c r="S669" s="196"/>
      <c r="T669" s="196"/>
      <c r="U669" s="196"/>
      <c r="V669" s="196"/>
      <c r="W669" s="196"/>
      <c r="X669" s="196"/>
      <c r="Y669" s="196"/>
      <c r="Z669" s="196"/>
      <c r="AA669" s="196"/>
      <c r="AB669" s="196"/>
      <c r="AC669" s="196"/>
      <c r="AD669" s="196"/>
      <c r="AE669" s="197"/>
      <c r="AF669" s="197"/>
      <c r="AG669" s="197"/>
      <c r="AH669" s="197"/>
    </row>
    <row r="670" customHeight="1" spans="19:34">
      <c r="S670" s="196"/>
      <c r="T670" s="196"/>
      <c r="U670" s="196"/>
      <c r="V670" s="196"/>
      <c r="W670" s="196"/>
      <c r="X670" s="196"/>
      <c r="Y670" s="196"/>
      <c r="Z670" s="196"/>
      <c r="AA670" s="196"/>
      <c r="AB670" s="196"/>
      <c r="AC670" s="196"/>
      <c r="AD670" s="196"/>
      <c r="AE670" s="197"/>
      <c r="AF670" s="197"/>
      <c r="AG670" s="197"/>
      <c r="AH670" s="197"/>
    </row>
    <row r="671" customHeight="1" spans="19:34">
      <c r="S671" s="196"/>
      <c r="T671" s="196"/>
      <c r="U671" s="196"/>
      <c r="V671" s="196"/>
      <c r="W671" s="196"/>
      <c r="X671" s="196"/>
      <c r="Y671" s="196"/>
      <c r="Z671" s="196"/>
      <c r="AA671" s="196"/>
      <c r="AB671" s="196"/>
      <c r="AC671" s="196"/>
      <c r="AD671" s="196"/>
      <c r="AE671" s="197"/>
      <c r="AF671" s="197"/>
      <c r="AG671" s="197"/>
      <c r="AH671" s="197"/>
    </row>
    <row r="672" customHeight="1" spans="19:34">
      <c r="S672" s="196"/>
      <c r="T672" s="196"/>
      <c r="U672" s="196"/>
      <c r="V672" s="196"/>
      <c r="W672" s="196"/>
      <c r="X672" s="196"/>
      <c r="Y672" s="196"/>
      <c r="Z672" s="196"/>
      <c r="AA672" s="196"/>
      <c r="AB672" s="196"/>
      <c r="AC672" s="196"/>
      <c r="AD672" s="196"/>
      <c r="AE672" s="197"/>
      <c r="AF672" s="197"/>
      <c r="AG672" s="197"/>
      <c r="AH672" s="197"/>
    </row>
    <row r="673" customHeight="1" spans="19:34">
      <c r="S673" s="196"/>
      <c r="T673" s="196"/>
      <c r="U673" s="196"/>
      <c r="V673" s="196"/>
      <c r="W673" s="196"/>
      <c r="X673" s="196"/>
      <c r="Y673" s="196"/>
      <c r="Z673" s="196"/>
      <c r="AA673" s="196"/>
      <c r="AB673" s="196"/>
      <c r="AC673" s="196"/>
      <c r="AD673" s="196"/>
      <c r="AE673" s="197"/>
      <c r="AF673" s="197"/>
      <c r="AG673" s="197"/>
      <c r="AH673" s="197"/>
    </row>
    <row r="674" customHeight="1" spans="19:34">
      <c r="S674" s="196"/>
      <c r="T674" s="196"/>
      <c r="U674" s="196"/>
      <c r="V674" s="196"/>
      <c r="W674" s="196"/>
      <c r="X674" s="196"/>
      <c r="Y674" s="196"/>
      <c r="Z674" s="196"/>
      <c r="AA674" s="196"/>
      <c r="AB674" s="196"/>
      <c r="AC674" s="196"/>
      <c r="AD674" s="196"/>
      <c r="AE674" s="197"/>
      <c r="AF674" s="197"/>
      <c r="AG674" s="197"/>
      <c r="AH674" s="197"/>
    </row>
    <row r="675" customHeight="1" spans="19:34">
      <c r="S675" s="196"/>
      <c r="T675" s="196"/>
      <c r="U675" s="196"/>
      <c r="V675" s="196"/>
      <c r="W675" s="196"/>
      <c r="X675" s="196"/>
      <c r="Y675" s="196"/>
      <c r="Z675" s="196"/>
      <c r="AA675" s="196"/>
      <c r="AB675" s="196"/>
      <c r="AC675" s="196"/>
      <c r="AD675" s="196"/>
      <c r="AE675" s="197"/>
      <c r="AF675" s="197"/>
      <c r="AG675" s="197"/>
      <c r="AH675" s="197"/>
    </row>
    <row r="676" customHeight="1" spans="19:34">
      <c r="S676" s="196"/>
      <c r="T676" s="196"/>
      <c r="U676" s="196"/>
      <c r="V676" s="196"/>
      <c r="W676" s="196"/>
      <c r="X676" s="196"/>
      <c r="Y676" s="196"/>
      <c r="Z676" s="196"/>
      <c r="AA676" s="196"/>
      <c r="AB676" s="196"/>
      <c r="AC676" s="196"/>
      <c r="AD676" s="196"/>
      <c r="AE676" s="197"/>
      <c r="AF676" s="197"/>
      <c r="AG676" s="197"/>
      <c r="AH676" s="197"/>
    </row>
    <row r="677" customHeight="1" spans="19:34">
      <c r="S677" s="196"/>
      <c r="T677" s="196"/>
      <c r="U677" s="196"/>
      <c r="V677" s="196"/>
      <c r="W677" s="196"/>
      <c r="X677" s="196"/>
      <c r="Y677" s="196"/>
      <c r="Z677" s="196"/>
      <c r="AA677" s="196"/>
      <c r="AB677" s="196"/>
      <c r="AC677" s="196"/>
      <c r="AD677" s="196"/>
      <c r="AE677" s="197"/>
      <c r="AF677" s="197"/>
      <c r="AG677" s="197"/>
      <c r="AH677" s="197"/>
    </row>
    <row r="678" customHeight="1" spans="19:34">
      <c r="S678" s="196"/>
      <c r="T678" s="196"/>
      <c r="U678" s="196"/>
      <c r="V678" s="196"/>
      <c r="W678" s="196"/>
      <c r="X678" s="196"/>
      <c r="Y678" s="196"/>
      <c r="Z678" s="196"/>
      <c r="AA678" s="196"/>
      <c r="AB678" s="196"/>
      <c r="AC678" s="196"/>
      <c r="AD678" s="196"/>
      <c r="AE678" s="197"/>
      <c r="AF678" s="197"/>
      <c r="AG678" s="197"/>
      <c r="AH678" s="197"/>
    </row>
    <row r="679" customHeight="1" spans="19:34">
      <c r="S679" s="196"/>
      <c r="T679" s="196"/>
      <c r="U679" s="196"/>
      <c r="V679" s="196"/>
      <c r="W679" s="196"/>
      <c r="X679" s="196"/>
      <c r="Y679" s="196"/>
      <c r="Z679" s="196"/>
      <c r="AA679" s="196"/>
      <c r="AB679" s="196"/>
      <c r="AC679" s="196"/>
      <c r="AD679" s="196"/>
      <c r="AE679" s="197"/>
      <c r="AF679" s="197"/>
      <c r="AG679" s="197"/>
      <c r="AH679" s="197"/>
    </row>
    <row r="680" customHeight="1" spans="19:34">
      <c r="S680" s="196"/>
      <c r="T680" s="196"/>
      <c r="U680" s="196"/>
      <c r="V680" s="196"/>
      <c r="W680" s="196"/>
      <c r="X680" s="196"/>
      <c r="Y680" s="196"/>
      <c r="Z680" s="196"/>
      <c r="AA680" s="196"/>
      <c r="AB680" s="196"/>
      <c r="AC680" s="196"/>
      <c r="AD680" s="196"/>
      <c r="AE680" s="197"/>
      <c r="AF680" s="197"/>
      <c r="AG680" s="197"/>
      <c r="AH680" s="197"/>
    </row>
    <row r="681" customHeight="1" spans="19:34">
      <c r="S681" s="196"/>
      <c r="T681" s="196"/>
      <c r="U681" s="196"/>
      <c r="V681" s="196"/>
      <c r="W681" s="196"/>
      <c r="X681" s="196"/>
      <c r="Y681" s="196"/>
      <c r="Z681" s="196"/>
      <c r="AA681" s="196"/>
      <c r="AB681" s="196"/>
      <c r="AC681" s="196"/>
      <c r="AD681" s="196"/>
      <c r="AE681" s="197"/>
      <c r="AF681" s="197"/>
      <c r="AG681" s="197"/>
      <c r="AH681" s="197"/>
    </row>
    <row r="682" customHeight="1" spans="19:34">
      <c r="S682" s="196"/>
      <c r="T682" s="196"/>
      <c r="U682" s="196"/>
      <c r="V682" s="196"/>
      <c r="W682" s="196"/>
      <c r="X682" s="196"/>
      <c r="Y682" s="196"/>
      <c r="Z682" s="196"/>
      <c r="AA682" s="196"/>
      <c r="AB682" s="196"/>
      <c r="AC682" s="196"/>
      <c r="AD682" s="196"/>
      <c r="AE682" s="197"/>
      <c r="AF682" s="197"/>
      <c r="AG682" s="197"/>
      <c r="AH682" s="197"/>
    </row>
    <row r="683" customHeight="1" spans="19:34">
      <c r="S683" s="196"/>
      <c r="T683" s="196"/>
      <c r="U683" s="196"/>
      <c r="V683" s="196"/>
      <c r="W683" s="196"/>
      <c r="X683" s="196"/>
      <c r="Y683" s="196"/>
      <c r="Z683" s="196"/>
      <c r="AA683" s="196"/>
      <c r="AB683" s="196"/>
      <c r="AC683" s="196"/>
      <c r="AD683" s="196"/>
      <c r="AE683" s="197"/>
      <c r="AF683" s="197"/>
      <c r="AG683" s="197"/>
      <c r="AH683" s="197"/>
    </row>
    <row r="684" customHeight="1" spans="19:34">
      <c r="S684" s="196"/>
      <c r="T684" s="196"/>
      <c r="U684" s="196"/>
      <c r="V684" s="196"/>
      <c r="W684" s="196"/>
      <c r="X684" s="196"/>
      <c r="Y684" s="196"/>
      <c r="Z684" s="196"/>
      <c r="AA684" s="196"/>
      <c r="AB684" s="196"/>
      <c r="AC684" s="196"/>
      <c r="AD684" s="196"/>
      <c r="AE684" s="197"/>
      <c r="AF684" s="197"/>
      <c r="AG684" s="197"/>
      <c r="AH684" s="197"/>
    </row>
    <row r="685" customHeight="1" spans="19:34">
      <c r="S685" s="196"/>
      <c r="T685" s="196"/>
      <c r="U685" s="196"/>
      <c r="V685" s="196"/>
      <c r="W685" s="196"/>
      <c r="X685" s="196"/>
      <c r="Y685" s="196"/>
      <c r="Z685" s="196"/>
      <c r="AA685" s="196"/>
      <c r="AB685" s="196"/>
      <c r="AC685" s="196"/>
      <c r="AD685" s="196"/>
      <c r="AE685" s="197"/>
      <c r="AF685" s="197"/>
      <c r="AG685" s="197"/>
      <c r="AH685" s="197"/>
    </row>
    <row r="686" customHeight="1" spans="19:34">
      <c r="S686" s="196"/>
      <c r="T686" s="196"/>
      <c r="U686" s="196"/>
      <c r="V686" s="196"/>
      <c r="W686" s="196"/>
      <c r="X686" s="196"/>
      <c r="Y686" s="196"/>
      <c r="Z686" s="196"/>
      <c r="AA686" s="196"/>
      <c r="AB686" s="196"/>
      <c r="AC686" s="196"/>
      <c r="AD686" s="196"/>
      <c r="AE686" s="197"/>
      <c r="AF686" s="197"/>
      <c r="AG686" s="197"/>
      <c r="AH686" s="197"/>
    </row>
    <row r="687" customHeight="1" spans="19:34">
      <c r="S687" s="196"/>
      <c r="T687" s="196"/>
      <c r="U687" s="196"/>
      <c r="V687" s="196"/>
      <c r="W687" s="196"/>
      <c r="X687" s="196"/>
      <c r="Y687" s="196"/>
      <c r="Z687" s="196"/>
      <c r="AA687" s="196"/>
      <c r="AB687" s="196"/>
      <c r="AC687" s="196"/>
      <c r="AD687" s="196"/>
      <c r="AE687" s="197"/>
      <c r="AF687" s="197"/>
      <c r="AG687" s="197"/>
      <c r="AH687" s="197"/>
    </row>
    <row r="688" customHeight="1" spans="19:34">
      <c r="S688" s="196"/>
      <c r="T688" s="196"/>
      <c r="U688" s="196"/>
      <c r="V688" s="196"/>
      <c r="W688" s="196"/>
      <c r="X688" s="196"/>
      <c r="Y688" s="196"/>
      <c r="Z688" s="196"/>
      <c r="AA688" s="196"/>
      <c r="AB688" s="196"/>
      <c r="AC688" s="196"/>
      <c r="AD688" s="196"/>
      <c r="AE688" s="197"/>
      <c r="AF688" s="197"/>
      <c r="AG688" s="197"/>
      <c r="AH688" s="197"/>
    </row>
    <row r="689" customHeight="1" spans="19:34">
      <c r="S689" s="196"/>
      <c r="T689" s="196"/>
      <c r="U689" s="196"/>
      <c r="V689" s="196"/>
      <c r="W689" s="196"/>
      <c r="X689" s="196"/>
      <c r="Y689" s="196"/>
      <c r="Z689" s="196"/>
      <c r="AA689" s="196"/>
      <c r="AB689" s="196"/>
      <c r="AC689" s="196"/>
      <c r="AD689" s="196"/>
      <c r="AE689" s="197"/>
      <c r="AF689" s="197"/>
      <c r="AG689" s="197"/>
      <c r="AH689" s="197"/>
    </row>
    <row r="690" customHeight="1" spans="19:34">
      <c r="S690" s="196"/>
      <c r="T690" s="196"/>
      <c r="U690" s="196"/>
      <c r="V690" s="196"/>
      <c r="W690" s="196"/>
      <c r="X690" s="196"/>
      <c r="Y690" s="196"/>
      <c r="Z690" s="196"/>
      <c r="AA690" s="196"/>
      <c r="AB690" s="196"/>
      <c r="AC690" s="196"/>
      <c r="AD690" s="196"/>
      <c r="AE690" s="197"/>
      <c r="AF690" s="197"/>
      <c r="AG690" s="197"/>
      <c r="AH690" s="197"/>
    </row>
    <row r="691" customHeight="1" spans="19:34">
      <c r="S691" s="196"/>
      <c r="T691" s="196"/>
      <c r="U691" s="196"/>
      <c r="V691" s="196"/>
      <c r="W691" s="196"/>
      <c r="X691" s="196"/>
      <c r="Y691" s="196"/>
      <c r="Z691" s="196"/>
      <c r="AA691" s="196"/>
      <c r="AB691" s="196"/>
      <c r="AC691" s="196"/>
      <c r="AD691" s="196"/>
      <c r="AE691" s="197"/>
      <c r="AF691" s="197"/>
      <c r="AG691" s="197"/>
      <c r="AH691" s="197"/>
    </row>
    <row r="692" customHeight="1" spans="19:34">
      <c r="S692" s="196"/>
      <c r="T692" s="196"/>
      <c r="U692" s="196"/>
      <c r="V692" s="196"/>
      <c r="W692" s="196"/>
      <c r="X692" s="196"/>
      <c r="Y692" s="196"/>
      <c r="Z692" s="196"/>
      <c r="AA692" s="196"/>
      <c r="AB692" s="196"/>
      <c r="AC692" s="196"/>
      <c r="AD692" s="196"/>
      <c r="AE692" s="197"/>
      <c r="AF692" s="197"/>
      <c r="AG692" s="197"/>
      <c r="AH692" s="197"/>
    </row>
    <row r="693" customHeight="1" spans="19:34">
      <c r="S693" s="196"/>
      <c r="T693" s="196"/>
      <c r="U693" s="196"/>
      <c r="V693" s="196"/>
      <c r="W693" s="196"/>
      <c r="X693" s="196"/>
      <c r="Y693" s="196"/>
      <c r="Z693" s="196"/>
      <c r="AA693" s="196"/>
      <c r="AB693" s="196"/>
      <c r="AC693" s="196"/>
      <c r="AD693" s="196"/>
      <c r="AE693" s="197"/>
      <c r="AF693" s="197"/>
      <c r="AG693" s="197"/>
      <c r="AH693" s="197"/>
    </row>
    <row r="694" customHeight="1" spans="19:34">
      <c r="S694" s="196"/>
      <c r="T694" s="196"/>
      <c r="U694" s="196"/>
      <c r="V694" s="196"/>
      <c r="W694" s="196"/>
      <c r="X694" s="196"/>
      <c r="Y694" s="196"/>
      <c r="Z694" s="196"/>
      <c r="AA694" s="196"/>
      <c r="AB694" s="196"/>
      <c r="AC694" s="196"/>
      <c r="AD694" s="196"/>
      <c r="AE694" s="197"/>
      <c r="AF694" s="197"/>
      <c r="AG694" s="197"/>
      <c r="AH694" s="197"/>
    </row>
    <row r="695" customHeight="1" spans="19:34">
      <c r="S695" s="196"/>
      <c r="T695" s="196"/>
      <c r="U695" s="196"/>
      <c r="V695" s="196"/>
      <c r="W695" s="196"/>
      <c r="X695" s="196"/>
      <c r="Y695" s="196"/>
      <c r="Z695" s="196"/>
      <c r="AA695" s="196"/>
      <c r="AB695" s="196"/>
      <c r="AC695" s="196"/>
      <c r="AD695" s="196"/>
      <c r="AE695" s="197"/>
      <c r="AF695" s="197"/>
      <c r="AG695" s="197"/>
      <c r="AH695" s="197"/>
    </row>
    <row r="696" customHeight="1" spans="19:34">
      <c r="S696" s="196"/>
      <c r="T696" s="196"/>
      <c r="U696" s="196"/>
      <c r="V696" s="196"/>
      <c r="W696" s="196"/>
      <c r="X696" s="196"/>
      <c r="Y696" s="196"/>
      <c r="Z696" s="196"/>
      <c r="AA696" s="196"/>
      <c r="AB696" s="196"/>
      <c r="AC696" s="196"/>
      <c r="AD696" s="196"/>
      <c r="AE696" s="197"/>
      <c r="AF696" s="197"/>
      <c r="AG696" s="197"/>
      <c r="AH696" s="197"/>
    </row>
    <row r="697" customHeight="1" spans="19:34">
      <c r="S697" s="196"/>
      <c r="T697" s="196"/>
      <c r="U697" s="196"/>
      <c r="V697" s="196"/>
      <c r="W697" s="196"/>
      <c r="X697" s="196"/>
      <c r="Y697" s="196"/>
      <c r="Z697" s="196"/>
      <c r="AA697" s="196"/>
      <c r="AB697" s="196"/>
      <c r="AC697" s="196"/>
      <c r="AD697" s="196"/>
      <c r="AE697" s="197"/>
      <c r="AF697" s="197"/>
      <c r="AG697" s="197"/>
      <c r="AH697" s="197"/>
    </row>
  </sheetData>
  <mergeCells count="618">
    <mergeCell ref="A1:G1"/>
    <mergeCell ref="A2:B2"/>
    <mergeCell ref="E2:G2"/>
    <mergeCell ref="A3:B3"/>
    <mergeCell ref="C3:E3"/>
    <mergeCell ref="A4:G4"/>
    <mergeCell ref="A5:G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A21:G21"/>
    <mergeCell ref="A22:B22"/>
    <mergeCell ref="E22:G22"/>
    <mergeCell ref="A23:B23"/>
    <mergeCell ref="C23:E23"/>
    <mergeCell ref="A24:G24"/>
    <mergeCell ref="A25:G25"/>
    <mergeCell ref="B26:C26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38:C38"/>
    <mergeCell ref="B39:C39"/>
    <mergeCell ref="A40:G40"/>
    <mergeCell ref="A41:B41"/>
    <mergeCell ref="E41:G41"/>
    <mergeCell ref="A42:B42"/>
    <mergeCell ref="C42:E42"/>
    <mergeCell ref="A43:G43"/>
    <mergeCell ref="A44:G44"/>
    <mergeCell ref="B45:C45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58:C58"/>
    <mergeCell ref="A60:G60"/>
    <mergeCell ref="A61:B61"/>
    <mergeCell ref="E61:G61"/>
    <mergeCell ref="A62:B62"/>
    <mergeCell ref="C62:E62"/>
    <mergeCell ref="A63:G63"/>
    <mergeCell ref="A64:G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6:C76"/>
    <mergeCell ref="B77:C77"/>
    <mergeCell ref="B78:C78"/>
    <mergeCell ref="A80:G80"/>
    <mergeCell ref="A81:B81"/>
    <mergeCell ref="E81:G81"/>
    <mergeCell ref="A82:B82"/>
    <mergeCell ref="C82:E82"/>
    <mergeCell ref="A83:G83"/>
    <mergeCell ref="A84:G84"/>
    <mergeCell ref="B85:C85"/>
    <mergeCell ref="B86:C86"/>
    <mergeCell ref="B87:C87"/>
    <mergeCell ref="B88:C88"/>
    <mergeCell ref="B89:C89"/>
    <mergeCell ref="B90:C90"/>
    <mergeCell ref="B91:C91"/>
    <mergeCell ref="B92:C92"/>
    <mergeCell ref="B93:C93"/>
    <mergeCell ref="B94:C94"/>
    <mergeCell ref="B95:C95"/>
    <mergeCell ref="B96:C96"/>
    <mergeCell ref="B97:C97"/>
    <mergeCell ref="B98:C98"/>
    <mergeCell ref="A100:G100"/>
    <mergeCell ref="A101:B101"/>
    <mergeCell ref="E101:G101"/>
    <mergeCell ref="A102:B102"/>
    <mergeCell ref="C102:E102"/>
    <mergeCell ref="A103:G103"/>
    <mergeCell ref="A104:G104"/>
    <mergeCell ref="B105:C105"/>
    <mergeCell ref="B106:C106"/>
    <mergeCell ref="B107:C107"/>
    <mergeCell ref="B108:C108"/>
    <mergeCell ref="B109:C109"/>
    <mergeCell ref="B110:C110"/>
    <mergeCell ref="B111:C111"/>
    <mergeCell ref="B112:C112"/>
    <mergeCell ref="B113:C113"/>
    <mergeCell ref="B114:C114"/>
    <mergeCell ref="B115:C115"/>
    <mergeCell ref="B116:C116"/>
    <mergeCell ref="B117:C117"/>
    <mergeCell ref="B118:C118"/>
    <mergeCell ref="A120:G120"/>
    <mergeCell ref="A121:B121"/>
    <mergeCell ref="E121:G121"/>
    <mergeCell ref="A122:B122"/>
    <mergeCell ref="C122:E122"/>
    <mergeCell ref="A123:G123"/>
    <mergeCell ref="A124:G124"/>
    <mergeCell ref="B125:C125"/>
    <mergeCell ref="B126:C126"/>
    <mergeCell ref="B127:C127"/>
    <mergeCell ref="B128:C128"/>
    <mergeCell ref="B129:C129"/>
    <mergeCell ref="B130:C130"/>
    <mergeCell ref="B131:C131"/>
    <mergeCell ref="B132:C132"/>
    <mergeCell ref="B133:C133"/>
    <mergeCell ref="B135:C135"/>
    <mergeCell ref="B136:C136"/>
    <mergeCell ref="B137:C137"/>
    <mergeCell ref="B138:C138"/>
    <mergeCell ref="B139:C139"/>
    <mergeCell ref="B140:C140"/>
    <mergeCell ref="B141:C141"/>
    <mergeCell ref="B142:C142"/>
    <mergeCell ref="A144:G144"/>
    <mergeCell ref="A145:B145"/>
    <mergeCell ref="E145:G145"/>
    <mergeCell ref="A146:B146"/>
    <mergeCell ref="C146:E146"/>
    <mergeCell ref="A147:G147"/>
    <mergeCell ref="A148:G148"/>
    <mergeCell ref="B149:C149"/>
    <mergeCell ref="B150:C150"/>
    <mergeCell ref="B151:C151"/>
    <mergeCell ref="B152:C152"/>
    <mergeCell ref="B153:C153"/>
    <mergeCell ref="B154:C154"/>
    <mergeCell ref="B155:C155"/>
    <mergeCell ref="B156:C156"/>
    <mergeCell ref="B157:C157"/>
    <mergeCell ref="B159:C159"/>
    <mergeCell ref="B160:C160"/>
    <mergeCell ref="B161:C161"/>
    <mergeCell ref="B162:C162"/>
    <mergeCell ref="B163:C163"/>
    <mergeCell ref="B164:C164"/>
    <mergeCell ref="B165:C165"/>
    <mergeCell ref="B166:C166"/>
    <mergeCell ref="A168:G168"/>
    <mergeCell ref="A169:B169"/>
    <mergeCell ref="E169:G169"/>
    <mergeCell ref="A170:B170"/>
    <mergeCell ref="C170:E170"/>
    <mergeCell ref="A171:G171"/>
    <mergeCell ref="A172:G172"/>
    <mergeCell ref="B173:C173"/>
    <mergeCell ref="B174:C174"/>
    <mergeCell ref="B175:C175"/>
    <mergeCell ref="B176:C176"/>
    <mergeCell ref="B177:C177"/>
    <mergeCell ref="B178:C178"/>
    <mergeCell ref="B179:C179"/>
    <mergeCell ref="B180:C180"/>
    <mergeCell ref="B181:C181"/>
    <mergeCell ref="B183:C183"/>
    <mergeCell ref="B184:C184"/>
    <mergeCell ref="B185:C185"/>
    <mergeCell ref="B186:C186"/>
    <mergeCell ref="B187:C187"/>
    <mergeCell ref="B188:C188"/>
    <mergeCell ref="B189:C189"/>
    <mergeCell ref="B190:C190"/>
    <mergeCell ref="A192:G192"/>
    <mergeCell ref="A193:B193"/>
    <mergeCell ref="E193:G193"/>
    <mergeCell ref="A194:B194"/>
    <mergeCell ref="C194:E194"/>
    <mergeCell ref="A195:G195"/>
    <mergeCell ref="A196:G196"/>
    <mergeCell ref="B197:C197"/>
    <mergeCell ref="B198:C198"/>
    <mergeCell ref="B199:C199"/>
    <mergeCell ref="B200:C200"/>
    <mergeCell ref="B201:C201"/>
    <mergeCell ref="B202:C202"/>
    <mergeCell ref="B203:C203"/>
    <mergeCell ref="B204:C204"/>
    <mergeCell ref="B205:C205"/>
    <mergeCell ref="B207:C207"/>
    <mergeCell ref="B208:C208"/>
    <mergeCell ref="B209:C209"/>
    <mergeCell ref="B210:C210"/>
    <mergeCell ref="B211:C211"/>
    <mergeCell ref="B212:C212"/>
    <mergeCell ref="B213:C213"/>
    <mergeCell ref="B214:C214"/>
    <mergeCell ref="A216:G216"/>
    <mergeCell ref="A217:B217"/>
    <mergeCell ref="E217:G217"/>
    <mergeCell ref="A218:B218"/>
    <mergeCell ref="C218:E218"/>
    <mergeCell ref="A219:G219"/>
    <mergeCell ref="A220:G220"/>
    <mergeCell ref="B221:C221"/>
    <mergeCell ref="B222:C222"/>
    <mergeCell ref="B223:C223"/>
    <mergeCell ref="B224:C224"/>
    <mergeCell ref="B225:C225"/>
    <mergeCell ref="B226:C226"/>
    <mergeCell ref="B227:C227"/>
    <mergeCell ref="B228:C228"/>
    <mergeCell ref="B229:C229"/>
    <mergeCell ref="B231:C231"/>
    <mergeCell ref="B232:C232"/>
    <mergeCell ref="B233:C233"/>
    <mergeCell ref="B234:C234"/>
    <mergeCell ref="B235:C235"/>
    <mergeCell ref="B236:C236"/>
    <mergeCell ref="B237:C237"/>
    <mergeCell ref="B238:C238"/>
    <mergeCell ref="A240:G240"/>
    <mergeCell ref="A241:B241"/>
    <mergeCell ref="E241:G241"/>
    <mergeCell ref="A242:B242"/>
    <mergeCell ref="C242:E242"/>
    <mergeCell ref="A243:G243"/>
    <mergeCell ref="A244:G244"/>
    <mergeCell ref="B245:C245"/>
    <mergeCell ref="B246:C246"/>
    <mergeCell ref="B247:C247"/>
    <mergeCell ref="B248:C248"/>
    <mergeCell ref="B249:C249"/>
    <mergeCell ref="B250:C250"/>
    <mergeCell ref="B251:C251"/>
    <mergeCell ref="B252:C252"/>
    <mergeCell ref="B253:C253"/>
    <mergeCell ref="B254:C254"/>
    <mergeCell ref="B255:C255"/>
    <mergeCell ref="B256:C256"/>
    <mergeCell ref="B257:C257"/>
    <mergeCell ref="B258:C258"/>
    <mergeCell ref="B259:C259"/>
    <mergeCell ref="B260:C260"/>
    <mergeCell ref="B261:C261"/>
    <mergeCell ref="B262:C262"/>
    <mergeCell ref="B263:C263"/>
    <mergeCell ref="B264:C264"/>
    <mergeCell ref="A266:G266"/>
    <mergeCell ref="A267:B267"/>
    <mergeCell ref="E267:G267"/>
    <mergeCell ref="A268:B268"/>
    <mergeCell ref="C268:E268"/>
    <mergeCell ref="A269:G269"/>
    <mergeCell ref="A270:G270"/>
    <mergeCell ref="B271:C271"/>
    <mergeCell ref="B272:C272"/>
    <mergeCell ref="B273:C273"/>
    <mergeCell ref="B274:C274"/>
    <mergeCell ref="B275:C275"/>
    <mergeCell ref="B276:C276"/>
    <mergeCell ref="B277:C277"/>
    <mergeCell ref="B278:C278"/>
    <mergeCell ref="B279:C279"/>
    <mergeCell ref="B280:C280"/>
    <mergeCell ref="B281:C281"/>
    <mergeCell ref="B282:C282"/>
    <mergeCell ref="B283:C283"/>
    <mergeCell ref="B284:C284"/>
    <mergeCell ref="B285:C285"/>
    <mergeCell ref="B286:C286"/>
    <mergeCell ref="B287:C287"/>
    <mergeCell ref="B288:C288"/>
    <mergeCell ref="B289:C289"/>
    <mergeCell ref="B290:C290"/>
    <mergeCell ref="A292:G292"/>
    <mergeCell ref="A293:B293"/>
    <mergeCell ref="E293:G293"/>
    <mergeCell ref="A294:B294"/>
    <mergeCell ref="C294:E294"/>
    <mergeCell ref="A295:G295"/>
    <mergeCell ref="A296:G296"/>
    <mergeCell ref="B297:C297"/>
    <mergeCell ref="B298:C298"/>
    <mergeCell ref="B299:C299"/>
    <mergeCell ref="B300:C300"/>
    <mergeCell ref="B301:C301"/>
    <mergeCell ref="B302:C302"/>
    <mergeCell ref="B303:C303"/>
    <mergeCell ref="B304:C304"/>
    <mergeCell ref="B305:C305"/>
    <mergeCell ref="B306:C306"/>
    <mergeCell ref="B307:C307"/>
    <mergeCell ref="B308:C308"/>
    <mergeCell ref="B309:C309"/>
    <mergeCell ref="B310:C310"/>
    <mergeCell ref="B311:C311"/>
    <mergeCell ref="B312:C312"/>
    <mergeCell ref="B313:C313"/>
    <mergeCell ref="B314:C314"/>
    <mergeCell ref="B315:C315"/>
    <mergeCell ref="B316:C316"/>
    <mergeCell ref="A318:G318"/>
    <mergeCell ref="A319:B319"/>
    <mergeCell ref="E319:G319"/>
    <mergeCell ref="A320:B320"/>
    <mergeCell ref="C320:E320"/>
    <mergeCell ref="A321:G321"/>
    <mergeCell ref="A322:G322"/>
    <mergeCell ref="B323:C323"/>
    <mergeCell ref="B324:C324"/>
    <mergeCell ref="B325:C325"/>
    <mergeCell ref="B326:C326"/>
    <mergeCell ref="B327:C327"/>
    <mergeCell ref="B328:C328"/>
    <mergeCell ref="B329:C329"/>
    <mergeCell ref="B330:C330"/>
    <mergeCell ref="B331:C331"/>
    <mergeCell ref="B332:C332"/>
    <mergeCell ref="B333:C333"/>
    <mergeCell ref="B334:C334"/>
    <mergeCell ref="B335:C335"/>
    <mergeCell ref="B336:C336"/>
    <mergeCell ref="B337:C337"/>
    <mergeCell ref="B338:C338"/>
    <mergeCell ref="B339:C339"/>
    <mergeCell ref="B340:C340"/>
    <mergeCell ref="B341:C341"/>
    <mergeCell ref="B342:C342"/>
    <mergeCell ref="A344:G344"/>
    <mergeCell ref="A345:B345"/>
    <mergeCell ref="E345:G345"/>
    <mergeCell ref="A346:B346"/>
    <mergeCell ref="C346:E346"/>
    <mergeCell ref="A347:G347"/>
    <mergeCell ref="A348:G348"/>
    <mergeCell ref="B349:C349"/>
    <mergeCell ref="B350:C350"/>
    <mergeCell ref="B351:C351"/>
    <mergeCell ref="B352:C352"/>
    <mergeCell ref="B353:C353"/>
    <mergeCell ref="B354:C354"/>
    <mergeCell ref="B355:C355"/>
    <mergeCell ref="B356:C356"/>
    <mergeCell ref="B357:C357"/>
    <mergeCell ref="B358:C358"/>
    <mergeCell ref="B359:C359"/>
    <mergeCell ref="B360:C360"/>
    <mergeCell ref="B361:C361"/>
    <mergeCell ref="B362:C362"/>
    <mergeCell ref="B363:C363"/>
    <mergeCell ref="B364:C364"/>
    <mergeCell ref="B365:C365"/>
    <mergeCell ref="B366:C366"/>
    <mergeCell ref="B367:C367"/>
    <mergeCell ref="B368:C368"/>
    <mergeCell ref="A370:G370"/>
    <mergeCell ref="A371:B371"/>
    <mergeCell ref="E371:G371"/>
    <mergeCell ref="A372:B372"/>
    <mergeCell ref="C372:E372"/>
    <mergeCell ref="A373:G373"/>
    <mergeCell ref="A374:G374"/>
    <mergeCell ref="B375:C375"/>
    <mergeCell ref="B376:C376"/>
    <mergeCell ref="B377:C377"/>
    <mergeCell ref="B378:C378"/>
    <mergeCell ref="B379:C379"/>
    <mergeCell ref="B380:C380"/>
    <mergeCell ref="B381:C381"/>
    <mergeCell ref="B382:C382"/>
    <mergeCell ref="B383:C383"/>
    <mergeCell ref="B384:C384"/>
    <mergeCell ref="B385:C385"/>
    <mergeCell ref="B386:C386"/>
    <mergeCell ref="B387:C387"/>
    <mergeCell ref="B388:C388"/>
    <mergeCell ref="B389:C389"/>
    <mergeCell ref="B390:C390"/>
    <mergeCell ref="B391:C391"/>
    <mergeCell ref="B392:C392"/>
    <mergeCell ref="A394:G394"/>
    <mergeCell ref="A395:B395"/>
    <mergeCell ref="E395:G395"/>
    <mergeCell ref="A396:B396"/>
    <mergeCell ref="C396:E396"/>
    <mergeCell ref="A397:G397"/>
    <mergeCell ref="A398:G398"/>
    <mergeCell ref="B399:C399"/>
    <mergeCell ref="B400:C400"/>
    <mergeCell ref="B401:C401"/>
    <mergeCell ref="B402:C402"/>
    <mergeCell ref="B403:C403"/>
    <mergeCell ref="B404:C404"/>
    <mergeCell ref="B405:C405"/>
    <mergeCell ref="B406:C406"/>
    <mergeCell ref="B407:C407"/>
    <mergeCell ref="B408:C408"/>
    <mergeCell ref="B409:C409"/>
    <mergeCell ref="B410:C410"/>
    <mergeCell ref="B411:C411"/>
    <mergeCell ref="B412:C412"/>
    <mergeCell ref="B413:C413"/>
    <mergeCell ref="B414:C414"/>
    <mergeCell ref="B415:C415"/>
    <mergeCell ref="B416:C416"/>
    <mergeCell ref="A420:G420"/>
    <mergeCell ref="A421:B421"/>
    <mergeCell ref="E421:G421"/>
    <mergeCell ref="A422:B422"/>
    <mergeCell ref="C422:E422"/>
    <mergeCell ref="A423:G423"/>
    <mergeCell ref="A424:G424"/>
    <mergeCell ref="B425:C425"/>
    <mergeCell ref="B426:C426"/>
    <mergeCell ref="B427:C427"/>
    <mergeCell ref="B428:C428"/>
    <mergeCell ref="B429:C429"/>
    <mergeCell ref="B430:C430"/>
    <mergeCell ref="B431:C431"/>
    <mergeCell ref="B432:C432"/>
    <mergeCell ref="B433:C433"/>
    <mergeCell ref="B434:C434"/>
    <mergeCell ref="B435:C435"/>
    <mergeCell ref="B436:C436"/>
    <mergeCell ref="B437:C437"/>
    <mergeCell ref="B438:C438"/>
    <mergeCell ref="B439:C439"/>
    <mergeCell ref="B440:C440"/>
    <mergeCell ref="B441:C441"/>
    <mergeCell ref="B442:C442"/>
    <mergeCell ref="B443:C443"/>
    <mergeCell ref="B444:C444"/>
    <mergeCell ref="B445:C445"/>
    <mergeCell ref="B446:C446"/>
    <mergeCell ref="A448:G448"/>
    <mergeCell ref="A449:B449"/>
    <mergeCell ref="E449:G449"/>
    <mergeCell ref="A450:B450"/>
    <mergeCell ref="C450:E450"/>
    <mergeCell ref="A451:G451"/>
    <mergeCell ref="A452:G452"/>
    <mergeCell ref="B453:C453"/>
    <mergeCell ref="B454:C454"/>
    <mergeCell ref="B455:C455"/>
    <mergeCell ref="B456:C456"/>
    <mergeCell ref="B457:C457"/>
    <mergeCell ref="B458:C458"/>
    <mergeCell ref="B459:C459"/>
    <mergeCell ref="B460:C460"/>
    <mergeCell ref="B461:C461"/>
    <mergeCell ref="B462:C462"/>
    <mergeCell ref="B463:C463"/>
    <mergeCell ref="B464:C464"/>
    <mergeCell ref="B465:C465"/>
    <mergeCell ref="B466:C466"/>
    <mergeCell ref="A468:G468"/>
    <mergeCell ref="A469:B469"/>
    <mergeCell ref="E469:G469"/>
    <mergeCell ref="A470:B470"/>
    <mergeCell ref="C470:E470"/>
    <mergeCell ref="A471:G471"/>
    <mergeCell ref="A472:G472"/>
    <mergeCell ref="B473:C473"/>
    <mergeCell ref="B474:C474"/>
    <mergeCell ref="B475:C475"/>
    <mergeCell ref="B476:C476"/>
    <mergeCell ref="B477:C477"/>
    <mergeCell ref="B478:C478"/>
    <mergeCell ref="B479:C479"/>
    <mergeCell ref="B480:C480"/>
    <mergeCell ref="B481:C481"/>
    <mergeCell ref="B482:C482"/>
    <mergeCell ref="B483:C483"/>
    <mergeCell ref="B484:C484"/>
    <mergeCell ref="B485:C485"/>
    <mergeCell ref="B486:C486"/>
    <mergeCell ref="A488:G488"/>
    <mergeCell ref="A489:B489"/>
    <mergeCell ref="E489:G489"/>
    <mergeCell ref="A490:B490"/>
    <mergeCell ref="C490:E490"/>
    <mergeCell ref="A491:G491"/>
    <mergeCell ref="A492:G492"/>
    <mergeCell ref="B493:C493"/>
    <mergeCell ref="B494:C494"/>
    <mergeCell ref="B495:C495"/>
    <mergeCell ref="B496:C496"/>
    <mergeCell ref="B497:C497"/>
    <mergeCell ref="B498:C498"/>
    <mergeCell ref="B499:C499"/>
    <mergeCell ref="B500:C500"/>
    <mergeCell ref="B501:C501"/>
    <mergeCell ref="B502:C502"/>
    <mergeCell ref="B503:C503"/>
    <mergeCell ref="B504:C504"/>
    <mergeCell ref="B505:C505"/>
    <mergeCell ref="B506:C506"/>
    <mergeCell ref="A508:G508"/>
    <mergeCell ref="A509:B509"/>
    <mergeCell ref="E509:G509"/>
    <mergeCell ref="A510:B510"/>
    <mergeCell ref="C510:E510"/>
    <mergeCell ref="A511:G511"/>
    <mergeCell ref="A512:G512"/>
    <mergeCell ref="B513:C513"/>
    <mergeCell ref="B514:C514"/>
    <mergeCell ref="B515:C515"/>
    <mergeCell ref="B516:C516"/>
    <mergeCell ref="B517:C517"/>
    <mergeCell ref="B518:C518"/>
    <mergeCell ref="B519:C519"/>
    <mergeCell ref="B520:C520"/>
    <mergeCell ref="B521:C521"/>
    <mergeCell ref="B522:C522"/>
    <mergeCell ref="B523:C523"/>
    <mergeCell ref="B524:C524"/>
    <mergeCell ref="B525:C525"/>
    <mergeCell ref="B526:C526"/>
    <mergeCell ref="B527:C527"/>
    <mergeCell ref="B528:C528"/>
    <mergeCell ref="A530:G530"/>
    <mergeCell ref="A531:B531"/>
    <mergeCell ref="E531:G531"/>
    <mergeCell ref="A532:B532"/>
    <mergeCell ref="C532:E532"/>
    <mergeCell ref="A533:G533"/>
    <mergeCell ref="A534:G534"/>
    <mergeCell ref="B535:C535"/>
    <mergeCell ref="B536:C536"/>
    <mergeCell ref="B537:C537"/>
    <mergeCell ref="B538:C538"/>
    <mergeCell ref="B539:C539"/>
    <mergeCell ref="B540:C540"/>
    <mergeCell ref="B541:C541"/>
    <mergeCell ref="B542:C542"/>
    <mergeCell ref="B543:C543"/>
    <mergeCell ref="B544:C544"/>
    <mergeCell ref="B545:C545"/>
    <mergeCell ref="B546:C546"/>
    <mergeCell ref="B547:C547"/>
    <mergeCell ref="B548:C548"/>
    <mergeCell ref="B549:C549"/>
    <mergeCell ref="B550:C550"/>
    <mergeCell ref="B551:C551"/>
    <mergeCell ref="B552:C552"/>
    <mergeCell ref="A554:G554"/>
    <mergeCell ref="A555:B555"/>
    <mergeCell ref="E555:G555"/>
    <mergeCell ref="A556:B556"/>
    <mergeCell ref="C556:E556"/>
    <mergeCell ref="A557:G557"/>
    <mergeCell ref="A558:G558"/>
    <mergeCell ref="B559:C559"/>
    <mergeCell ref="B560:C560"/>
    <mergeCell ref="B561:C561"/>
    <mergeCell ref="B562:C562"/>
    <mergeCell ref="B563:C563"/>
    <mergeCell ref="B564:C564"/>
    <mergeCell ref="B565:C565"/>
    <mergeCell ref="B566:C566"/>
    <mergeCell ref="B567:C567"/>
    <mergeCell ref="B568:C568"/>
    <mergeCell ref="B569:C569"/>
    <mergeCell ref="B570:C570"/>
    <mergeCell ref="B571:C571"/>
    <mergeCell ref="B572:C572"/>
    <mergeCell ref="A574:G574"/>
    <mergeCell ref="A575:B575"/>
    <mergeCell ref="E575:G575"/>
    <mergeCell ref="A576:B576"/>
    <mergeCell ref="C576:E576"/>
    <mergeCell ref="A577:G577"/>
    <mergeCell ref="A578:G578"/>
    <mergeCell ref="B579:C579"/>
    <mergeCell ref="B580:C580"/>
    <mergeCell ref="B581:C581"/>
    <mergeCell ref="B582:C582"/>
    <mergeCell ref="B583:C583"/>
    <mergeCell ref="B584:C584"/>
    <mergeCell ref="B585:C585"/>
    <mergeCell ref="B586:C586"/>
    <mergeCell ref="B587:C587"/>
    <mergeCell ref="B588:C588"/>
    <mergeCell ref="B589:C589"/>
    <mergeCell ref="B590:C590"/>
    <mergeCell ref="B591:C591"/>
    <mergeCell ref="B592:C592"/>
    <mergeCell ref="B593:C593"/>
    <mergeCell ref="B594:C594"/>
    <mergeCell ref="B595:C595"/>
    <mergeCell ref="B596:C596"/>
    <mergeCell ref="B597:C597"/>
  </mergeCells>
  <printOptions horizontalCentered="1"/>
  <pageMargins left="0.979861111111111" right="0.789583333333333" top="0.839583333333333" bottom="0.85" header="0.509722222222222" footer="0.509722222222222"/>
  <pageSetup paperSize="9" orientation="portrait"/>
  <headerFooter alignWithMargins="0" scaleWithDoc="0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2062"/>
  <sheetViews>
    <sheetView topLeftCell="A157" workbookViewId="0">
      <selection activeCell="O172" sqref="O172"/>
    </sheetView>
  </sheetViews>
  <sheetFormatPr defaultColWidth="9" defaultRowHeight="20.1" customHeight="1"/>
  <cols>
    <col min="1" max="2" width="6" style="92" customWidth="1"/>
    <col min="3" max="3" width="14" style="92" customWidth="1"/>
    <col min="4" max="4" width="9.375" style="92" customWidth="1"/>
    <col min="5" max="5" width="11.875" style="92" customWidth="1"/>
    <col min="6" max="6" width="11.375" style="92" customWidth="1"/>
    <col min="7" max="7" width="13.375" style="92" customWidth="1"/>
    <col min="8" max="8" width="13.625" style="92" customWidth="1"/>
    <col min="9" max="9" width="13.875" style="92" customWidth="1"/>
    <col min="10" max="10" width="10.75" style="92" customWidth="1"/>
    <col min="11" max="11" width="15.5" style="92" customWidth="1"/>
    <col min="12" max="12" width="11.125" style="92" customWidth="1"/>
    <col min="13" max="13" width="10.375" style="92" customWidth="1"/>
    <col min="14" max="14" width="11.625" style="92" customWidth="1"/>
    <col min="15" max="15" width="13.25" style="92" customWidth="1"/>
    <col min="16" max="16" width="9.5" style="92" customWidth="1"/>
    <col min="17" max="17" width="20.125" style="92" customWidth="1"/>
    <col min="18" max="18" width="9.125" style="92" customWidth="1"/>
    <col min="19" max="19" width="10.625" style="93" customWidth="1"/>
    <col min="20" max="20" width="11.375" style="93" customWidth="1"/>
    <col min="21" max="21" width="9.375" style="93" customWidth="1"/>
    <col min="22" max="22" width="9.5" style="93" customWidth="1"/>
    <col min="23" max="23" width="19.625" style="93" customWidth="1"/>
    <col min="24" max="24" width="9.5" style="93" customWidth="1"/>
    <col min="25" max="25" width="9.375" style="93" customWidth="1"/>
    <col min="26" max="26" width="11.125" style="93" customWidth="1"/>
    <col min="27" max="27" width="12.25" style="93" customWidth="1"/>
    <col min="28" max="28" width="8.5" style="93" customWidth="1"/>
    <col min="29" max="29" width="20.375" style="93" customWidth="1"/>
    <col min="30" max="30" width="8.5" style="93" customWidth="1"/>
    <col min="31" max="31" width="9.5" style="92" customWidth="1"/>
    <col min="32" max="32" width="10.75" style="92" customWidth="1"/>
    <col min="33" max="33" width="17.125" style="92" customWidth="1"/>
    <col min="34" max="34" width="24.5" style="92" customWidth="1"/>
    <col min="35" max="35" width="9" style="92"/>
    <col min="36" max="36" width="18.875" style="92" customWidth="1"/>
    <col min="37" max="37" width="9" style="92"/>
    <col min="38" max="38" width="11.5" style="92" customWidth="1"/>
    <col min="39" max="39" width="12.125" style="92" customWidth="1"/>
    <col min="40" max="40" width="16.625" style="92" customWidth="1"/>
    <col min="41" max="16384" width="9" style="92"/>
  </cols>
  <sheetData>
    <row r="1" customHeight="1" spans="1:7">
      <c r="A1" s="198" t="s">
        <v>868</v>
      </c>
      <c r="B1" s="198"/>
      <c r="C1" s="198"/>
      <c r="D1" s="198"/>
      <c r="E1" s="198"/>
      <c r="F1" s="198"/>
      <c r="G1" s="198"/>
    </row>
    <row r="2" customHeight="1" spans="1:7">
      <c r="A2" s="199" t="s">
        <v>869</v>
      </c>
      <c r="B2" s="200"/>
      <c r="C2" s="200"/>
      <c r="D2" s="200" t="s">
        <v>870</v>
      </c>
      <c r="E2" s="201" t="s">
        <v>1306</v>
      </c>
      <c r="F2" s="202"/>
      <c r="G2" s="203"/>
    </row>
    <row r="3" customHeight="1" spans="1:7">
      <c r="A3" s="204" t="s">
        <v>507</v>
      </c>
      <c r="B3" s="205"/>
      <c r="C3" s="206" t="s">
        <v>1307</v>
      </c>
      <c r="D3" s="206"/>
      <c r="E3" s="206"/>
      <c r="F3" s="54" t="s">
        <v>873</v>
      </c>
      <c r="G3" s="207" t="s">
        <v>1308</v>
      </c>
    </row>
    <row r="4" customHeight="1" spans="1:7">
      <c r="A4" s="208" t="s">
        <v>1309</v>
      </c>
      <c r="B4" s="206"/>
      <c r="C4" s="206"/>
      <c r="D4" s="206"/>
      <c r="E4" s="206"/>
      <c r="F4" s="206"/>
      <c r="G4" s="209"/>
    </row>
    <row r="5" customHeight="1" spans="1:7">
      <c r="A5" s="210" t="s">
        <v>1310</v>
      </c>
      <c r="B5" s="211"/>
      <c r="C5" s="212"/>
      <c r="D5" s="212"/>
      <c r="E5" s="212"/>
      <c r="F5" s="212"/>
      <c r="G5" s="213"/>
    </row>
    <row r="6" customHeight="1" spans="1:7">
      <c r="A6" s="204" t="s">
        <v>34</v>
      </c>
      <c r="B6" s="54" t="s">
        <v>761</v>
      </c>
      <c r="C6" s="54"/>
      <c r="D6" s="54" t="s">
        <v>60</v>
      </c>
      <c r="E6" s="214" t="s">
        <v>877</v>
      </c>
      <c r="F6" s="54" t="s">
        <v>878</v>
      </c>
      <c r="G6" s="207" t="s">
        <v>879</v>
      </c>
    </row>
    <row r="7" customHeight="1" spans="1:7">
      <c r="A7" s="204" t="s">
        <v>8</v>
      </c>
      <c r="B7" s="215" t="s">
        <v>880</v>
      </c>
      <c r="C7" s="215"/>
      <c r="D7" s="54"/>
      <c r="E7" s="214"/>
      <c r="F7" s="214"/>
      <c r="G7" s="216">
        <f>G8+G16</f>
        <v>5153.443372152</v>
      </c>
    </row>
    <row r="8" customHeight="1" spans="1:7">
      <c r="A8" s="204" t="s">
        <v>881</v>
      </c>
      <c r="B8" s="215" t="s">
        <v>882</v>
      </c>
      <c r="C8" s="215"/>
      <c r="D8" s="54"/>
      <c r="E8" s="214"/>
      <c r="F8" s="214"/>
      <c r="G8" s="216">
        <f>G9+G12+G14</f>
        <v>4917.40779785497</v>
      </c>
    </row>
    <row r="9" customHeight="1" spans="1:7">
      <c r="A9" s="204" t="s">
        <v>17</v>
      </c>
      <c r="B9" s="215" t="s">
        <v>510</v>
      </c>
      <c r="C9" s="215"/>
      <c r="D9" s="54"/>
      <c r="E9" s="214"/>
      <c r="F9" s="214"/>
      <c r="G9" s="216">
        <f>SUM(G10:G11)</f>
        <v>4783.292</v>
      </c>
    </row>
    <row r="10" customHeight="1" spans="1:7">
      <c r="A10" s="204"/>
      <c r="B10" s="215" t="s">
        <v>704</v>
      </c>
      <c r="C10" s="215"/>
      <c r="D10" s="54" t="s">
        <v>705</v>
      </c>
      <c r="E10" s="214">
        <f>23.3+0.3*4</f>
        <v>24.5</v>
      </c>
      <c r="F10" s="214">
        <f>主要材料预算!$D$19</f>
        <v>8.1</v>
      </c>
      <c r="G10" s="216">
        <f>E10*F10</f>
        <v>198.45</v>
      </c>
    </row>
    <row r="11" customHeight="1" spans="1:7">
      <c r="A11" s="204"/>
      <c r="B11" s="215" t="s">
        <v>706</v>
      </c>
      <c r="C11" s="215"/>
      <c r="D11" s="54" t="s">
        <v>705</v>
      </c>
      <c r="E11" s="217">
        <f>751+10.9*4</f>
        <v>794.6</v>
      </c>
      <c r="F11" s="214">
        <f>主要材料预算!$D$20</f>
        <v>5.77</v>
      </c>
      <c r="G11" s="216">
        <f>E11*F11</f>
        <v>4584.842</v>
      </c>
    </row>
    <row r="12" customHeight="1" spans="1:7">
      <c r="A12" s="204" t="s">
        <v>19</v>
      </c>
      <c r="B12" s="218" t="s">
        <v>511</v>
      </c>
      <c r="C12" s="219"/>
      <c r="D12" s="54"/>
      <c r="E12" s="214"/>
      <c r="F12" s="214"/>
      <c r="G12" s="216">
        <f>G13</f>
        <v>45.9196032</v>
      </c>
    </row>
    <row r="13" customHeight="1" spans="1:7">
      <c r="A13" s="204"/>
      <c r="B13" s="215" t="s">
        <v>1008</v>
      </c>
      <c r="C13" s="215"/>
      <c r="D13" s="54" t="s">
        <v>894</v>
      </c>
      <c r="E13" s="214">
        <f>G9</f>
        <v>4783.292</v>
      </c>
      <c r="F13" s="214">
        <v>0.96</v>
      </c>
      <c r="G13" s="216">
        <f>E13*F13/100</f>
        <v>45.9196032</v>
      </c>
    </row>
    <row r="14" customHeight="1" spans="1:7">
      <c r="A14" s="204" t="s">
        <v>21</v>
      </c>
      <c r="B14" s="215" t="s">
        <v>895</v>
      </c>
      <c r="C14" s="215"/>
      <c r="D14" s="54"/>
      <c r="E14" s="214"/>
      <c r="F14" s="214"/>
      <c r="G14" s="216">
        <f>G15</f>
        <v>88.1961946549661</v>
      </c>
    </row>
    <row r="15" customHeight="1" spans="1:7">
      <c r="A15" s="204"/>
      <c r="B15" s="215" t="s">
        <v>834</v>
      </c>
      <c r="C15" s="215"/>
      <c r="D15" s="54" t="s">
        <v>896</v>
      </c>
      <c r="E15" s="214">
        <f>83.25+6.3*4</f>
        <v>108.45</v>
      </c>
      <c r="F15" s="214">
        <f>施工机械台时费!E36</f>
        <v>0.813242919824491</v>
      </c>
      <c r="G15" s="216">
        <f t="shared" ref="G15:G20" si="0">E15*F15</f>
        <v>88.1961946549661</v>
      </c>
    </row>
    <row r="16" customHeight="1" spans="1:7">
      <c r="A16" s="204" t="s">
        <v>905</v>
      </c>
      <c r="B16" s="215" t="s">
        <v>514</v>
      </c>
      <c r="C16" s="215"/>
      <c r="D16" s="54"/>
      <c r="E16" s="220">
        <f>G8</f>
        <v>4917.40779785497</v>
      </c>
      <c r="F16" s="221">
        <f>费率表!$C$4</f>
        <v>0.048</v>
      </c>
      <c r="G16" s="216">
        <f t="shared" si="0"/>
        <v>236.035574297038</v>
      </c>
    </row>
    <row r="17" customHeight="1" spans="1:7">
      <c r="A17" s="204" t="s">
        <v>10</v>
      </c>
      <c r="B17" s="215" t="s">
        <v>770</v>
      </c>
      <c r="C17" s="215"/>
      <c r="D17" s="54"/>
      <c r="E17" s="214">
        <f>G7</f>
        <v>5153.443372152</v>
      </c>
      <c r="F17" s="222">
        <f>费率表!$C$5</f>
        <v>0.045</v>
      </c>
      <c r="G17" s="216">
        <f t="shared" si="0"/>
        <v>231.90495174684</v>
      </c>
    </row>
    <row r="18" customHeight="1" spans="1:7">
      <c r="A18" s="204" t="s">
        <v>12</v>
      </c>
      <c r="B18" s="215" t="s">
        <v>771</v>
      </c>
      <c r="C18" s="215"/>
      <c r="D18" s="54"/>
      <c r="E18" s="214">
        <f>G7+G17</f>
        <v>5385.34832389884</v>
      </c>
      <c r="F18" s="222">
        <f>费率表!$C$6</f>
        <v>0.07</v>
      </c>
      <c r="G18" s="216">
        <f t="shared" si="0"/>
        <v>376.974382672919</v>
      </c>
    </row>
    <row r="19" customHeight="1" spans="1:7">
      <c r="A19" s="204" t="s">
        <v>906</v>
      </c>
      <c r="B19" s="215" t="s">
        <v>772</v>
      </c>
      <c r="C19" s="215"/>
      <c r="D19" s="54"/>
      <c r="E19" s="214">
        <f>G7+G17+G18</f>
        <v>5762.32270657176</v>
      </c>
      <c r="F19" s="222">
        <f>费率表!$C$7</f>
        <v>0.09</v>
      </c>
      <c r="G19" s="216">
        <f t="shared" si="0"/>
        <v>518.609043591459</v>
      </c>
    </row>
    <row r="20" customHeight="1" spans="1:7">
      <c r="A20" s="204"/>
      <c r="B20" s="215" t="s">
        <v>907</v>
      </c>
      <c r="C20" s="215"/>
      <c r="D20" s="54"/>
      <c r="E20" s="214">
        <f>G7+G17+G18+G19</f>
        <v>6280.93175016322</v>
      </c>
      <c r="F20" s="222">
        <f>费率表!$B$19</f>
        <v>0.03</v>
      </c>
      <c r="G20" s="216">
        <f t="shared" si="0"/>
        <v>188.427952504897</v>
      </c>
    </row>
    <row r="21" customHeight="1" spans="1:7">
      <c r="A21" s="223"/>
      <c r="B21" s="224" t="s">
        <v>39</v>
      </c>
      <c r="C21" s="224"/>
      <c r="D21" s="224"/>
      <c r="E21" s="225"/>
      <c r="F21" s="224"/>
      <c r="G21" s="226">
        <f>G7+G17+G18+G19+G20</f>
        <v>6469.35970266812</v>
      </c>
    </row>
    <row r="22" customHeight="1" spans="1:7">
      <c r="A22" s="227"/>
      <c r="B22" s="227"/>
      <c r="C22" s="227"/>
      <c r="D22" s="227"/>
      <c r="E22" s="228"/>
      <c r="F22" s="227"/>
      <c r="G22" s="228"/>
    </row>
    <row r="23" customHeight="1" spans="1:7">
      <c r="A23" s="198" t="s">
        <v>868</v>
      </c>
      <c r="B23" s="198"/>
      <c r="C23" s="198"/>
      <c r="D23" s="198"/>
      <c r="E23" s="198"/>
      <c r="F23" s="198"/>
      <c r="G23" s="198"/>
    </row>
    <row r="24" customHeight="1" spans="1:7">
      <c r="A24" s="199" t="s">
        <v>869</v>
      </c>
      <c r="B24" s="200"/>
      <c r="C24" s="200"/>
      <c r="D24" s="200" t="s">
        <v>870</v>
      </c>
      <c r="E24" s="201" t="s">
        <v>1311</v>
      </c>
      <c r="F24" s="202"/>
      <c r="G24" s="203"/>
    </row>
    <row r="25" customHeight="1" spans="1:7">
      <c r="A25" s="204" t="s">
        <v>507</v>
      </c>
      <c r="B25" s="205"/>
      <c r="C25" s="206" t="s">
        <v>1312</v>
      </c>
      <c r="D25" s="206"/>
      <c r="E25" s="206"/>
      <c r="F25" s="54" t="s">
        <v>873</v>
      </c>
      <c r="G25" s="207" t="s">
        <v>874</v>
      </c>
    </row>
    <row r="26" customHeight="1" spans="1:7">
      <c r="A26" s="208" t="s">
        <v>1313</v>
      </c>
      <c r="B26" s="206"/>
      <c r="C26" s="206"/>
      <c r="D26" s="206"/>
      <c r="E26" s="206"/>
      <c r="F26" s="206"/>
      <c r="G26" s="209"/>
    </row>
    <row r="27" customHeight="1" spans="1:7">
      <c r="A27" s="210" t="s">
        <v>1314</v>
      </c>
      <c r="B27" s="211"/>
      <c r="C27" s="212"/>
      <c r="D27" s="212"/>
      <c r="E27" s="212"/>
      <c r="F27" s="212"/>
      <c r="G27" s="213"/>
    </row>
    <row r="28" customHeight="1" spans="1:7">
      <c r="A28" s="204" t="s">
        <v>34</v>
      </c>
      <c r="B28" s="54" t="s">
        <v>761</v>
      </c>
      <c r="C28" s="54"/>
      <c r="D28" s="54" t="s">
        <v>60</v>
      </c>
      <c r="E28" s="214" t="s">
        <v>877</v>
      </c>
      <c r="F28" s="54" t="s">
        <v>878</v>
      </c>
      <c r="G28" s="207" t="s">
        <v>879</v>
      </c>
    </row>
    <row r="29" customHeight="1" spans="1:7">
      <c r="A29" s="204" t="s">
        <v>8</v>
      </c>
      <c r="B29" s="215" t="s">
        <v>880</v>
      </c>
      <c r="C29" s="215"/>
      <c r="D29" s="54"/>
      <c r="E29" s="214"/>
      <c r="F29" s="214"/>
      <c r="G29" s="216">
        <f>G30+G36</f>
        <v>2350.39504128</v>
      </c>
    </row>
    <row r="30" customHeight="1" spans="1:7">
      <c r="A30" s="204" t="s">
        <v>881</v>
      </c>
      <c r="B30" s="215" t="s">
        <v>882</v>
      </c>
      <c r="C30" s="215"/>
      <c r="D30" s="54"/>
      <c r="E30" s="214"/>
      <c r="F30" s="214"/>
      <c r="G30" s="216">
        <f>G31+G34</f>
        <v>2242.74336</v>
      </c>
    </row>
    <row r="31" customHeight="1" spans="1:7">
      <c r="A31" s="204" t="s">
        <v>17</v>
      </c>
      <c r="B31" s="215" t="s">
        <v>510</v>
      </c>
      <c r="C31" s="215"/>
      <c r="D31" s="54"/>
      <c r="E31" s="214"/>
      <c r="F31" s="214"/>
      <c r="G31" s="216">
        <f>SUM(G32:G33)</f>
        <v>2198.768</v>
      </c>
    </row>
    <row r="32" customHeight="1" spans="1:7">
      <c r="A32" s="204"/>
      <c r="B32" s="215" t="s">
        <v>704</v>
      </c>
      <c r="C32" s="215"/>
      <c r="D32" s="54" t="s">
        <v>705</v>
      </c>
      <c r="E32" s="214">
        <v>7.6</v>
      </c>
      <c r="F32" s="214">
        <f>主要材料预算!$D$19</f>
        <v>8.1</v>
      </c>
      <c r="G32" s="216">
        <f t="shared" ref="G32:G40" si="1">E32*F32</f>
        <v>61.56</v>
      </c>
    </row>
    <row r="33" customHeight="1" spans="1:8">
      <c r="A33" s="204"/>
      <c r="B33" s="215" t="s">
        <v>706</v>
      </c>
      <c r="C33" s="215"/>
      <c r="D33" s="54" t="s">
        <v>705</v>
      </c>
      <c r="E33" s="217">
        <v>370.4</v>
      </c>
      <c r="F33" s="214">
        <f>主要材料预算!$D$20</f>
        <v>5.77</v>
      </c>
      <c r="G33" s="216">
        <f t="shared" si="1"/>
        <v>2137.208</v>
      </c>
    </row>
    <row r="34" customHeight="1" spans="1:8">
      <c r="A34" s="204" t="s">
        <v>19</v>
      </c>
      <c r="B34" s="218" t="s">
        <v>511</v>
      </c>
      <c r="C34" s="219"/>
      <c r="D34" s="54"/>
      <c r="E34" s="214"/>
      <c r="F34" s="214"/>
      <c r="G34" s="216">
        <f>G35</f>
        <v>43.97536</v>
      </c>
    </row>
    <row r="35" customHeight="1" spans="1:8">
      <c r="A35" s="204"/>
      <c r="B35" s="215" t="s">
        <v>1008</v>
      </c>
      <c r="C35" s="215"/>
      <c r="D35" s="54" t="s">
        <v>894</v>
      </c>
      <c r="E35" s="214">
        <f>G31</f>
        <v>2198.768</v>
      </c>
      <c r="F35" s="229">
        <v>2</v>
      </c>
      <c r="G35" s="216">
        <f>E35*F35/100</f>
        <v>43.97536</v>
      </c>
    </row>
    <row r="36" customHeight="1" spans="1:8">
      <c r="A36" s="204" t="s">
        <v>905</v>
      </c>
      <c r="B36" s="215" t="s">
        <v>514</v>
      </c>
      <c r="C36" s="215"/>
      <c r="D36" s="54"/>
      <c r="E36" s="220">
        <f>G30</f>
        <v>2242.74336</v>
      </c>
      <c r="F36" s="221">
        <f>费率表!$C$4</f>
        <v>0.048</v>
      </c>
      <c r="G36" s="216">
        <f t="shared" si="1"/>
        <v>107.65168128</v>
      </c>
    </row>
    <row r="37" customHeight="1" spans="1:8">
      <c r="A37" s="204" t="s">
        <v>10</v>
      </c>
      <c r="B37" s="215" t="s">
        <v>770</v>
      </c>
      <c r="C37" s="215"/>
      <c r="D37" s="54"/>
      <c r="E37" s="214">
        <f>G29</f>
        <v>2350.39504128</v>
      </c>
      <c r="F37" s="222">
        <f>费率表!$C$5</f>
        <v>0.045</v>
      </c>
      <c r="G37" s="216">
        <f t="shared" si="1"/>
        <v>105.7677768576</v>
      </c>
    </row>
    <row r="38" customHeight="1" spans="1:8">
      <c r="A38" s="204" t="s">
        <v>12</v>
      </c>
      <c r="B38" s="215" t="s">
        <v>771</v>
      </c>
      <c r="C38" s="215"/>
      <c r="D38" s="54"/>
      <c r="E38" s="214">
        <f>G29+G37</f>
        <v>2456.1628181376</v>
      </c>
      <c r="F38" s="222">
        <f>费率表!$C$6</f>
        <v>0.07</v>
      </c>
      <c r="G38" s="216">
        <f t="shared" si="1"/>
        <v>171.931397269632</v>
      </c>
    </row>
    <row r="39" customHeight="1" spans="1:8">
      <c r="A39" s="204" t="s">
        <v>906</v>
      </c>
      <c r="B39" s="215" t="s">
        <v>772</v>
      </c>
      <c r="C39" s="215"/>
      <c r="D39" s="54"/>
      <c r="E39" s="214">
        <f>G29+G37+G38</f>
        <v>2628.09421540723</v>
      </c>
      <c r="F39" s="222">
        <f>费率表!$C$7</f>
        <v>0.09</v>
      </c>
      <c r="G39" s="216">
        <f t="shared" si="1"/>
        <v>236.528479386651</v>
      </c>
    </row>
    <row r="40" customHeight="1" spans="1:8">
      <c r="A40" s="204"/>
      <c r="B40" s="215" t="s">
        <v>907</v>
      </c>
      <c r="C40" s="215"/>
      <c r="D40" s="54"/>
      <c r="E40" s="214">
        <f>G29+G37+G38+G39</f>
        <v>2864.62269479388</v>
      </c>
      <c r="F40" s="222">
        <f>费率表!$B$19</f>
        <v>0.03</v>
      </c>
      <c r="G40" s="216">
        <f t="shared" si="1"/>
        <v>85.9386808438165</v>
      </c>
    </row>
    <row r="41" customHeight="1" spans="1:8">
      <c r="A41" s="223"/>
      <c r="B41" s="224" t="s">
        <v>39</v>
      </c>
      <c r="C41" s="224"/>
      <c r="D41" s="224"/>
      <c r="E41" s="225"/>
      <c r="F41" s="224"/>
      <c r="G41" s="226">
        <f>G29+G37+G38+G39+G40</f>
        <v>2950.5613756377</v>
      </c>
    </row>
    <row r="42" customHeight="1" spans="1:8">
      <c r="A42" s="227"/>
      <c r="B42" s="227"/>
      <c r="C42" s="227"/>
      <c r="D42" s="227"/>
      <c r="E42" s="228"/>
      <c r="F42" s="227"/>
      <c r="G42" s="228"/>
    </row>
    <row r="43" customHeight="1" spans="1:8">
      <c r="A43" s="198" t="s">
        <v>868</v>
      </c>
      <c r="B43" s="198"/>
      <c r="C43" s="198"/>
      <c r="D43" s="198"/>
      <c r="E43" s="198"/>
      <c r="F43" s="198"/>
      <c r="G43" s="198"/>
    </row>
    <row r="44" customHeight="1" spans="1:8">
      <c r="A44" s="199" t="s">
        <v>869</v>
      </c>
      <c r="B44" s="200"/>
      <c r="C44" s="200"/>
      <c r="D44" s="200" t="s">
        <v>870</v>
      </c>
      <c r="E44" s="201" t="s">
        <v>1315</v>
      </c>
      <c r="F44" s="202"/>
      <c r="G44" s="203"/>
      <c r="H44" s="92" t="s">
        <v>1316</v>
      </c>
    </row>
    <row r="45" customHeight="1" spans="1:8">
      <c r="A45" s="204" t="s">
        <v>507</v>
      </c>
      <c r="B45" s="205"/>
      <c r="C45" s="206" t="s">
        <v>1317</v>
      </c>
      <c r="D45" s="206"/>
      <c r="E45" s="206"/>
      <c r="F45" s="54" t="s">
        <v>873</v>
      </c>
      <c r="G45" s="207" t="s">
        <v>874</v>
      </c>
    </row>
    <row r="46" customHeight="1" spans="1:8">
      <c r="A46" s="208" t="s">
        <v>1313</v>
      </c>
      <c r="B46" s="206"/>
      <c r="C46" s="206"/>
      <c r="D46" s="206"/>
      <c r="E46" s="206"/>
      <c r="F46" s="206"/>
      <c r="G46" s="209"/>
    </row>
    <row r="47" customHeight="1" spans="1:8">
      <c r="A47" s="210" t="s">
        <v>1314</v>
      </c>
      <c r="B47" s="211"/>
      <c r="C47" s="212"/>
      <c r="D47" s="212"/>
      <c r="E47" s="212"/>
      <c r="F47" s="212"/>
      <c r="G47" s="213"/>
    </row>
    <row r="48" customHeight="1" spans="1:8">
      <c r="A48" s="204" t="s">
        <v>34</v>
      </c>
      <c r="B48" s="54" t="s">
        <v>761</v>
      </c>
      <c r="C48" s="54"/>
      <c r="D48" s="54" t="s">
        <v>60</v>
      </c>
      <c r="E48" s="214" t="s">
        <v>877</v>
      </c>
      <c r="F48" s="54" t="s">
        <v>878</v>
      </c>
      <c r="G48" s="207" t="s">
        <v>879</v>
      </c>
    </row>
    <row r="49" customHeight="1" spans="1:7">
      <c r="A49" s="204" t="s">
        <v>8</v>
      </c>
      <c r="B49" s="215" t="s">
        <v>880</v>
      </c>
      <c r="C49" s="215"/>
      <c r="D49" s="54"/>
      <c r="E49" s="214"/>
      <c r="F49" s="214"/>
      <c r="G49" s="216">
        <f>G50+G56</f>
        <v>3699.476811</v>
      </c>
    </row>
    <row r="50" customHeight="1" spans="1:7">
      <c r="A50" s="204" t="s">
        <v>881</v>
      </c>
      <c r="B50" s="215" t="s">
        <v>882</v>
      </c>
      <c r="C50" s="215"/>
      <c r="D50" s="54"/>
      <c r="E50" s="214"/>
      <c r="F50" s="214"/>
      <c r="G50" s="216">
        <f>G51+G54</f>
        <v>3530.035125</v>
      </c>
    </row>
    <row r="51" customHeight="1" spans="1:7">
      <c r="A51" s="204" t="s">
        <v>17</v>
      </c>
      <c r="B51" s="215" t="s">
        <v>510</v>
      </c>
      <c r="C51" s="215"/>
      <c r="D51" s="54"/>
      <c r="E51" s="214"/>
      <c r="F51" s="214"/>
      <c r="G51" s="216">
        <f>SUM(G52:G53)</f>
        <v>3460.81875</v>
      </c>
    </row>
    <row r="52" customHeight="1" spans="1:7">
      <c r="A52" s="204"/>
      <c r="B52" s="215" t="s">
        <v>704</v>
      </c>
      <c r="C52" s="215"/>
      <c r="D52" s="54" t="s">
        <v>705</v>
      </c>
      <c r="E52" s="214">
        <f>9.5*1.25</f>
        <v>11.875</v>
      </c>
      <c r="F52" s="214">
        <f>主要材料预算!$D$19</f>
        <v>8.1</v>
      </c>
      <c r="G52" s="216">
        <f t="shared" ref="G52:G60" si="2">E52*F52</f>
        <v>96.1875</v>
      </c>
    </row>
    <row r="53" customHeight="1" spans="1:7">
      <c r="A53" s="204"/>
      <c r="B53" s="215" t="s">
        <v>706</v>
      </c>
      <c r="C53" s="215"/>
      <c r="D53" s="54" t="s">
        <v>705</v>
      </c>
      <c r="E53" s="217">
        <f>466.5*1.25</f>
        <v>583.125</v>
      </c>
      <c r="F53" s="214">
        <f>主要材料预算!$D$20</f>
        <v>5.77</v>
      </c>
      <c r="G53" s="216">
        <f t="shared" si="2"/>
        <v>3364.63125</v>
      </c>
    </row>
    <row r="54" customHeight="1" spans="1:7">
      <c r="A54" s="204" t="s">
        <v>19</v>
      </c>
      <c r="B54" s="218" t="s">
        <v>511</v>
      </c>
      <c r="C54" s="219"/>
      <c r="D54" s="54"/>
      <c r="E54" s="214"/>
      <c r="F54" s="214"/>
      <c r="G54" s="216">
        <f>G55</f>
        <v>69.216375</v>
      </c>
    </row>
    <row r="55" customHeight="1" spans="1:7">
      <c r="A55" s="204"/>
      <c r="B55" s="215" t="s">
        <v>1008</v>
      </c>
      <c r="C55" s="215"/>
      <c r="D55" s="54" t="s">
        <v>894</v>
      </c>
      <c r="E55" s="214">
        <f>G51</f>
        <v>3460.81875</v>
      </c>
      <c r="F55" s="229">
        <v>2</v>
      </c>
      <c r="G55" s="216">
        <f>E55*F55/100</f>
        <v>69.216375</v>
      </c>
    </row>
    <row r="56" customHeight="1" spans="1:7">
      <c r="A56" s="204" t="s">
        <v>905</v>
      </c>
      <c r="B56" s="215" t="s">
        <v>514</v>
      </c>
      <c r="C56" s="215"/>
      <c r="D56" s="54"/>
      <c r="E56" s="220">
        <f>G50</f>
        <v>3530.035125</v>
      </c>
      <c r="F56" s="221">
        <f>费率表!$C$4</f>
        <v>0.048</v>
      </c>
      <c r="G56" s="216">
        <f t="shared" si="2"/>
        <v>169.441686</v>
      </c>
    </row>
    <row r="57" customHeight="1" spans="1:7">
      <c r="A57" s="204" t="s">
        <v>10</v>
      </c>
      <c r="B57" s="215" t="s">
        <v>770</v>
      </c>
      <c r="C57" s="215"/>
      <c r="D57" s="54"/>
      <c r="E57" s="214">
        <f>G49</f>
        <v>3699.476811</v>
      </c>
      <c r="F57" s="222">
        <f>费率表!$C$5</f>
        <v>0.045</v>
      </c>
      <c r="G57" s="216">
        <f t="shared" si="2"/>
        <v>166.476456495</v>
      </c>
    </row>
    <row r="58" customHeight="1" spans="1:7">
      <c r="A58" s="204" t="s">
        <v>12</v>
      </c>
      <c r="B58" s="215" t="s">
        <v>771</v>
      </c>
      <c r="C58" s="215"/>
      <c r="D58" s="54"/>
      <c r="E58" s="214">
        <f>G49+G57</f>
        <v>3865.953267495</v>
      </c>
      <c r="F58" s="222">
        <f>费率表!$C$6</f>
        <v>0.07</v>
      </c>
      <c r="G58" s="216">
        <f t="shared" si="2"/>
        <v>270.61672872465</v>
      </c>
    </row>
    <row r="59" customHeight="1" spans="1:7">
      <c r="A59" s="204" t="s">
        <v>906</v>
      </c>
      <c r="B59" s="215" t="s">
        <v>772</v>
      </c>
      <c r="C59" s="215"/>
      <c r="D59" s="54"/>
      <c r="E59" s="214">
        <f>G49+G57+G58</f>
        <v>4136.56999621965</v>
      </c>
      <c r="F59" s="222">
        <f>费率表!$C$7</f>
        <v>0.09</v>
      </c>
      <c r="G59" s="216">
        <f t="shared" si="2"/>
        <v>372.291299659769</v>
      </c>
    </row>
    <row r="60" customHeight="1" spans="1:7">
      <c r="A60" s="204"/>
      <c r="B60" s="215" t="s">
        <v>907</v>
      </c>
      <c r="C60" s="215"/>
      <c r="D60" s="54"/>
      <c r="E60" s="214">
        <f>G49+G57+G58+G59</f>
        <v>4508.86129587942</v>
      </c>
      <c r="F60" s="222">
        <f>费率表!$B$19</f>
        <v>0.03</v>
      </c>
      <c r="G60" s="216">
        <f t="shared" si="2"/>
        <v>135.265838876383</v>
      </c>
    </row>
    <row r="61" customHeight="1" spans="1:7">
      <c r="A61" s="223"/>
      <c r="B61" s="224" t="s">
        <v>39</v>
      </c>
      <c r="C61" s="224"/>
      <c r="D61" s="224"/>
      <c r="E61" s="225"/>
      <c r="F61" s="224"/>
      <c r="G61" s="226">
        <f>G49+G57+G58+G59+G60</f>
        <v>4644.1271347558</v>
      </c>
    </row>
    <row r="62" customHeight="1" spans="1:7">
      <c r="A62" s="227"/>
      <c r="B62" s="227"/>
      <c r="C62" s="227"/>
      <c r="D62" s="227"/>
      <c r="E62" s="228"/>
      <c r="F62" s="227"/>
      <c r="G62" s="228"/>
    </row>
    <row r="63" customHeight="1" spans="1:7">
      <c r="A63" s="198" t="s">
        <v>868</v>
      </c>
      <c r="B63" s="198"/>
      <c r="C63" s="198"/>
      <c r="D63" s="198"/>
      <c r="E63" s="198"/>
      <c r="F63" s="198"/>
      <c r="G63" s="198"/>
    </row>
    <row r="64" customHeight="1" spans="1:7">
      <c r="A64" s="199" t="s">
        <v>869</v>
      </c>
      <c r="B64" s="200"/>
      <c r="C64" s="200"/>
      <c r="D64" s="200" t="s">
        <v>870</v>
      </c>
      <c r="E64" s="201" t="s">
        <v>1318</v>
      </c>
      <c r="F64" s="202"/>
      <c r="G64" s="203"/>
    </row>
    <row r="65" customHeight="1" spans="1:7">
      <c r="A65" s="204" t="s">
        <v>507</v>
      </c>
      <c r="B65" s="205"/>
      <c r="C65" s="206" t="s">
        <v>1319</v>
      </c>
      <c r="D65" s="206"/>
      <c r="E65" s="206"/>
      <c r="F65" s="54" t="s">
        <v>873</v>
      </c>
      <c r="G65" s="207" t="s">
        <v>874</v>
      </c>
    </row>
    <row r="66" customHeight="1" spans="1:7">
      <c r="A66" s="208" t="s">
        <v>1320</v>
      </c>
      <c r="B66" s="206"/>
      <c r="C66" s="206"/>
      <c r="D66" s="206"/>
      <c r="E66" s="206"/>
      <c r="F66" s="206"/>
      <c r="G66" s="209"/>
    </row>
    <row r="67" customHeight="1" spans="1:7">
      <c r="A67" s="210" t="s">
        <v>1321</v>
      </c>
      <c r="B67" s="211"/>
      <c r="C67" s="212"/>
      <c r="D67" s="212"/>
      <c r="E67" s="212"/>
      <c r="F67" s="212"/>
      <c r="G67" s="213"/>
    </row>
    <row r="68" customHeight="1" spans="1:7">
      <c r="A68" s="204" t="s">
        <v>34</v>
      </c>
      <c r="B68" s="54" t="s">
        <v>761</v>
      </c>
      <c r="C68" s="54"/>
      <c r="D68" s="54" t="s">
        <v>60</v>
      </c>
      <c r="E68" s="214" t="s">
        <v>877</v>
      </c>
      <c r="F68" s="54" t="s">
        <v>878</v>
      </c>
      <c r="G68" s="207" t="s">
        <v>879</v>
      </c>
    </row>
    <row r="69" customHeight="1" spans="1:7">
      <c r="A69" s="204" t="s">
        <v>8</v>
      </c>
      <c r="B69" s="215" t="s">
        <v>880</v>
      </c>
      <c r="C69" s="215"/>
      <c r="D69" s="54"/>
      <c r="E69" s="214"/>
      <c r="F69" s="214"/>
      <c r="G69" s="216">
        <f>G70+G78</f>
        <v>1171.07481132602</v>
      </c>
    </row>
    <row r="70" customHeight="1" spans="1:7">
      <c r="A70" s="204" t="s">
        <v>881</v>
      </c>
      <c r="B70" s="215" t="s">
        <v>882</v>
      </c>
      <c r="C70" s="215"/>
      <c r="D70" s="54"/>
      <c r="E70" s="214"/>
      <c r="F70" s="214"/>
      <c r="G70" s="216">
        <f>G71+G74+G76</f>
        <v>1117.43779706681</v>
      </c>
    </row>
    <row r="71" customHeight="1" spans="1:7">
      <c r="A71" s="204" t="s">
        <v>17</v>
      </c>
      <c r="B71" s="215" t="s">
        <v>510</v>
      </c>
      <c r="C71" s="215"/>
      <c r="D71" s="54"/>
      <c r="E71" s="214"/>
      <c r="F71" s="214"/>
      <c r="G71" s="216">
        <f>SUM(G72:G73)</f>
        <v>636.431</v>
      </c>
    </row>
    <row r="72" customHeight="1" spans="1:7">
      <c r="A72" s="204"/>
      <c r="B72" s="215" t="s">
        <v>704</v>
      </c>
      <c r="C72" s="215"/>
      <c r="D72" s="54" t="s">
        <v>705</v>
      </c>
      <c r="E72" s="214"/>
      <c r="F72" s="214"/>
      <c r="G72" s="216"/>
    </row>
    <row r="73" customHeight="1" spans="1:7">
      <c r="A73" s="204"/>
      <c r="B73" s="215" t="s">
        <v>706</v>
      </c>
      <c r="C73" s="215"/>
      <c r="D73" s="54" t="s">
        <v>705</v>
      </c>
      <c r="E73" s="217">
        <v>110.3</v>
      </c>
      <c r="F73" s="214">
        <f>主要材料预算!$D$20</f>
        <v>5.77</v>
      </c>
      <c r="G73" s="216">
        <f t="shared" ref="G73:G80" si="3">E73*F73</f>
        <v>636.431</v>
      </c>
    </row>
    <row r="74" customHeight="1" spans="1:7">
      <c r="A74" s="204" t="s">
        <v>19</v>
      </c>
      <c r="B74" s="218" t="s">
        <v>511</v>
      </c>
      <c r="C74" s="219"/>
      <c r="D74" s="54"/>
      <c r="E74" s="214"/>
      <c r="F74" s="214"/>
      <c r="G74" s="216">
        <f>G75</f>
        <v>11.0637405650179</v>
      </c>
    </row>
    <row r="75" customHeight="1" spans="1:7">
      <c r="A75" s="204"/>
      <c r="B75" s="215" t="s">
        <v>1008</v>
      </c>
      <c r="C75" s="215"/>
      <c r="D75" s="54" t="s">
        <v>894</v>
      </c>
      <c r="E75" s="214">
        <f>G71+G76</f>
        <v>1106.37405650179</v>
      </c>
      <c r="F75" s="229">
        <v>1</v>
      </c>
      <c r="G75" s="216">
        <f>E75*F75/100</f>
        <v>11.0637405650179</v>
      </c>
    </row>
    <row r="76" customHeight="1" spans="1:7">
      <c r="A76" s="204" t="s">
        <v>21</v>
      </c>
      <c r="B76" s="215" t="s">
        <v>895</v>
      </c>
      <c r="C76" s="215"/>
      <c r="D76" s="215"/>
      <c r="E76" s="214"/>
      <c r="F76" s="214"/>
      <c r="G76" s="216">
        <f>SUM(G77:G77)</f>
        <v>469.943056501795</v>
      </c>
    </row>
    <row r="77" customHeight="1" spans="1:7">
      <c r="A77" s="204"/>
      <c r="B77" s="218" t="s">
        <v>1322</v>
      </c>
      <c r="C77" s="219"/>
      <c r="D77" s="54" t="s">
        <v>896</v>
      </c>
      <c r="E77" s="214">
        <v>27.33</v>
      </c>
      <c r="F77" s="214">
        <f>施工机械台时费!$E$35</f>
        <v>17.1951356202633</v>
      </c>
      <c r="G77" s="216">
        <f t="shared" si="3"/>
        <v>469.943056501795</v>
      </c>
    </row>
    <row r="78" customHeight="1" spans="1:7">
      <c r="A78" s="204" t="s">
        <v>905</v>
      </c>
      <c r="B78" s="215" t="s">
        <v>514</v>
      </c>
      <c r="C78" s="215"/>
      <c r="D78" s="54"/>
      <c r="E78" s="220">
        <f>G70</f>
        <v>1117.43779706681</v>
      </c>
      <c r="F78" s="221">
        <f>费率表!$C$4</f>
        <v>0.048</v>
      </c>
      <c r="G78" s="216">
        <f t="shared" si="3"/>
        <v>53.637014259207</v>
      </c>
    </row>
    <row r="79" customHeight="1" spans="1:7">
      <c r="A79" s="204" t="s">
        <v>10</v>
      </c>
      <c r="B79" s="215" t="s">
        <v>770</v>
      </c>
      <c r="C79" s="215"/>
      <c r="D79" s="54"/>
      <c r="E79" s="214">
        <f>G69</f>
        <v>1171.07481132602</v>
      </c>
      <c r="F79" s="222">
        <f>费率表!$C$5</f>
        <v>0.045</v>
      </c>
      <c r="G79" s="216">
        <f t="shared" si="3"/>
        <v>52.6983665096709</v>
      </c>
    </row>
    <row r="80" customHeight="1" spans="1:7">
      <c r="A80" s="204" t="s">
        <v>12</v>
      </c>
      <c r="B80" s="215" t="s">
        <v>771</v>
      </c>
      <c r="C80" s="215"/>
      <c r="D80" s="54"/>
      <c r="E80" s="214">
        <f>G69+G79</f>
        <v>1223.77317783569</v>
      </c>
      <c r="F80" s="222">
        <f>费率表!$C$6</f>
        <v>0.07</v>
      </c>
      <c r="G80" s="216">
        <f t="shared" si="3"/>
        <v>85.6641224484984</v>
      </c>
    </row>
    <row r="81" customHeight="1" spans="1:7">
      <c r="A81" s="204" t="s">
        <v>15</v>
      </c>
      <c r="B81" s="218" t="s">
        <v>517</v>
      </c>
      <c r="C81" s="219"/>
      <c r="D81" s="54"/>
      <c r="E81" s="214"/>
      <c r="F81" s="230"/>
      <c r="G81" s="216">
        <f>G82</f>
        <v>248.49613847539</v>
      </c>
    </row>
    <row r="82" customHeight="1" spans="1:7">
      <c r="A82" s="204"/>
      <c r="B82" s="218" t="s">
        <v>694</v>
      </c>
      <c r="C82" s="219"/>
      <c r="D82" s="54" t="s">
        <v>695</v>
      </c>
      <c r="E82" s="214">
        <f>E77*施工机械台时费!$L$35</f>
        <v>40.995</v>
      </c>
      <c r="F82" s="214">
        <f>主要材料预算!$N$13</f>
        <v>6.0616206482593</v>
      </c>
      <c r="G82" s="216">
        <f t="shared" ref="G82:G84" si="4">E82*F82</f>
        <v>248.49613847539</v>
      </c>
    </row>
    <row r="83" customHeight="1" spans="1:7">
      <c r="A83" s="204" t="s">
        <v>906</v>
      </c>
      <c r="B83" s="215" t="s">
        <v>772</v>
      </c>
      <c r="C83" s="215"/>
      <c r="D83" s="54"/>
      <c r="E83" s="214">
        <f>G69+G79+G80+G81</f>
        <v>1557.93343875958</v>
      </c>
      <c r="F83" s="222">
        <f>费率表!$C$7</f>
        <v>0.09</v>
      </c>
      <c r="G83" s="216">
        <f t="shared" si="4"/>
        <v>140.214009488362</v>
      </c>
    </row>
    <row r="84" customHeight="1" spans="1:7">
      <c r="A84" s="204"/>
      <c r="B84" s="215" t="s">
        <v>907</v>
      </c>
      <c r="C84" s="215"/>
      <c r="D84" s="54"/>
      <c r="E84" s="214">
        <f>G69+G79+G80+G81+G83</f>
        <v>1698.14744824794</v>
      </c>
      <c r="F84" s="222">
        <f>费率表!$B$19</f>
        <v>0.03</v>
      </c>
      <c r="G84" s="216">
        <f t="shared" si="4"/>
        <v>50.9444234474382</v>
      </c>
    </row>
    <row r="85" customHeight="1" spans="1:7">
      <c r="A85" s="223"/>
      <c r="B85" s="224" t="s">
        <v>39</v>
      </c>
      <c r="C85" s="224"/>
      <c r="D85" s="224"/>
      <c r="E85" s="225"/>
      <c r="F85" s="224"/>
      <c r="G85" s="226">
        <f>G69+G79+G80+G81+G83+G84</f>
        <v>1749.09187169538</v>
      </c>
    </row>
    <row r="86" customHeight="1" spans="1:7">
      <c r="A86" s="227"/>
      <c r="B86" s="227"/>
      <c r="C86" s="227"/>
      <c r="D86" s="227"/>
      <c r="E86" s="228"/>
      <c r="F86" s="227"/>
      <c r="G86" s="228"/>
    </row>
    <row r="87" customHeight="1" spans="1:7">
      <c r="A87" s="198" t="s">
        <v>868</v>
      </c>
      <c r="B87" s="198"/>
      <c r="C87" s="198"/>
      <c r="D87" s="198"/>
      <c r="E87" s="198"/>
      <c r="F87" s="198"/>
      <c r="G87" s="198"/>
    </row>
    <row r="88" customHeight="1" spans="1:7">
      <c r="A88" s="199" t="s">
        <v>869</v>
      </c>
      <c r="B88" s="200"/>
      <c r="C88" s="200"/>
      <c r="D88" s="200" t="s">
        <v>870</v>
      </c>
      <c r="E88" s="201" t="s">
        <v>1323</v>
      </c>
      <c r="F88" s="202"/>
      <c r="G88" s="203"/>
    </row>
    <row r="89" customHeight="1" spans="1:7">
      <c r="A89" s="204" t="s">
        <v>507</v>
      </c>
      <c r="B89" s="205"/>
      <c r="C89" s="206" t="s">
        <v>1324</v>
      </c>
      <c r="D89" s="206"/>
      <c r="E89" s="206"/>
      <c r="F89" s="54" t="s">
        <v>873</v>
      </c>
      <c r="G89" s="207" t="s">
        <v>874</v>
      </c>
    </row>
    <row r="90" customHeight="1" spans="1:7">
      <c r="A90" s="208" t="s">
        <v>1320</v>
      </c>
      <c r="B90" s="206"/>
      <c r="C90" s="206"/>
      <c r="D90" s="206"/>
      <c r="E90" s="206"/>
      <c r="F90" s="206"/>
      <c r="G90" s="209"/>
    </row>
    <row r="91" customHeight="1" spans="1:7">
      <c r="A91" s="210" t="s">
        <v>1248</v>
      </c>
      <c r="B91" s="211"/>
      <c r="C91" s="212"/>
      <c r="D91" s="212"/>
      <c r="E91" s="212"/>
      <c r="F91" s="212"/>
      <c r="G91" s="213"/>
    </row>
    <row r="92" customHeight="1" spans="1:7">
      <c r="A92" s="204" t="s">
        <v>34</v>
      </c>
      <c r="B92" s="54" t="s">
        <v>761</v>
      </c>
      <c r="C92" s="54"/>
      <c r="D92" s="54" t="s">
        <v>60</v>
      </c>
      <c r="E92" s="214" t="s">
        <v>877</v>
      </c>
      <c r="F92" s="54" t="s">
        <v>878</v>
      </c>
      <c r="G92" s="207" t="s">
        <v>879</v>
      </c>
    </row>
    <row r="93" customHeight="1" spans="1:7">
      <c r="A93" s="204" t="s">
        <v>8</v>
      </c>
      <c r="B93" s="215" t="s">
        <v>880</v>
      </c>
      <c r="C93" s="215"/>
      <c r="D93" s="54"/>
      <c r="E93" s="214"/>
      <c r="F93" s="214"/>
      <c r="G93" s="216">
        <f>G94+G102</f>
        <v>151.311616806242</v>
      </c>
    </row>
    <row r="94" customHeight="1" spans="1:7">
      <c r="A94" s="204" t="s">
        <v>881</v>
      </c>
      <c r="B94" s="215" t="s">
        <v>882</v>
      </c>
      <c r="C94" s="215"/>
      <c r="D94" s="54"/>
      <c r="E94" s="214"/>
      <c r="F94" s="214"/>
      <c r="G94" s="216">
        <f>G95+G98+G100</f>
        <v>144.381313746414</v>
      </c>
    </row>
    <row r="95" customHeight="1" spans="1:7">
      <c r="A95" s="204" t="s">
        <v>17</v>
      </c>
      <c r="B95" s="215" t="s">
        <v>510</v>
      </c>
      <c r="C95" s="215"/>
      <c r="D95" s="54"/>
      <c r="E95" s="214"/>
      <c r="F95" s="214"/>
      <c r="G95" s="216">
        <f>SUM(G96:G97)</f>
        <v>23.657</v>
      </c>
    </row>
    <row r="96" customHeight="1" spans="1:7">
      <c r="A96" s="204"/>
      <c r="B96" s="215" t="s">
        <v>704</v>
      </c>
      <c r="C96" s="215"/>
      <c r="D96" s="54" t="s">
        <v>705</v>
      </c>
      <c r="E96" s="214"/>
      <c r="F96" s="214"/>
      <c r="G96" s="216"/>
    </row>
    <row r="97" customHeight="1" spans="1:9">
      <c r="A97" s="204"/>
      <c r="B97" s="215" t="s">
        <v>706</v>
      </c>
      <c r="C97" s="215"/>
      <c r="D97" s="54" t="s">
        <v>705</v>
      </c>
      <c r="E97" s="217">
        <f>4.1</f>
        <v>4.1</v>
      </c>
      <c r="F97" s="214">
        <f>主要材料预算!$D$20</f>
        <v>5.77</v>
      </c>
      <c r="G97" s="216">
        <f t="shared" ref="G97:G104" si="5">E97*F97</f>
        <v>23.657</v>
      </c>
    </row>
    <row r="98" customHeight="1" spans="1:9">
      <c r="A98" s="204" t="s">
        <v>19</v>
      </c>
      <c r="B98" s="218" t="s">
        <v>511</v>
      </c>
      <c r="C98" s="219"/>
      <c r="D98" s="54"/>
      <c r="E98" s="214"/>
      <c r="F98" s="214"/>
      <c r="G98" s="216">
        <f>G99</f>
        <v>6.87530065459114</v>
      </c>
    </row>
    <row r="99" customHeight="1" spans="1:9">
      <c r="A99" s="204"/>
      <c r="B99" s="215" t="s">
        <v>1008</v>
      </c>
      <c r="C99" s="215"/>
      <c r="D99" s="54" t="s">
        <v>894</v>
      </c>
      <c r="E99" s="214">
        <f>G95+G100</f>
        <v>137.506013091823</v>
      </c>
      <c r="F99" s="229">
        <v>5</v>
      </c>
      <c r="G99" s="216">
        <f>E99*F99/100</f>
        <v>6.87530065459114</v>
      </c>
    </row>
    <row r="100" customHeight="1" spans="1:9">
      <c r="A100" s="204" t="s">
        <v>21</v>
      </c>
      <c r="B100" s="215" t="s">
        <v>895</v>
      </c>
      <c r="C100" s="215"/>
      <c r="D100" s="215"/>
      <c r="E100" s="214"/>
      <c r="F100" s="214"/>
      <c r="G100" s="216">
        <f>SUM(G101:G101)</f>
        <v>113.849013091823</v>
      </c>
    </row>
    <row r="101" customHeight="1" spans="1:9">
      <c r="A101" s="204"/>
      <c r="B101" s="218" t="s">
        <v>1325</v>
      </c>
      <c r="C101" s="219"/>
      <c r="D101" s="54" t="s">
        <v>896</v>
      </c>
      <c r="E101" s="214">
        <f>0.86*1.42</f>
        <v>1.2212</v>
      </c>
      <c r="F101" s="214">
        <f>施工机械台时费!$E$4</f>
        <v>93.2271643398484</v>
      </c>
      <c r="G101" s="216">
        <f t="shared" si="5"/>
        <v>113.849013091823</v>
      </c>
    </row>
    <row r="102" customHeight="1" spans="1:9">
      <c r="A102" s="204" t="s">
        <v>905</v>
      </c>
      <c r="B102" s="215" t="s">
        <v>514</v>
      </c>
      <c r="C102" s="215"/>
      <c r="D102" s="54"/>
      <c r="E102" s="220">
        <f>G94</f>
        <v>144.381313746414</v>
      </c>
      <c r="F102" s="221">
        <f>费率表!$C$4</f>
        <v>0.048</v>
      </c>
      <c r="G102" s="216">
        <f t="shared" si="5"/>
        <v>6.93030305982787</v>
      </c>
      <c r="I102" s="92">
        <f>E101*施工机械台时费!L4</f>
        <v>13.06684</v>
      </c>
    </row>
    <row r="103" customHeight="1" spans="1:9">
      <c r="A103" s="204" t="s">
        <v>10</v>
      </c>
      <c r="B103" s="215" t="s">
        <v>770</v>
      </c>
      <c r="C103" s="215"/>
      <c r="D103" s="54"/>
      <c r="E103" s="214">
        <f>G93</f>
        <v>151.311616806242</v>
      </c>
      <c r="F103" s="222">
        <f>费率表!$C$5</f>
        <v>0.045</v>
      </c>
      <c r="G103" s="216">
        <f t="shared" si="5"/>
        <v>6.80902275628088</v>
      </c>
    </row>
    <row r="104" customHeight="1" spans="1:9">
      <c r="A104" s="204" t="s">
        <v>12</v>
      </c>
      <c r="B104" s="215" t="s">
        <v>771</v>
      </c>
      <c r="C104" s="215"/>
      <c r="D104" s="54"/>
      <c r="E104" s="214">
        <f>G93+G103</f>
        <v>158.120639562523</v>
      </c>
      <c r="F104" s="222">
        <f>费率表!$C$6</f>
        <v>0.07</v>
      </c>
      <c r="G104" s="216">
        <f t="shared" si="5"/>
        <v>11.0684447693766</v>
      </c>
    </row>
    <row r="105" customHeight="1" spans="1:9">
      <c r="A105" s="204" t="s">
        <v>15</v>
      </c>
      <c r="B105" s="218" t="s">
        <v>517</v>
      </c>
      <c r="C105" s="219"/>
      <c r="D105" s="54"/>
      <c r="E105" s="214"/>
      <c r="F105" s="230"/>
      <c r="G105" s="216">
        <f>G106</f>
        <v>110.296521921248</v>
      </c>
    </row>
    <row r="106" customHeight="1" spans="1:9">
      <c r="A106" s="204"/>
      <c r="B106" s="218" t="s">
        <v>694</v>
      </c>
      <c r="C106" s="219"/>
      <c r="D106" s="54" t="s">
        <v>695</v>
      </c>
      <c r="E106" s="214">
        <f>E101*施工机械台时费!$L$6</f>
        <v>18.19588</v>
      </c>
      <c r="F106" s="214">
        <f>主要材料预算!$N$13</f>
        <v>6.0616206482593</v>
      </c>
      <c r="G106" s="216">
        <f t="shared" ref="G106:G108" si="6">E106*F106</f>
        <v>110.296521921248</v>
      </c>
    </row>
    <row r="107" customHeight="1" spans="1:9">
      <c r="A107" s="204" t="s">
        <v>906</v>
      </c>
      <c r="B107" s="215" t="s">
        <v>772</v>
      </c>
      <c r="C107" s="215"/>
      <c r="D107" s="54"/>
      <c r="E107" s="214">
        <f>G93+G103+G104+G105</f>
        <v>279.485606253148</v>
      </c>
      <c r="F107" s="222">
        <f>费率表!$C$7</f>
        <v>0.09</v>
      </c>
      <c r="G107" s="216">
        <f t="shared" si="6"/>
        <v>25.1537045627833</v>
      </c>
    </row>
    <row r="108" customHeight="1" spans="1:9">
      <c r="A108" s="204"/>
      <c r="B108" s="215" t="s">
        <v>907</v>
      </c>
      <c r="C108" s="215"/>
      <c r="D108" s="54"/>
      <c r="E108" s="214">
        <f>G93+G103+G104+G105+G107</f>
        <v>304.639310815931</v>
      </c>
      <c r="F108" s="222">
        <f>费率表!$B$19</f>
        <v>0.03</v>
      </c>
      <c r="G108" s="216">
        <f t="shared" si="6"/>
        <v>9.13917932447794</v>
      </c>
    </row>
    <row r="109" customHeight="1" spans="1:9">
      <c r="A109" s="223"/>
      <c r="B109" s="224" t="s">
        <v>39</v>
      </c>
      <c r="C109" s="224"/>
      <c r="D109" s="224"/>
      <c r="E109" s="225"/>
      <c r="F109" s="224"/>
      <c r="G109" s="226">
        <f>G93+G103+G104+G105+G107+G108</f>
        <v>313.778490140409</v>
      </c>
    </row>
    <row r="111" customHeight="1" spans="1:9">
      <c r="A111" s="198" t="s">
        <v>868</v>
      </c>
      <c r="B111" s="198"/>
      <c r="C111" s="198"/>
      <c r="D111" s="198"/>
      <c r="E111" s="198"/>
      <c r="F111" s="198"/>
      <c r="G111" s="198"/>
    </row>
    <row r="112" customHeight="1" spans="1:9">
      <c r="A112" s="199" t="s">
        <v>869</v>
      </c>
      <c r="B112" s="200"/>
      <c r="C112" s="200"/>
      <c r="D112" s="200" t="s">
        <v>870</v>
      </c>
      <c r="E112" s="201" t="s">
        <v>1326</v>
      </c>
      <c r="F112" s="202"/>
      <c r="G112" s="203"/>
    </row>
    <row r="113" customHeight="1" spans="1:7">
      <c r="A113" s="204" t="s">
        <v>507</v>
      </c>
      <c r="B113" s="205"/>
      <c r="C113" s="206" t="s">
        <v>1327</v>
      </c>
      <c r="D113" s="206"/>
      <c r="E113" s="206"/>
      <c r="F113" s="54" t="s">
        <v>873</v>
      </c>
      <c r="G113" s="207" t="s">
        <v>874</v>
      </c>
    </row>
    <row r="114" customHeight="1" spans="1:7">
      <c r="A114" s="208" t="s">
        <v>1309</v>
      </c>
      <c r="B114" s="206"/>
      <c r="C114" s="206"/>
      <c r="D114" s="206"/>
      <c r="E114" s="206"/>
      <c r="F114" s="206"/>
      <c r="G114" s="209"/>
    </row>
    <row r="115" customHeight="1" spans="1:7">
      <c r="A115" s="210" t="s">
        <v>1248</v>
      </c>
      <c r="B115" s="211"/>
      <c r="C115" s="212"/>
      <c r="D115" s="212"/>
      <c r="E115" s="212"/>
      <c r="F115" s="212"/>
      <c r="G115" s="213"/>
    </row>
    <row r="116" customHeight="1" spans="1:7">
      <c r="A116" s="204" t="s">
        <v>34</v>
      </c>
      <c r="B116" s="54" t="s">
        <v>761</v>
      </c>
      <c r="C116" s="54"/>
      <c r="D116" s="54" t="s">
        <v>60</v>
      </c>
      <c r="E116" s="214" t="s">
        <v>877</v>
      </c>
      <c r="F116" s="54" t="s">
        <v>878</v>
      </c>
      <c r="G116" s="207" t="s">
        <v>879</v>
      </c>
    </row>
    <row r="117" customHeight="1" spans="1:7">
      <c r="A117" s="204" t="s">
        <v>8</v>
      </c>
      <c r="B117" s="215" t="s">
        <v>880</v>
      </c>
      <c r="C117" s="215"/>
      <c r="D117" s="54"/>
      <c r="E117" s="214"/>
      <c r="F117" s="214"/>
      <c r="G117" s="216">
        <f>G118+G126</f>
        <v>224.476787619583</v>
      </c>
    </row>
    <row r="118" customHeight="1" spans="1:7">
      <c r="A118" s="204" t="s">
        <v>881</v>
      </c>
      <c r="B118" s="215" t="s">
        <v>882</v>
      </c>
      <c r="C118" s="215"/>
      <c r="D118" s="54"/>
      <c r="E118" s="214"/>
      <c r="F118" s="214"/>
      <c r="G118" s="216">
        <f>G119+G122+G124</f>
        <v>214.195408033953</v>
      </c>
    </row>
    <row r="119" customHeight="1" spans="1:7">
      <c r="A119" s="204" t="s">
        <v>17</v>
      </c>
      <c r="B119" s="215" t="s">
        <v>510</v>
      </c>
      <c r="C119" s="215"/>
      <c r="D119" s="54"/>
      <c r="E119" s="214"/>
      <c r="F119" s="214"/>
      <c r="G119" s="216">
        <f>SUM(G120:G121)</f>
        <v>23.657</v>
      </c>
    </row>
    <row r="120" customHeight="1" spans="1:7">
      <c r="A120" s="204"/>
      <c r="B120" s="215" t="s">
        <v>704</v>
      </c>
      <c r="C120" s="215"/>
      <c r="D120" s="54" t="s">
        <v>705</v>
      </c>
      <c r="E120" s="214"/>
      <c r="F120" s="214"/>
      <c r="G120" s="216"/>
    </row>
    <row r="121" customHeight="1" spans="1:7">
      <c r="A121" s="204"/>
      <c r="B121" s="215" t="s">
        <v>706</v>
      </c>
      <c r="C121" s="215"/>
      <c r="D121" s="54" t="s">
        <v>705</v>
      </c>
      <c r="E121" s="217">
        <f>4.1</f>
        <v>4.1</v>
      </c>
      <c r="F121" s="214">
        <f>主要材料预算!$D$20</f>
        <v>5.77</v>
      </c>
      <c r="G121" s="216">
        <f t="shared" ref="G121:G128" si="7">E121*F121</f>
        <v>23.657</v>
      </c>
    </row>
    <row r="122" customHeight="1" spans="1:7">
      <c r="A122" s="204" t="s">
        <v>19</v>
      </c>
      <c r="B122" s="218" t="s">
        <v>511</v>
      </c>
      <c r="C122" s="219"/>
      <c r="D122" s="54"/>
      <c r="E122" s="214"/>
      <c r="F122" s="214"/>
      <c r="G122" s="216">
        <f>G123</f>
        <v>10.1997813349501</v>
      </c>
    </row>
    <row r="123" customHeight="1" spans="1:7">
      <c r="A123" s="204"/>
      <c r="B123" s="215" t="s">
        <v>1008</v>
      </c>
      <c r="C123" s="215"/>
      <c r="D123" s="54" t="s">
        <v>894</v>
      </c>
      <c r="E123" s="214">
        <f>G119+G124</f>
        <v>203.995626699003</v>
      </c>
      <c r="F123" s="229">
        <v>5</v>
      </c>
      <c r="G123" s="216">
        <f>E123*F123/100</f>
        <v>10.1997813349501</v>
      </c>
    </row>
    <row r="124" customHeight="1" spans="1:7">
      <c r="A124" s="204" t="s">
        <v>21</v>
      </c>
      <c r="B124" s="215" t="s">
        <v>895</v>
      </c>
      <c r="C124" s="215"/>
      <c r="D124" s="215"/>
      <c r="E124" s="214"/>
      <c r="F124" s="214"/>
      <c r="G124" s="216">
        <f>SUM(G125:G125)</f>
        <v>180.338626699003</v>
      </c>
    </row>
    <row r="125" customHeight="1" spans="1:7">
      <c r="A125" s="204"/>
      <c r="B125" s="218" t="s">
        <v>1328</v>
      </c>
      <c r="C125" s="219"/>
      <c r="D125" s="54" t="s">
        <v>896</v>
      </c>
      <c r="E125" s="214">
        <f>1.56*1.24</f>
        <v>1.9344</v>
      </c>
      <c r="F125" s="214">
        <f>施工机械台时费!$E$4</f>
        <v>93.2271643398484</v>
      </c>
      <c r="G125" s="216">
        <f t="shared" si="7"/>
        <v>180.338626699003</v>
      </c>
    </row>
    <row r="126" customHeight="1" spans="1:7">
      <c r="A126" s="204" t="s">
        <v>905</v>
      </c>
      <c r="B126" s="215" t="s">
        <v>514</v>
      </c>
      <c r="C126" s="215"/>
      <c r="D126" s="54"/>
      <c r="E126" s="220">
        <f>G118</f>
        <v>214.195408033953</v>
      </c>
      <c r="F126" s="221">
        <f>费率表!$C$4</f>
        <v>0.048</v>
      </c>
      <c r="G126" s="216">
        <f t="shared" si="7"/>
        <v>10.2813795856297</v>
      </c>
    </row>
    <row r="127" customHeight="1" spans="1:7">
      <c r="A127" s="204" t="s">
        <v>10</v>
      </c>
      <c r="B127" s="215" t="s">
        <v>770</v>
      </c>
      <c r="C127" s="215"/>
      <c r="D127" s="54"/>
      <c r="E127" s="214">
        <f>G117</f>
        <v>224.476787619583</v>
      </c>
      <c r="F127" s="222">
        <f>费率表!$C$5</f>
        <v>0.045</v>
      </c>
      <c r="G127" s="216">
        <f t="shared" si="7"/>
        <v>10.1014554428812</v>
      </c>
    </row>
    <row r="128" customHeight="1" spans="1:7">
      <c r="A128" s="204" t="s">
        <v>12</v>
      </c>
      <c r="B128" s="215" t="s">
        <v>771</v>
      </c>
      <c r="C128" s="215"/>
      <c r="D128" s="54"/>
      <c r="E128" s="214">
        <f>G117+G127</f>
        <v>234.578243062464</v>
      </c>
      <c r="F128" s="222">
        <f>费率表!$C$6</f>
        <v>0.07</v>
      </c>
      <c r="G128" s="216">
        <f t="shared" si="7"/>
        <v>16.4204770143725</v>
      </c>
    </row>
    <row r="129" customHeight="1" spans="1:10">
      <c r="A129" s="204" t="s">
        <v>15</v>
      </c>
      <c r="B129" s="218" t="s">
        <v>517</v>
      </c>
      <c r="C129" s="219"/>
      <c r="D129" s="54"/>
      <c r="E129" s="214"/>
      <c r="F129" s="230"/>
      <c r="G129" s="216">
        <f>G130</f>
        <v>174.711424831693</v>
      </c>
    </row>
    <row r="130" customHeight="1" spans="1:10">
      <c r="A130" s="204"/>
      <c r="B130" s="218" t="s">
        <v>694</v>
      </c>
      <c r="C130" s="219"/>
      <c r="D130" s="54" t="s">
        <v>695</v>
      </c>
      <c r="E130" s="214">
        <f>E125*施工机械台时费!$L$6</f>
        <v>28.82256</v>
      </c>
      <c r="F130" s="214">
        <f>主要材料预算!$N$13</f>
        <v>6.0616206482593</v>
      </c>
      <c r="G130" s="216">
        <f t="shared" ref="G130:G132" si="8">E130*F130</f>
        <v>174.711424831693</v>
      </c>
    </row>
    <row r="131" customHeight="1" spans="1:10">
      <c r="A131" s="204" t="s">
        <v>906</v>
      </c>
      <c r="B131" s="215" t="s">
        <v>772</v>
      </c>
      <c r="C131" s="215"/>
      <c r="D131" s="54"/>
      <c r="E131" s="214">
        <f>G117+G127+G128+G129</f>
        <v>425.710144908529</v>
      </c>
      <c r="F131" s="222">
        <f>费率表!$C$7</f>
        <v>0.09</v>
      </c>
      <c r="G131" s="216">
        <f t="shared" si="8"/>
        <v>38.3139130417676</v>
      </c>
    </row>
    <row r="132" customHeight="1" spans="1:10">
      <c r="A132" s="204"/>
      <c r="B132" s="215" t="s">
        <v>907</v>
      </c>
      <c r="C132" s="215"/>
      <c r="D132" s="54"/>
      <c r="E132" s="214">
        <f>G117+G127+G128+G129+G131</f>
        <v>464.024057950297</v>
      </c>
      <c r="F132" s="222">
        <f>费率表!$B$19</f>
        <v>0.03</v>
      </c>
      <c r="G132" s="216">
        <f t="shared" si="8"/>
        <v>13.9207217385089</v>
      </c>
    </row>
    <row r="133" customHeight="1" spans="1:10">
      <c r="A133" s="223"/>
      <c r="B133" s="224" t="s">
        <v>39</v>
      </c>
      <c r="C133" s="224"/>
      <c r="D133" s="224"/>
      <c r="E133" s="225"/>
      <c r="F133" s="224"/>
      <c r="G133" s="226">
        <f>G117+G127+G128+G129+G131+G132</f>
        <v>477.944779688806</v>
      </c>
    </row>
    <row r="134" customHeight="1" spans="1:10">
      <c r="A134" s="198" t="s">
        <v>868</v>
      </c>
      <c r="B134" s="198"/>
      <c r="C134" s="198"/>
      <c r="D134" s="198"/>
      <c r="E134" s="198"/>
      <c r="F134" s="198"/>
      <c r="G134" s="198"/>
    </row>
    <row r="135" customHeight="1" spans="1:10">
      <c r="A135" s="199" t="s">
        <v>869</v>
      </c>
      <c r="B135" s="200"/>
      <c r="C135" s="200"/>
      <c r="D135" s="200" t="s">
        <v>870</v>
      </c>
      <c r="E135" s="201" t="s">
        <v>1329</v>
      </c>
      <c r="F135" s="202"/>
      <c r="G135" s="203"/>
    </row>
    <row r="136" customHeight="1" spans="1:10">
      <c r="A136" s="204" t="s">
        <v>507</v>
      </c>
      <c r="B136" s="205"/>
      <c r="C136" s="206" t="s">
        <v>1330</v>
      </c>
      <c r="D136" s="206"/>
      <c r="E136" s="206"/>
      <c r="F136" s="54" t="s">
        <v>873</v>
      </c>
      <c r="G136" s="207" t="s">
        <v>874</v>
      </c>
    </row>
    <row r="137" customHeight="1" spans="1:10">
      <c r="A137" s="208" t="s">
        <v>1331</v>
      </c>
      <c r="B137" s="206"/>
      <c r="C137" s="206"/>
      <c r="D137" s="206"/>
      <c r="E137" s="206"/>
      <c r="F137" s="206"/>
      <c r="G137" s="209"/>
    </row>
    <row r="138" customHeight="1" spans="1:10">
      <c r="A138" s="210" t="s">
        <v>1248</v>
      </c>
      <c r="B138" s="211"/>
      <c r="C138" s="212"/>
      <c r="D138" s="212"/>
      <c r="E138" s="212"/>
      <c r="F138" s="212"/>
      <c r="G138" s="213"/>
    </row>
    <row r="139" customHeight="1" spans="1:10">
      <c r="A139" s="204" t="s">
        <v>34</v>
      </c>
      <c r="B139" s="54" t="s">
        <v>761</v>
      </c>
      <c r="C139" s="54"/>
      <c r="D139" s="54" t="s">
        <v>60</v>
      </c>
      <c r="E139" s="214" t="s">
        <v>877</v>
      </c>
      <c r="F139" s="54" t="s">
        <v>878</v>
      </c>
      <c r="G139" s="207" t="s">
        <v>879</v>
      </c>
    </row>
    <row r="140" customHeight="1" spans="1:10">
      <c r="A140" s="204" t="s">
        <v>8</v>
      </c>
      <c r="B140" s="215" t="s">
        <v>880</v>
      </c>
      <c r="C140" s="215"/>
      <c r="D140" s="54"/>
      <c r="E140" s="214"/>
      <c r="F140" s="214"/>
      <c r="G140" s="216">
        <f>G141+G149</f>
        <v>166.728275873998</v>
      </c>
    </row>
    <row r="141" customHeight="1" spans="1:10">
      <c r="A141" s="204" t="s">
        <v>881</v>
      </c>
      <c r="B141" s="215" t="s">
        <v>882</v>
      </c>
      <c r="C141" s="215"/>
      <c r="D141" s="54"/>
      <c r="E141" s="214"/>
      <c r="F141" s="214"/>
      <c r="G141" s="216">
        <f>G142+G145+G147</f>
        <v>159.091866291982</v>
      </c>
    </row>
    <row r="142" customHeight="1" spans="1:10">
      <c r="A142" s="204" t="s">
        <v>17</v>
      </c>
      <c r="B142" s="215" t="s">
        <v>510</v>
      </c>
      <c r="C142" s="215"/>
      <c r="D142" s="54"/>
      <c r="E142" s="214"/>
      <c r="F142" s="214"/>
      <c r="G142" s="216">
        <f>SUM(G143:G144)</f>
        <v>23.657</v>
      </c>
    </row>
    <row r="143" customHeight="1" spans="1:10">
      <c r="A143" s="204"/>
      <c r="B143" s="215" t="s">
        <v>704</v>
      </c>
      <c r="C143" s="215"/>
      <c r="D143" s="54" t="s">
        <v>705</v>
      </c>
      <c r="E143" s="214"/>
      <c r="F143" s="214"/>
      <c r="G143" s="216"/>
      <c r="J143" s="92" t="s">
        <v>1332</v>
      </c>
    </row>
    <row r="144" customHeight="1" spans="1:10">
      <c r="A144" s="204"/>
      <c r="B144" s="215" t="s">
        <v>706</v>
      </c>
      <c r="C144" s="215"/>
      <c r="D144" s="54" t="s">
        <v>705</v>
      </c>
      <c r="E144" s="217">
        <v>4.1</v>
      </c>
      <c r="F144" s="214">
        <f>主要材料预算!$D$20</f>
        <v>5.77</v>
      </c>
      <c r="G144" s="216">
        <f t="shared" ref="G144:G151" si="9">E144*F144</f>
        <v>23.657</v>
      </c>
    </row>
    <row r="145" customHeight="1" spans="1:15">
      <c r="A145" s="204" t="s">
        <v>19</v>
      </c>
      <c r="B145" s="218" t="s">
        <v>511</v>
      </c>
      <c r="C145" s="219"/>
      <c r="D145" s="54"/>
      <c r="E145" s="214"/>
      <c r="F145" s="214"/>
      <c r="G145" s="216">
        <f>G146</f>
        <v>7.57580315676107</v>
      </c>
    </row>
    <row r="146" customHeight="1" spans="1:15">
      <c r="A146" s="204"/>
      <c r="B146" s="215" t="s">
        <v>1008</v>
      </c>
      <c r="C146" s="215"/>
      <c r="D146" s="54" t="s">
        <v>894</v>
      </c>
      <c r="E146" s="214">
        <f>G142+G147</f>
        <v>151.516063135221</v>
      </c>
      <c r="F146" s="229">
        <v>5</v>
      </c>
      <c r="G146" s="216">
        <f>E146*F146/100</f>
        <v>7.57580315676107</v>
      </c>
    </row>
    <row r="147" customHeight="1" spans="1:15">
      <c r="A147" s="204" t="s">
        <v>21</v>
      </c>
      <c r="B147" s="215" t="s">
        <v>895</v>
      </c>
      <c r="C147" s="215"/>
      <c r="D147" s="215"/>
      <c r="E147" s="214"/>
      <c r="F147" s="214"/>
      <c r="G147" s="216">
        <f>SUM(G148:G148)</f>
        <v>127.859063135221</v>
      </c>
    </row>
    <row r="148" customHeight="1" spans="1:15">
      <c r="A148" s="204"/>
      <c r="B148" s="218" t="s">
        <v>1333</v>
      </c>
      <c r="C148" s="219"/>
      <c r="D148" s="54" t="s">
        <v>896</v>
      </c>
      <c r="E148" s="214">
        <f>1.04</f>
        <v>1.04</v>
      </c>
      <c r="F148" s="214">
        <f>施工机械台时费!E6</f>
        <v>122.94140686079</v>
      </c>
      <c r="G148" s="216">
        <f t="shared" si="9"/>
        <v>127.859063135221</v>
      </c>
    </row>
    <row r="149" customHeight="1" spans="1:15">
      <c r="A149" s="204" t="s">
        <v>905</v>
      </c>
      <c r="B149" s="215" t="s">
        <v>514</v>
      </c>
      <c r="C149" s="215"/>
      <c r="D149" s="54"/>
      <c r="E149" s="220">
        <f>G141</f>
        <v>159.091866291982</v>
      </c>
      <c r="F149" s="221">
        <f>费率表!$C$4</f>
        <v>0.048</v>
      </c>
      <c r="G149" s="216">
        <f t="shared" si="9"/>
        <v>7.63640958201516</v>
      </c>
    </row>
    <row r="150" customHeight="1" spans="1:15">
      <c r="A150" s="204" t="s">
        <v>10</v>
      </c>
      <c r="B150" s="215" t="s">
        <v>770</v>
      </c>
      <c r="C150" s="215"/>
      <c r="D150" s="54"/>
      <c r="E150" s="214">
        <f>G140</f>
        <v>166.728275873998</v>
      </c>
      <c r="F150" s="222">
        <f>费率表!$C$5</f>
        <v>0.045</v>
      </c>
      <c r="G150" s="216">
        <f t="shared" si="9"/>
        <v>7.50277241432989</v>
      </c>
    </row>
    <row r="151" customHeight="1" spans="1:15">
      <c r="A151" s="204" t="s">
        <v>12</v>
      </c>
      <c r="B151" s="215" t="s">
        <v>771</v>
      </c>
      <c r="C151" s="215"/>
      <c r="D151" s="54"/>
      <c r="E151" s="214">
        <f>G140+G150</f>
        <v>174.231048288327</v>
      </c>
      <c r="F151" s="222">
        <f>费率表!$C$6</f>
        <v>0.07</v>
      </c>
      <c r="G151" s="216">
        <f t="shared" si="9"/>
        <v>12.1961733801829</v>
      </c>
    </row>
    <row r="152" customHeight="1" spans="1:15">
      <c r="A152" s="204" t="s">
        <v>15</v>
      </c>
      <c r="B152" s="218" t="s">
        <v>517</v>
      </c>
      <c r="C152" s="219"/>
      <c r="D152" s="54"/>
      <c r="E152" s="214"/>
      <c r="F152" s="230"/>
      <c r="G152" s="216">
        <f>G153</f>
        <v>93.9308735654261</v>
      </c>
    </row>
    <row r="153" customHeight="1" spans="1:15">
      <c r="A153" s="204"/>
      <c r="B153" s="218" t="s">
        <v>694</v>
      </c>
      <c r="C153" s="219"/>
      <c r="D153" s="54" t="s">
        <v>695</v>
      </c>
      <c r="E153" s="214">
        <f>E148*施工机械台时费!L6</f>
        <v>15.496</v>
      </c>
      <c r="F153" s="214">
        <f>主要材料预算!$N$13</f>
        <v>6.0616206482593</v>
      </c>
      <c r="G153" s="216">
        <f t="shared" ref="G153:G155" si="10">E153*F153</f>
        <v>93.9308735654261</v>
      </c>
    </row>
    <row r="154" customHeight="1" spans="1:15">
      <c r="A154" s="204" t="s">
        <v>906</v>
      </c>
      <c r="B154" s="215" t="s">
        <v>772</v>
      </c>
      <c r="C154" s="215"/>
      <c r="D154" s="54"/>
      <c r="E154" s="214">
        <f>G140+G150+G151+G152</f>
        <v>280.358095233937</v>
      </c>
      <c r="F154" s="222">
        <f>费率表!$C$7</f>
        <v>0.09</v>
      </c>
      <c r="G154" s="216">
        <f t="shared" si="10"/>
        <v>25.2322285710543</v>
      </c>
    </row>
    <row r="155" customHeight="1" spans="1:15">
      <c r="A155" s="204"/>
      <c r="B155" s="215" t="s">
        <v>907</v>
      </c>
      <c r="C155" s="215"/>
      <c r="D155" s="54"/>
      <c r="E155" s="214">
        <f>G140+G150+G151+G152+G154</f>
        <v>305.590323804991</v>
      </c>
      <c r="F155" s="222">
        <f>费率表!$B$19</f>
        <v>0.03</v>
      </c>
      <c r="G155" s="216">
        <f t="shared" si="10"/>
        <v>9.16770971414974</v>
      </c>
    </row>
    <row r="156" customHeight="1" spans="1:15">
      <c r="A156" s="223"/>
      <c r="B156" s="224" t="s">
        <v>39</v>
      </c>
      <c r="C156" s="224"/>
      <c r="D156" s="224"/>
      <c r="E156" s="225"/>
      <c r="F156" s="224"/>
      <c r="G156" s="226">
        <f>G140+G150+G151+G152+G154+G155</f>
        <v>314.758033519141</v>
      </c>
    </row>
    <row r="158" customHeight="1" spans="1:15">
      <c r="A158" s="198" t="s">
        <v>868</v>
      </c>
      <c r="B158" s="198"/>
      <c r="C158" s="198"/>
      <c r="D158" s="198"/>
      <c r="E158" s="198"/>
      <c r="F158" s="198"/>
      <c r="G158" s="198"/>
    </row>
    <row r="159" customHeight="1" spans="1:15">
      <c r="A159" s="199" t="s">
        <v>869</v>
      </c>
      <c r="B159" s="200"/>
      <c r="C159" s="200"/>
      <c r="D159" s="200" t="s">
        <v>870</v>
      </c>
      <c r="E159" s="201" t="s">
        <v>1334</v>
      </c>
      <c r="F159" s="202"/>
      <c r="G159" s="203"/>
      <c r="I159" s="198" t="s">
        <v>868</v>
      </c>
      <c r="J159" s="198"/>
      <c r="K159" s="198"/>
      <c r="L159" s="198"/>
      <c r="M159" s="198"/>
      <c r="N159" s="198"/>
      <c r="O159" s="198"/>
    </row>
    <row r="160" customHeight="1" spans="1:15">
      <c r="A160" s="204" t="s">
        <v>507</v>
      </c>
      <c r="B160" s="205"/>
      <c r="C160" s="206" t="s">
        <v>1335</v>
      </c>
      <c r="D160" s="206"/>
      <c r="E160" s="206"/>
      <c r="F160" s="54" t="s">
        <v>873</v>
      </c>
      <c r="G160" s="207" t="s">
        <v>874</v>
      </c>
      <c r="I160" s="199" t="s">
        <v>869</v>
      </c>
      <c r="J160" s="200"/>
      <c r="K160" s="200"/>
      <c r="L160" s="200" t="s">
        <v>870</v>
      </c>
      <c r="M160" s="201" t="s">
        <v>1336</v>
      </c>
      <c r="N160" s="202"/>
      <c r="O160" s="203"/>
    </row>
    <row r="161" customHeight="1" spans="1:15">
      <c r="A161" s="208" t="s">
        <v>1337</v>
      </c>
      <c r="B161" s="206"/>
      <c r="C161" s="206"/>
      <c r="D161" s="206"/>
      <c r="E161" s="206"/>
      <c r="F161" s="206"/>
      <c r="G161" s="209"/>
      <c r="I161" s="204" t="s">
        <v>507</v>
      </c>
      <c r="J161" s="205"/>
      <c r="K161" s="206" t="s">
        <v>1338</v>
      </c>
      <c r="L161" s="206"/>
      <c r="M161" s="206"/>
      <c r="N161" s="54" t="s">
        <v>873</v>
      </c>
      <c r="O161" s="207" t="s">
        <v>874</v>
      </c>
    </row>
    <row r="162" customHeight="1" spans="1:15">
      <c r="A162" s="210" t="s">
        <v>1098</v>
      </c>
      <c r="B162" s="211"/>
      <c r="C162" s="212"/>
      <c r="D162" s="212"/>
      <c r="E162" s="212"/>
      <c r="F162" s="212"/>
      <c r="G162" s="213"/>
      <c r="I162" s="208" t="s">
        <v>1337</v>
      </c>
      <c r="J162" s="206"/>
      <c r="K162" s="206"/>
      <c r="L162" s="206"/>
      <c r="M162" s="206"/>
      <c r="N162" s="206"/>
      <c r="O162" s="209"/>
    </row>
    <row r="163" customHeight="1" spans="1:15">
      <c r="A163" s="204" t="s">
        <v>34</v>
      </c>
      <c r="B163" s="54" t="s">
        <v>761</v>
      </c>
      <c r="C163" s="54"/>
      <c r="D163" s="54" t="s">
        <v>60</v>
      </c>
      <c r="E163" s="214" t="s">
        <v>877</v>
      </c>
      <c r="F163" s="54" t="s">
        <v>878</v>
      </c>
      <c r="G163" s="207" t="s">
        <v>879</v>
      </c>
      <c r="I163" s="210" t="s">
        <v>1098</v>
      </c>
      <c r="J163" s="211"/>
      <c r="K163" s="212"/>
      <c r="L163" s="212"/>
      <c r="M163" s="212"/>
      <c r="N163" s="212"/>
      <c r="O163" s="213"/>
    </row>
    <row r="164" customHeight="1" spans="1:15">
      <c r="A164" s="204" t="s">
        <v>8</v>
      </c>
      <c r="B164" s="215" t="s">
        <v>880</v>
      </c>
      <c r="C164" s="215"/>
      <c r="D164" s="54"/>
      <c r="E164" s="214"/>
      <c r="F164" s="214"/>
      <c r="G164" s="216">
        <f>G165+G175</f>
        <v>649.745641093233</v>
      </c>
      <c r="I164" s="204" t="s">
        <v>34</v>
      </c>
      <c r="J164" s="54" t="s">
        <v>761</v>
      </c>
      <c r="K164" s="54"/>
      <c r="L164" s="54" t="s">
        <v>60</v>
      </c>
      <c r="M164" s="214" t="s">
        <v>877</v>
      </c>
      <c r="N164" s="54" t="s">
        <v>878</v>
      </c>
      <c r="O164" s="207" t="s">
        <v>879</v>
      </c>
    </row>
    <row r="165" customHeight="1" spans="1:15">
      <c r="A165" s="204" t="s">
        <v>881</v>
      </c>
      <c r="B165" s="215" t="s">
        <v>882</v>
      </c>
      <c r="C165" s="215"/>
      <c r="D165" s="54"/>
      <c r="E165" s="214"/>
      <c r="F165" s="214"/>
      <c r="G165" s="216">
        <f>G166+G169+G171</f>
        <v>619.986298753085</v>
      </c>
      <c r="I165" s="204" t="s">
        <v>8</v>
      </c>
      <c r="J165" s="215" t="s">
        <v>880</v>
      </c>
      <c r="K165" s="215"/>
      <c r="L165" s="54"/>
      <c r="M165" s="214"/>
      <c r="N165" s="214"/>
      <c r="O165" s="216">
        <f>O166+O176</f>
        <v>869.935805197963</v>
      </c>
    </row>
    <row r="166" customHeight="1" spans="1:15">
      <c r="A166" s="204" t="s">
        <v>17</v>
      </c>
      <c r="B166" s="215" t="s">
        <v>510</v>
      </c>
      <c r="C166" s="215"/>
      <c r="D166" s="54"/>
      <c r="E166" s="214"/>
      <c r="F166" s="214"/>
      <c r="G166" s="216">
        <f>SUM(G167:G168)</f>
        <v>42.53067</v>
      </c>
      <c r="I166" s="204" t="s">
        <v>881</v>
      </c>
      <c r="J166" s="215" t="s">
        <v>882</v>
      </c>
      <c r="K166" s="215"/>
      <c r="L166" s="54"/>
      <c r="M166" s="214"/>
      <c r="N166" s="214"/>
      <c r="O166" s="216">
        <f>O167+O170+O172</f>
        <v>830.091417173629</v>
      </c>
    </row>
    <row r="167" customHeight="1" spans="1:15">
      <c r="A167" s="204"/>
      <c r="B167" s="215" t="s">
        <v>704</v>
      </c>
      <c r="C167" s="215"/>
      <c r="D167" s="54" t="s">
        <v>705</v>
      </c>
      <c r="E167" s="214"/>
      <c r="F167" s="214"/>
      <c r="G167" s="216"/>
      <c r="I167" s="204" t="s">
        <v>17</v>
      </c>
      <c r="J167" s="215" t="s">
        <v>510</v>
      </c>
      <c r="K167" s="215"/>
      <c r="L167" s="54"/>
      <c r="M167" s="214"/>
      <c r="N167" s="214"/>
      <c r="O167" s="216">
        <f>SUM(O168:O169)</f>
        <v>105.014</v>
      </c>
    </row>
    <row r="168" customHeight="1" spans="1:15">
      <c r="A168" s="204"/>
      <c r="B168" s="215" t="s">
        <v>706</v>
      </c>
      <c r="C168" s="215"/>
      <c r="D168" s="54" t="s">
        <v>705</v>
      </c>
      <c r="E168" s="217">
        <f>8.1*0.91</f>
        <v>7.371</v>
      </c>
      <c r="F168" s="214">
        <f>主要材料预算!$D$20</f>
        <v>5.77</v>
      </c>
      <c r="G168" s="216">
        <f>E168*F168</f>
        <v>42.53067</v>
      </c>
      <c r="I168" s="204"/>
      <c r="J168" s="215" t="s">
        <v>704</v>
      </c>
      <c r="K168" s="215"/>
      <c r="L168" s="54" t="s">
        <v>705</v>
      </c>
      <c r="M168" s="214"/>
      <c r="N168" s="214"/>
      <c r="O168" s="216"/>
    </row>
    <row r="169" customHeight="1" spans="1:15">
      <c r="A169" s="204" t="s">
        <v>19</v>
      </c>
      <c r="B169" s="218" t="s">
        <v>511</v>
      </c>
      <c r="C169" s="219"/>
      <c r="D169" s="54"/>
      <c r="E169" s="214"/>
      <c r="F169" s="214"/>
      <c r="G169" s="216">
        <f>G170</f>
        <v>29.5231570834803</v>
      </c>
      <c r="I169" s="204"/>
      <c r="J169" s="215" t="s">
        <v>706</v>
      </c>
      <c r="K169" s="215"/>
      <c r="L169" s="54" t="s">
        <v>705</v>
      </c>
      <c r="M169" s="217">
        <v>18.2</v>
      </c>
      <c r="N169" s="214">
        <f>主要材料预算!$D$20</f>
        <v>5.77</v>
      </c>
      <c r="O169" s="216">
        <f t="shared" ref="O169:O175" si="11">M169*N169</f>
        <v>105.014</v>
      </c>
    </row>
    <row r="170" customHeight="1" spans="1:15">
      <c r="A170" s="204"/>
      <c r="B170" s="215" t="s">
        <v>1008</v>
      </c>
      <c r="C170" s="215"/>
      <c r="D170" s="54" t="s">
        <v>894</v>
      </c>
      <c r="E170" s="214">
        <f>G166+G171</f>
        <v>590.463141669605</v>
      </c>
      <c r="F170" s="229">
        <v>5</v>
      </c>
      <c r="G170" s="216">
        <f>E170*F170/100</f>
        <v>29.5231570834803</v>
      </c>
      <c r="I170" s="204" t="s">
        <v>19</v>
      </c>
      <c r="J170" s="218" t="s">
        <v>511</v>
      </c>
      <c r="K170" s="219"/>
      <c r="L170" s="54"/>
      <c r="M170" s="214"/>
      <c r="N170" s="214"/>
      <c r="O170" s="216">
        <f>O171</f>
        <v>16.2763022975221</v>
      </c>
    </row>
    <row r="171" customHeight="1" spans="1:15">
      <c r="A171" s="204" t="s">
        <v>21</v>
      </c>
      <c r="B171" s="215" t="s">
        <v>895</v>
      </c>
      <c r="C171" s="215"/>
      <c r="D171" s="215"/>
      <c r="E171" s="214"/>
      <c r="F171" s="214"/>
      <c r="G171" s="216">
        <f>SUM(G172:G174)</f>
        <v>547.932471669605</v>
      </c>
      <c r="I171" s="204"/>
      <c r="J171" s="215" t="s">
        <v>1008</v>
      </c>
      <c r="K171" s="215"/>
      <c r="L171" s="54" t="s">
        <v>894</v>
      </c>
      <c r="M171" s="214">
        <f>O167+O172</f>
        <v>813.815114876107</v>
      </c>
      <c r="N171" s="229">
        <v>2</v>
      </c>
      <c r="O171" s="216">
        <f>M171*N171/100</f>
        <v>16.2763022975221</v>
      </c>
    </row>
    <row r="172" customHeight="1" spans="1:15">
      <c r="A172" s="204"/>
      <c r="B172" s="218" t="s">
        <v>1325</v>
      </c>
      <c r="C172" s="219"/>
      <c r="D172" s="54" t="s">
        <v>896</v>
      </c>
      <c r="E172" s="214">
        <f>1.61*0.91</f>
        <v>1.4651</v>
      </c>
      <c r="F172" s="214">
        <f>施工机械台时费!$E$4</f>
        <v>93.2271643398484</v>
      </c>
      <c r="G172" s="216">
        <f t="shared" ref="G172:G177" si="12">E172*F172</f>
        <v>136.587118474312</v>
      </c>
      <c r="I172" s="204" t="s">
        <v>21</v>
      </c>
      <c r="J172" s="215" t="s">
        <v>895</v>
      </c>
      <c r="K172" s="215"/>
      <c r="L172" s="215"/>
      <c r="M172" s="214"/>
      <c r="N172" s="214"/>
      <c r="O172" s="216">
        <f>SUM(O173:O175)</f>
        <v>708.801114876107</v>
      </c>
    </row>
    <row r="173" customHeight="1" spans="1:15">
      <c r="A173" s="204"/>
      <c r="B173" s="218" t="s">
        <v>1339</v>
      </c>
      <c r="C173" s="219"/>
      <c r="D173" s="54" t="s">
        <v>896</v>
      </c>
      <c r="E173" s="214">
        <f>0.81*0.91</f>
        <v>0.7371</v>
      </c>
      <c r="F173" s="214">
        <f>施工机械台时费!$E$12</f>
        <v>66.3822584762664</v>
      </c>
      <c r="G173" s="216">
        <f t="shared" si="12"/>
        <v>48.930362722856</v>
      </c>
      <c r="I173" s="204"/>
      <c r="J173" s="218" t="s">
        <v>1325</v>
      </c>
      <c r="K173" s="219"/>
      <c r="L173" s="54" t="s">
        <v>896</v>
      </c>
      <c r="M173" s="214">
        <v>2.74</v>
      </c>
      <c r="N173" s="214">
        <f>施工机械台时费!$E$4</f>
        <v>93.2271643398484</v>
      </c>
      <c r="O173" s="216">
        <f t="shared" si="11"/>
        <v>255.442430291185</v>
      </c>
    </row>
    <row r="174" customHeight="1" spans="1:15">
      <c r="A174" s="204"/>
      <c r="B174" s="218" t="s">
        <v>1340</v>
      </c>
      <c r="C174" s="219"/>
      <c r="D174" s="54" t="s">
        <v>896</v>
      </c>
      <c r="E174" s="214">
        <f>9.04*0.91</f>
        <v>8.2264</v>
      </c>
      <c r="F174" s="214">
        <f>施工机械台时费!$E$30</f>
        <v>44.0551140805744</v>
      </c>
      <c r="G174" s="216">
        <f t="shared" si="12"/>
        <v>362.414990472437</v>
      </c>
      <c r="I174" s="204"/>
      <c r="J174" s="218" t="s">
        <v>1339</v>
      </c>
      <c r="K174" s="219"/>
      <c r="L174" s="54" t="s">
        <v>896</v>
      </c>
      <c r="M174" s="214">
        <v>1.37</v>
      </c>
      <c r="N174" s="214">
        <f>施工机械台时费!$E$12</f>
        <v>66.3822584762664</v>
      </c>
      <c r="O174" s="216">
        <f t="shared" si="11"/>
        <v>90.943694112485</v>
      </c>
    </row>
    <row r="175" customHeight="1" spans="1:15">
      <c r="A175" s="204" t="s">
        <v>905</v>
      </c>
      <c r="B175" s="215" t="s">
        <v>514</v>
      </c>
      <c r="C175" s="215"/>
      <c r="D175" s="54"/>
      <c r="E175" s="220">
        <f>G165</f>
        <v>619.986298753085</v>
      </c>
      <c r="F175" s="221">
        <f>费率表!$C$4</f>
        <v>0.048</v>
      </c>
      <c r="G175" s="216">
        <f t="shared" si="12"/>
        <v>29.7593423401481</v>
      </c>
      <c r="I175" s="204"/>
      <c r="J175" s="218" t="s">
        <v>1340</v>
      </c>
      <c r="K175" s="219"/>
      <c r="L175" s="54" t="s">
        <v>896</v>
      </c>
      <c r="M175" s="214">
        <f>9.04*0.91</f>
        <v>8.2264</v>
      </c>
      <c r="N175" s="214">
        <f>施工机械台时费!$E$30</f>
        <v>44.0551140805744</v>
      </c>
      <c r="O175" s="216">
        <f t="shared" si="11"/>
        <v>362.414990472437</v>
      </c>
    </row>
    <row r="176" customHeight="1" spans="1:15">
      <c r="A176" s="204" t="s">
        <v>10</v>
      </c>
      <c r="B176" s="215" t="s">
        <v>770</v>
      </c>
      <c r="C176" s="215"/>
      <c r="D176" s="54"/>
      <c r="E176" s="214">
        <f>G164</f>
        <v>649.745641093233</v>
      </c>
      <c r="F176" s="222">
        <f>费率表!$C$5</f>
        <v>0.045</v>
      </c>
      <c r="G176" s="216">
        <f t="shared" si="12"/>
        <v>29.2385538491955</v>
      </c>
      <c r="I176" s="204" t="s">
        <v>905</v>
      </c>
      <c r="J176" s="215" t="s">
        <v>514</v>
      </c>
      <c r="K176" s="215"/>
      <c r="L176" s="54"/>
      <c r="M176" s="220">
        <f>O166</f>
        <v>830.091417173629</v>
      </c>
      <c r="N176" s="221">
        <f>费率表!$C$4</f>
        <v>0.048</v>
      </c>
      <c r="O176" s="216">
        <f t="shared" ref="O173:O178" si="13">M176*N176</f>
        <v>39.8443880243342</v>
      </c>
    </row>
    <row r="177" customHeight="1" spans="1:15">
      <c r="A177" s="204" t="s">
        <v>12</v>
      </c>
      <c r="B177" s="215" t="s">
        <v>771</v>
      </c>
      <c r="C177" s="215"/>
      <c r="D177" s="54"/>
      <c r="E177" s="214">
        <f>G164+G176</f>
        <v>678.984194942429</v>
      </c>
      <c r="F177" s="222">
        <f>费率表!$C$6</f>
        <v>0.07</v>
      </c>
      <c r="G177" s="216">
        <f t="shared" si="12"/>
        <v>47.52889364597</v>
      </c>
      <c r="I177" s="204" t="s">
        <v>10</v>
      </c>
      <c r="J177" s="215" t="s">
        <v>770</v>
      </c>
      <c r="K177" s="215"/>
      <c r="L177" s="54"/>
      <c r="M177" s="214">
        <f>O165</f>
        <v>869.935805197963</v>
      </c>
      <c r="N177" s="222">
        <v>0.09</v>
      </c>
      <c r="O177" s="216">
        <f t="shared" si="13"/>
        <v>78.2942224678167</v>
      </c>
    </row>
    <row r="178" customHeight="1" spans="1:15">
      <c r="A178" s="204" t="s">
        <v>15</v>
      </c>
      <c r="B178" s="218" t="s">
        <v>517</v>
      </c>
      <c r="C178" s="219"/>
      <c r="D178" s="54"/>
      <c r="E178" s="214"/>
      <c r="F178" s="230"/>
      <c r="G178" s="216">
        <f>G180</f>
        <v>132.556793276471</v>
      </c>
      <c r="I178" s="204" t="s">
        <v>12</v>
      </c>
      <c r="J178" s="215" t="s">
        <v>771</v>
      </c>
      <c r="K178" s="215"/>
      <c r="L178" s="54"/>
      <c r="M178" s="214">
        <f>O165+O177</f>
        <v>948.23002766578</v>
      </c>
      <c r="N178" s="222">
        <f>费率表!$C$6</f>
        <v>0.07</v>
      </c>
      <c r="O178" s="216">
        <f t="shared" si="13"/>
        <v>66.3761019366046</v>
      </c>
    </row>
    <row r="179" customHeight="1" spans="1:15">
      <c r="A179" s="204"/>
      <c r="B179" s="218" t="s">
        <v>696</v>
      </c>
      <c r="C179" s="219"/>
      <c r="D179" s="54" t="s">
        <v>695</v>
      </c>
      <c r="E179" s="214">
        <f>E174*施工机械台时费!$K$30</f>
        <v>63.34328</v>
      </c>
      <c r="F179" s="214">
        <f>主要材料预算!$N$14</f>
        <v>7.8077586206897</v>
      </c>
      <c r="G179" s="216">
        <f t="shared" ref="G179:G182" si="14">E179*F179</f>
        <v>494.569040482761</v>
      </c>
      <c r="I179" s="204" t="s">
        <v>15</v>
      </c>
      <c r="J179" s="218" t="s">
        <v>517</v>
      </c>
      <c r="K179" s="219"/>
      <c r="L179" s="54"/>
      <c r="M179" s="214"/>
      <c r="N179" s="230"/>
      <c r="O179" s="216">
        <f>O181</f>
        <v>247.471724585834</v>
      </c>
    </row>
    <row r="180" customHeight="1" spans="1:15">
      <c r="A180" s="204"/>
      <c r="B180" s="218" t="s">
        <v>694</v>
      </c>
      <c r="C180" s="219"/>
      <c r="D180" s="54" t="s">
        <v>695</v>
      </c>
      <c r="E180" s="214">
        <f>E172*施工机械台时费!$L$4+维修!E173*施工机械台时费!$L$12</f>
        <v>21.86821</v>
      </c>
      <c r="F180" s="214">
        <f>主要材料预算!$N$13</f>
        <v>6.0616206482593</v>
      </c>
      <c r="G180" s="216">
        <f t="shared" si="14"/>
        <v>132.556793276471</v>
      </c>
      <c r="I180" s="204"/>
      <c r="J180" s="218" t="s">
        <v>696</v>
      </c>
      <c r="K180" s="219"/>
      <c r="L180" s="54" t="s">
        <v>695</v>
      </c>
      <c r="M180" s="214">
        <f>M175*施工机械台时费!$K$30</f>
        <v>63.34328</v>
      </c>
      <c r="N180" s="214">
        <f>主要材料预算!$N$14</f>
        <v>7.8077586206897</v>
      </c>
      <c r="O180" s="216">
        <f>M180*N180</f>
        <v>494.569040482761</v>
      </c>
    </row>
    <row r="181" customHeight="1" spans="1:15">
      <c r="A181" s="204" t="s">
        <v>906</v>
      </c>
      <c r="B181" s="215" t="s">
        <v>772</v>
      </c>
      <c r="C181" s="215"/>
      <c r="D181" s="54"/>
      <c r="E181" s="214">
        <f>G164+G176+G177+G178</f>
        <v>859.069881864869</v>
      </c>
      <c r="F181" s="222">
        <f>费率表!$C$7</f>
        <v>0.09</v>
      </c>
      <c r="G181" s="216">
        <f t="shared" si="14"/>
        <v>77.3162893678382</v>
      </c>
      <c r="I181" s="204"/>
      <c r="J181" s="218" t="s">
        <v>694</v>
      </c>
      <c r="K181" s="219"/>
      <c r="L181" s="54" t="s">
        <v>695</v>
      </c>
      <c r="M181" s="214">
        <f>M173*施工机械台时费!$L$4+维修!M174*施工机械台时费!$L$12</f>
        <v>40.826</v>
      </c>
      <c r="N181" s="214">
        <f>主要材料预算!$N$13</f>
        <v>6.0616206482593</v>
      </c>
      <c r="O181" s="216">
        <f>M181*N181</f>
        <v>247.471724585834</v>
      </c>
    </row>
    <row r="182" customHeight="1" spans="1:15">
      <c r="A182" s="204"/>
      <c r="B182" s="215" t="s">
        <v>907</v>
      </c>
      <c r="C182" s="215"/>
      <c r="D182" s="54"/>
      <c r="E182" s="214">
        <f>G164+G176+G177+G178+G181</f>
        <v>936.386171232707</v>
      </c>
      <c r="F182" s="222">
        <f>费率表!$B$19</f>
        <v>0.03</v>
      </c>
      <c r="G182" s="216">
        <f t="shared" si="14"/>
        <v>28.0915851369812</v>
      </c>
      <c r="I182" s="204" t="s">
        <v>906</v>
      </c>
      <c r="J182" s="215" t="s">
        <v>772</v>
      </c>
      <c r="K182" s="215"/>
      <c r="L182" s="54"/>
      <c r="M182" s="214">
        <f>O165+O177+O178+O179</f>
        <v>1262.07785418822</v>
      </c>
      <c r="N182" s="222">
        <f>费率表!$C$7</f>
        <v>0.09</v>
      </c>
      <c r="O182" s="216">
        <f t="shared" ref="O180:O183" si="15">M182*N182</f>
        <v>113.58700687694</v>
      </c>
    </row>
    <row r="183" customHeight="1" spans="1:15">
      <c r="A183" s="223"/>
      <c r="B183" s="224" t="s">
        <v>39</v>
      </c>
      <c r="C183" s="224"/>
      <c r="D183" s="224"/>
      <c r="E183" s="225"/>
      <c r="F183" s="224"/>
      <c r="G183" s="226">
        <f>G164+G176+G177+G178+G181+G182</f>
        <v>964.477756369688</v>
      </c>
      <c r="I183" s="204"/>
      <c r="J183" s="215" t="s">
        <v>907</v>
      </c>
      <c r="K183" s="215"/>
      <c r="L183" s="54"/>
      <c r="M183" s="214">
        <f>O165+O177+O178+O179+O182</f>
        <v>1375.66486106516</v>
      </c>
      <c r="N183" s="222">
        <f>费率表!$B$19</f>
        <v>0.03</v>
      </c>
      <c r="O183" s="216">
        <f t="shared" si="15"/>
        <v>41.2699458319547</v>
      </c>
    </row>
    <row r="184" customHeight="1" spans="1:15">
      <c r="I184" s="223"/>
      <c r="J184" s="224" t="s">
        <v>39</v>
      </c>
      <c r="K184" s="224"/>
      <c r="L184" s="224"/>
      <c r="M184" s="225"/>
      <c r="N184" s="224"/>
      <c r="O184" s="226">
        <f>O165+O177+O178+O179+O182+O183</f>
        <v>1416.93480689711</v>
      </c>
    </row>
    <row r="185" customHeight="1" spans="1:15">
      <c r="A185" s="198" t="s">
        <v>868</v>
      </c>
      <c r="B185" s="198"/>
      <c r="C185" s="198"/>
      <c r="D185" s="198"/>
      <c r="E185" s="198"/>
      <c r="F185" s="198"/>
      <c r="G185" s="198"/>
    </row>
    <row r="186" customHeight="1" spans="1:15">
      <c r="A186" s="199" t="s">
        <v>869</v>
      </c>
      <c r="B186" s="200"/>
      <c r="C186" s="200"/>
      <c r="D186" s="200" t="s">
        <v>870</v>
      </c>
      <c r="E186" s="201" t="s">
        <v>1341</v>
      </c>
      <c r="F186" s="202"/>
      <c r="G186" s="203"/>
    </row>
    <row r="187" customHeight="1" spans="1:15">
      <c r="A187" s="204" t="s">
        <v>507</v>
      </c>
      <c r="B187" s="205"/>
      <c r="C187" s="206" t="s">
        <v>1342</v>
      </c>
      <c r="D187" s="206"/>
      <c r="E187" s="206"/>
      <c r="F187" s="54" t="s">
        <v>873</v>
      </c>
      <c r="G187" s="207" t="s">
        <v>874</v>
      </c>
    </row>
    <row r="188" customHeight="1" spans="1:15">
      <c r="A188" s="208" t="s">
        <v>1337</v>
      </c>
      <c r="B188" s="206"/>
      <c r="C188" s="206"/>
      <c r="D188" s="206"/>
      <c r="E188" s="206"/>
      <c r="F188" s="206"/>
      <c r="G188" s="209"/>
    </row>
    <row r="189" customHeight="1" spans="1:15">
      <c r="A189" s="210" t="s">
        <v>1098</v>
      </c>
      <c r="B189" s="211"/>
      <c r="C189" s="212"/>
      <c r="D189" s="212"/>
      <c r="E189" s="212"/>
      <c r="F189" s="212"/>
      <c r="G189" s="213"/>
    </row>
    <row r="190" customHeight="1" spans="1:15">
      <c r="A190" s="204" t="s">
        <v>34</v>
      </c>
      <c r="B190" s="54" t="s">
        <v>761</v>
      </c>
      <c r="C190" s="54"/>
      <c r="D190" s="54" t="s">
        <v>60</v>
      </c>
      <c r="E190" s="214" t="s">
        <v>877</v>
      </c>
      <c r="F190" s="54" t="s">
        <v>878</v>
      </c>
      <c r="G190" s="207" t="s">
        <v>879</v>
      </c>
    </row>
    <row r="191" customHeight="1" spans="1:15">
      <c r="A191" s="204" t="s">
        <v>8</v>
      </c>
      <c r="B191" s="215" t="s">
        <v>880</v>
      </c>
      <c r="C191" s="215"/>
      <c r="D191" s="54"/>
      <c r="E191" s="214"/>
      <c r="F191" s="214"/>
      <c r="G191" s="216">
        <f>G192+G202</f>
        <v>788.26738559764</v>
      </c>
    </row>
    <row r="192" customHeight="1" spans="1:15">
      <c r="A192" s="204" t="s">
        <v>881</v>
      </c>
      <c r="B192" s="215" t="s">
        <v>882</v>
      </c>
      <c r="C192" s="215"/>
      <c r="D192" s="54"/>
      <c r="E192" s="214"/>
      <c r="F192" s="214"/>
      <c r="G192" s="216">
        <f>G193+G196+G198</f>
        <v>752.16353587561</v>
      </c>
    </row>
    <row r="193" customHeight="1" spans="1:7">
      <c r="A193" s="204" t="s">
        <v>17</v>
      </c>
      <c r="B193" s="215" t="s">
        <v>510</v>
      </c>
      <c r="C193" s="215"/>
      <c r="D193" s="54"/>
      <c r="E193" s="214"/>
      <c r="F193" s="214"/>
      <c r="G193" s="216">
        <f>SUM(G194:G195)</f>
        <v>42.53067</v>
      </c>
    </row>
    <row r="194" customHeight="1" spans="1:7">
      <c r="A194" s="204"/>
      <c r="B194" s="215" t="s">
        <v>704</v>
      </c>
      <c r="C194" s="215"/>
      <c r="D194" s="54" t="s">
        <v>705</v>
      </c>
      <c r="E194" s="214"/>
      <c r="F194" s="214"/>
      <c r="G194" s="216"/>
    </row>
    <row r="195" customHeight="1" spans="1:7">
      <c r="A195" s="204"/>
      <c r="B195" s="215" t="s">
        <v>706</v>
      </c>
      <c r="C195" s="215"/>
      <c r="D195" s="54" t="s">
        <v>705</v>
      </c>
      <c r="E195" s="217">
        <f>8.1*0.91</f>
        <v>7.371</v>
      </c>
      <c r="F195" s="214">
        <f>主要材料预算!$D$20</f>
        <v>5.77</v>
      </c>
      <c r="G195" s="216">
        <f>E195*F195</f>
        <v>42.53067</v>
      </c>
    </row>
    <row r="196" customHeight="1" spans="1:7">
      <c r="A196" s="204" t="s">
        <v>19</v>
      </c>
      <c r="B196" s="218" t="s">
        <v>511</v>
      </c>
      <c r="C196" s="219"/>
      <c r="D196" s="54"/>
      <c r="E196" s="214"/>
      <c r="F196" s="214"/>
      <c r="G196" s="216">
        <f>G197</f>
        <v>35.8173112321719</v>
      </c>
    </row>
    <row r="197" customHeight="1" spans="1:7">
      <c r="A197" s="204"/>
      <c r="B197" s="215" t="s">
        <v>1008</v>
      </c>
      <c r="C197" s="215"/>
      <c r="D197" s="54" t="s">
        <v>894</v>
      </c>
      <c r="E197" s="214">
        <f>G193+G198</f>
        <v>716.346224643438</v>
      </c>
      <c r="F197" s="229">
        <v>5</v>
      </c>
      <c r="G197" s="216">
        <f>E197*F197/100</f>
        <v>35.8173112321719</v>
      </c>
    </row>
    <row r="198" customHeight="1" spans="1:7">
      <c r="A198" s="204" t="s">
        <v>21</v>
      </c>
      <c r="B198" s="215" t="s">
        <v>895</v>
      </c>
      <c r="C198" s="215"/>
      <c r="D198" s="215"/>
      <c r="E198" s="214"/>
      <c r="F198" s="214"/>
      <c r="G198" s="216">
        <f>SUM(G199:G201)</f>
        <v>673.815554643438</v>
      </c>
    </row>
    <row r="199" customHeight="1" spans="1:7">
      <c r="A199" s="204"/>
      <c r="B199" s="218" t="s">
        <v>1325</v>
      </c>
      <c r="C199" s="219"/>
      <c r="D199" s="54" t="s">
        <v>896</v>
      </c>
      <c r="E199" s="214">
        <f>1.61*0.91</f>
        <v>1.4651</v>
      </c>
      <c r="F199" s="214">
        <f>施工机械台时费!$E$4</f>
        <v>93.2271643398484</v>
      </c>
      <c r="G199" s="216">
        <f t="shared" ref="G199:G204" si="16">E199*F199</f>
        <v>136.587118474312</v>
      </c>
    </row>
    <row r="200" customHeight="1" spans="1:7">
      <c r="A200" s="204"/>
      <c r="B200" s="218" t="s">
        <v>1339</v>
      </c>
      <c r="C200" s="219"/>
      <c r="D200" s="54" t="s">
        <v>896</v>
      </c>
      <c r="E200" s="214">
        <f>0.81*0.91</f>
        <v>0.7371</v>
      </c>
      <c r="F200" s="214">
        <f>施工机械台时费!$E$12</f>
        <v>66.3822584762664</v>
      </c>
      <c r="G200" s="216">
        <f t="shared" si="16"/>
        <v>48.930362722856</v>
      </c>
    </row>
    <row r="201" customHeight="1" spans="1:7">
      <c r="A201" s="204"/>
      <c r="B201" s="218" t="s">
        <v>1340</v>
      </c>
      <c r="C201" s="219"/>
      <c r="D201" s="54" t="s">
        <v>896</v>
      </c>
      <c r="E201" s="214">
        <f>12.18*0.91</f>
        <v>11.0838</v>
      </c>
      <c r="F201" s="214">
        <f>施工机械台时费!$E$30</f>
        <v>44.0551140805744</v>
      </c>
      <c r="G201" s="216">
        <f t="shared" si="16"/>
        <v>488.298073446271</v>
      </c>
    </row>
    <row r="202" customHeight="1" spans="1:7">
      <c r="A202" s="204" t="s">
        <v>905</v>
      </c>
      <c r="B202" s="215" t="s">
        <v>514</v>
      </c>
      <c r="C202" s="215"/>
      <c r="D202" s="54"/>
      <c r="E202" s="220">
        <f>G192</f>
        <v>752.16353587561</v>
      </c>
      <c r="F202" s="221">
        <f>费率表!$C$4</f>
        <v>0.048</v>
      </c>
      <c r="G202" s="216">
        <f t="shared" si="16"/>
        <v>36.1038497220293</v>
      </c>
    </row>
    <row r="203" customHeight="1" spans="1:7">
      <c r="A203" s="204" t="s">
        <v>10</v>
      </c>
      <c r="B203" s="215" t="s">
        <v>770</v>
      </c>
      <c r="C203" s="215"/>
      <c r="D203" s="54"/>
      <c r="E203" s="214">
        <f>G191</f>
        <v>788.26738559764</v>
      </c>
      <c r="F203" s="222">
        <f>费率表!$C$5</f>
        <v>0.045</v>
      </c>
      <c r="G203" s="216">
        <f t="shared" si="16"/>
        <v>35.4720323518938</v>
      </c>
    </row>
    <row r="204" customHeight="1" spans="1:7">
      <c r="A204" s="204" t="s">
        <v>12</v>
      </c>
      <c r="B204" s="215" t="s">
        <v>771</v>
      </c>
      <c r="C204" s="215"/>
      <c r="D204" s="54"/>
      <c r="E204" s="214">
        <f>G191+G203</f>
        <v>823.739417949533</v>
      </c>
      <c r="F204" s="222">
        <f>费率表!$C$6</f>
        <v>0.07</v>
      </c>
      <c r="G204" s="216">
        <f t="shared" si="16"/>
        <v>57.6617592564673</v>
      </c>
    </row>
    <row r="205" customHeight="1" spans="1:7">
      <c r="A205" s="204" t="s">
        <v>15</v>
      </c>
      <c r="B205" s="218" t="s">
        <v>517</v>
      </c>
      <c r="C205" s="219"/>
      <c r="D205" s="54"/>
      <c r="E205" s="214"/>
      <c r="F205" s="230"/>
      <c r="G205" s="216">
        <f>G207</f>
        <v>132.556793276471</v>
      </c>
    </row>
    <row r="206" customHeight="1" spans="1:7">
      <c r="A206" s="204"/>
      <c r="B206" s="218" t="s">
        <v>696</v>
      </c>
      <c r="C206" s="219"/>
      <c r="D206" s="54" t="s">
        <v>695</v>
      </c>
      <c r="E206" s="214">
        <f>E201*施工机械台时费!$K$30</f>
        <v>85.34526</v>
      </c>
      <c r="F206" s="214">
        <f>主要材料预算!$N$14</f>
        <v>7.8077586206897</v>
      </c>
      <c r="G206" s="216">
        <f t="shared" ref="G206:G209" si="17">E206*F206</f>
        <v>666.355189500004</v>
      </c>
    </row>
    <row r="207" customHeight="1" spans="1:7">
      <c r="A207" s="204"/>
      <c r="B207" s="218" t="s">
        <v>694</v>
      </c>
      <c r="C207" s="219"/>
      <c r="D207" s="54" t="s">
        <v>695</v>
      </c>
      <c r="E207" s="214">
        <f>E199*施工机械台时费!$L$4+维修!E200*施工机械台时费!$L$12</f>
        <v>21.86821</v>
      </c>
      <c r="F207" s="214">
        <f>主要材料预算!$N$13</f>
        <v>6.0616206482593</v>
      </c>
      <c r="G207" s="216">
        <f t="shared" si="17"/>
        <v>132.556793276471</v>
      </c>
    </row>
    <row r="208" customHeight="1" spans="1:7">
      <c r="A208" s="204" t="s">
        <v>906</v>
      </c>
      <c r="B208" s="215" t="s">
        <v>772</v>
      </c>
      <c r="C208" s="215"/>
      <c r="D208" s="54"/>
      <c r="E208" s="214">
        <f>G191+G203+G204+G205</f>
        <v>1013.95797048247</v>
      </c>
      <c r="F208" s="222">
        <f>费率表!$C$7</f>
        <v>0.09</v>
      </c>
      <c r="G208" s="216">
        <f t="shared" si="17"/>
        <v>91.2562173434224</v>
      </c>
    </row>
    <row r="209" customHeight="1" spans="1:30">
      <c r="A209" s="204"/>
      <c r="B209" s="215" t="s">
        <v>907</v>
      </c>
      <c r="C209" s="215"/>
      <c r="D209" s="54"/>
      <c r="E209" s="214">
        <f>G191+G203+G204+G205+G208</f>
        <v>1105.21418782589</v>
      </c>
      <c r="F209" s="222">
        <f>费率表!$B$19</f>
        <v>0.03</v>
      </c>
      <c r="G209" s="216">
        <f t="shared" si="17"/>
        <v>33.1564256347768</v>
      </c>
    </row>
    <row r="210" customHeight="1" spans="1:30">
      <c r="A210" s="223"/>
      <c r="B210" s="224" t="s">
        <v>39</v>
      </c>
      <c r="C210" s="224"/>
      <c r="D210" s="224"/>
      <c r="E210" s="225"/>
      <c r="F210" s="224"/>
      <c r="G210" s="226">
        <f>G191+G203+G204+G205+G208+G209</f>
        <v>1138.37061346067</v>
      </c>
    </row>
    <row r="211" s="91" customFormat="1" customHeight="1" spans="1:30">
      <c r="A211" s="123"/>
      <c r="B211" s="123"/>
      <c r="C211" s="123"/>
      <c r="D211" s="123"/>
      <c r="E211" s="124"/>
      <c r="F211" s="123"/>
      <c r="G211" s="124"/>
      <c r="S211" s="231"/>
      <c r="T211" s="231"/>
      <c r="U211" s="231"/>
      <c r="V211" s="231"/>
      <c r="W211" s="231"/>
      <c r="X211" s="231"/>
      <c r="Y211" s="231"/>
      <c r="Z211" s="231"/>
      <c r="AA211" s="231"/>
      <c r="AB211" s="231"/>
      <c r="AC211" s="231"/>
      <c r="AD211" s="231"/>
    </row>
    <row r="212" customHeight="1" spans="1:30">
      <c r="A212" s="198" t="s">
        <v>868</v>
      </c>
      <c r="B212" s="198"/>
      <c r="C212" s="198"/>
      <c r="D212" s="198"/>
      <c r="E212" s="198"/>
      <c r="F212" s="198"/>
      <c r="G212" s="198"/>
    </row>
    <row r="213" s="91" customFormat="1" customHeight="1" spans="1:30">
      <c r="A213" s="199" t="s">
        <v>869</v>
      </c>
      <c r="B213" s="200"/>
      <c r="C213" s="200"/>
      <c r="D213" s="200" t="s">
        <v>870</v>
      </c>
      <c r="E213" s="201" t="s">
        <v>1343</v>
      </c>
      <c r="F213" s="202"/>
      <c r="G213" s="203"/>
      <c r="S213" s="231"/>
      <c r="T213" s="231"/>
      <c r="U213" s="231"/>
      <c r="V213" s="231"/>
      <c r="W213" s="231"/>
      <c r="X213" s="231"/>
      <c r="Y213" s="231"/>
      <c r="Z213" s="231"/>
      <c r="AA213" s="231"/>
      <c r="AB213" s="231"/>
      <c r="AC213" s="231"/>
      <c r="AD213" s="231"/>
    </row>
    <row r="214" s="91" customFormat="1" customHeight="1" spans="1:30">
      <c r="A214" s="204" t="s">
        <v>507</v>
      </c>
      <c r="B214" s="205"/>
      <c r="C214" s="206" t="s">
        <v>1342</v>
      </c>
      <c r="D214" s="206"/>
      <c r="E214" s="206"/>
      <c r="F214" s="54" t="s">
        <v>873</v>
      </c>
      <c r="G214" s="207" t="s">
        <v>874</v>
      </c>
      <c r="S214" s="231"/>
      <c r="T214" s="231"/>
      <c r="U214" s="231"/>
      <c r="V214" s="231"/>
      <c r="W214" s="231"/>
      <c r="X214" s="231"/>
      <c r="Y214" s="231"/>
      <c r="Z214" s="231"/>
      <c r="AA214" s="231"/>
      <c r="AB214" s="231"/>
      <c r="AC214" s="231"/>
      <c r="AD214" s="231"/>
    </row>
    <row r="215" s="91" customFormat="1" customHeight="1" spans="1:30">
      <c r="A215" s="208" t="s">
        <v>1337</v>
      </c>
      <c r="B215" s="206"/>
      <c r="C215" s="206"/>
      <c r="D215" s="206"/>
      <c r="E215" s="206"/>
      <c r="F215" s="206"/>
      <c r="G215" s="209"/>
      <c r="S215" s="231"/>
      <c r="T215" s="231"/>
      <c r="U215" s="231"/>
      <c r="V215" s="231"/>
      <c r="W215" s="231"/>
      <c r="X215" s="231"/>
      <c r="Y215" s="231"/>
      <c r="Z215" s="231"/>
      <c r="AA215" s="231"/>
      <c r="AB215" s="231"/>
      <c r="AC215" s="231"/>
      <c r="AD215" s="231"/>
    </row>
    <row r="216" s="91" customFormat="1" customHeight="1" spans="1:30">
      <c r="A216" s="210" t="s">
        <v>1098</v>
      </c>
      <c r="B216" s="211"/>
      <c r="C216" s="212"/>
      <c r="D216" s="212"/>
      <c r="E216" s="212"/>
      <c r="F216" s="212"/>
      <c r="G216" s="213"/>
      <c r="S216" s="231"/>
      <c r="T216" s="231"/>
      <c r="U216" s="231"/>
      <c r="V216" s="231"/>
      <c r="W216" s="231"/>
      <c r="X216" s="231"/>
      <c r="Y216" s="231"/>
      <c r="Z216" s="231"/>
      <c r="AA216" s="231"/>
      <c r="AB216" s="231"/>
      <c r="AC216" s="231"/>
      <c r="AD216" s="231"/>
    </row>
    <row r="217" s="91" customFormat="1" customHeight="1" spans="1:30">
      <c r="A217" s="204" t="s">
        <v>34</v>
      </c>
      <c r="B217" s="54" t="s">
        <v>761</v>
      </c>
      <c r="C217" s="54"/>
      <c r="D217" s="54" t="s">
        <v>60</v>
      </c>
      <c r="E217" s="214" t="s">
        <v>877</v>
      </c>
      <c r="F217" s="54" t="s">
        <v>878</v>
      </c>
      <c r="G217" s="207" t="s">
        <v>879</v>
      </c>
      <c r="S217" s="231"/>
      <c r="T217" s="231"/>
      <c r="U217" s="231"/>
      <c r="V217" s="231"/>
      <c r="W217" s="231"/>
      <c r="X217" s="231"/>
      <c r="Y217" s="231"/>
      <c r="Z217" s="231"/>
      <c r="AA217" s="231"/>
      <c r="AB217" s="231"/>
      <c r="AC217" s="231"/>
      <c r="AD217" s="231"/>
    </row>
    <row r="218" s="91" customFormat="1" customHeight="1" spans="1:30">
      <c r="A218" s="204" t="s">
        <v>8</v>
      </c>
      <c r="B218" s="215" t="s">
        <v>880</v>
      </c>
      <c r="C218" s="215"/>
      <c r="D218" s="54"/>
      <c r="E218" s="214"/>
      <c r="F218" s="214"/>
      <c r="G218" s="216">
        <f>G219+G229</f>
        <v>1019.87221319259</v>
      </c>
      <c r="S218" s="231"/>
      <c r="T218" s="231"/>
      <c r="U218" s="231"/>
      <c r="V218" s="231"/>
      <c r="W218" s="231"/>
      <c r="X218" s="231"/>
      <c r="Y218" s="231"/>
      <c r="Z218" s="231"/>
      <c r="AA218" s="231"/>
      <c r="AB218" s="231"/>
      <c r="AC218" s="231"/>
      <c r="AD218" s="231"/>
    </row>
    <row r="219" s="91" customFormat="1" customHeight="1" spans="1:30">
      <c r="A219" s="204" t="s">
        <v>881</v>
      </c>
      <c r="B219" s="215" t="s">
        <v>882</v>
      </c>
      <c r="C219" s="215"/>
      <c r="D219" s="54"/>
      <c r="E219" s="214"/>
      <c r="F219" s="214"/>
      <c r="G219" s="216">
        <f>G220+G223+G225</f>
        <v>973.160508771552</v>
      </c>
      <c r="S219" s="231"/>
      <c r="T219" s="231"/>
      <c r="U219" s="231"/>
      <c r="V219" s="231"/>
      <c r="W219" s="231"/>
      <c r="X219" s="231"/>
      <c r="Y219" s="231"/>
      <c r="Z219" s="231"/>
      <c r="AA219" s="231"/>
      <c r="AB219" s="231"/>
      <c r="AC219" s="231"/>
      <c r="AD219" s="231"/>
    </row>
    <row r="220" s="91" customFormat="1" customHeight="1" spans="1:30">
      <c r="A220" s="204" t="s">
        <v>17</v>
      </c>
      <c r="B220" s="215" t="s">
        <v>510</v>
      </c>
      <c r="C220" s="215"/>
      <c r="D220" s="54"/>
      <c r="E220" s="214"/>
      <c r="F220" s="214"/>
      <c r="G220" s="216">
        <f>SUM(G221:G222)</f>
        <v>42.53067</v>
      </c>
      <c r="S220" s="231"/>
      <c r="T220" s="231"/>
      <c r="U220" s="231"/>
      <c r="V220" s="231"/>
      <c r="W220" s="231"/>
      <c r="X220" s="231"/>
      <c r="Y220" s="231"/>
      <c r="Z220" s="231"/>
      <c r="AA220" s="231"/>
      <c r="AB220" s="231"/>
      <c r="AC220" s="231"/>
      <c r="AD220" s="231"/>
    </row>
    <row r="221" s="91" customFormat="1" customHeight="1" spans="1:30">
      <c r="A221" s="204"/>
      <c r="B221" s="215" t="s">
        <v>704</v>
      </c>
      <c r="C221" s="215"/>
      <c r="D221" s="54" t="s">
        <v>705</v>
      </c>
      <c r="E221" s="214"/>
      <c r="F221" s="214"/>
      <c r="G221" s="216"/>
      <c r="S221" s="231"/>
      <c r="T221" s="231"/>
      <c r="U221" s="231"/>
      <c r="V221" s="231"/>
      <c r="W221" s="231"/>
      <c r="X221" s="231"/>
      <c r="Y221" s="231"/>
      <c r="Z221" s="231"/>
      <c r="AA221" s="231"/>
      <c r="AB221" s="231"/>
      <c r="AC221" s="231"/>
      <c r="AD221" s="231"/>
    </row>
    <row r="222" s="91" customFormat="1" customHeight="1" spans="1:30">
      <c r="A222" s="204"/>
      <c r="B222" s="215" t="s">
        <v>706</v>
      </c>
      <c r="C222" s="215"/>
      <c r="D222" s="54" t="s">
        <v>705</v>
      </c>
      <c r="E222" s="217">
        <f>8.1*0.91</f>
        <v>7.371</v>
      </c>
      <c r="F222" s="214">
        <f>主要材料预算!$D$20</f>
        <v>5.77</v>
      </c>
      <c r="G222" s="216">
        <f>E222*F222</f>
        <v>42.53067</v>
      </c>
      <c r="S222" s="231"/>
      <c r="T222" s="231"/>
      <c r="U222" s="231"/>
      <c r="V222" s="231"/>
      <c r="W222" s="231"/>
      <c r="X222" s="231"/>
      <c r="Y222" s="231"/>
      <c r="Z222" s="231"/>
      <c r="AA222" s="231"/>
      <c r="AB222" s="231"/>
      <c r="AC222" s="231"/>
      <c r="AD222" s="231"/>
    </row>
    <row r="223" s="91" customFormat="1" customHeight="1" spans="1:30">
      <c r="A223" s="204" t="s">
        <v>19</v>
      </c>
      <c r="B223" s="218" t="s">
        <v>511</v>
      </c>
      <c r="C223" s="219"/>
      <c r="D223" s="54"/>
      <c r="E223" s="214"/>
      <c r="F223" s="214"/>
      <c r="G223" s="216">
        <f>G224</f>
        <v>46.3409766081691</v>
      </c>
      <c r="S223" s="231"/>
      <c r="T223" s="231"/>
      <c r="U223" s="231"/>
      <c r="V223" s="231"/>
      <c r="W223" s="231"/>
      <c r="X223" s="231"/>
      <c r="Y223" s="231"/>
      <c r="Z223" s="231"/>
      <c r="AA223" s="231"/>
      <c r="AB223" s="231"/>
      <c r="AC223" s="231"/>
      <c r="AD223" s="231"/>
    </row>
    <row r="224" s="91" customFormat="1" customHeight="1" spans="1:30">
      <c r="A224" s="204"/>
      <c r="B224" s="215" t="s">
        <v>1008</v>
      </c>
      <c r="C224" s="215"/>
      <c r="D224" s="54" t="s">
        <v>894</v>
      </c>
      <c r="E224" s="214">
        <f>G220+G225</f>
        <v>926.819532163383</v>
      </c>
      <c r="F224" s="229">
        <v>5</v>
      </c>
      <c r="G224" s="216">
        <f>E224*F224/100</f>
        <v>46.3409766081691</v>
      </c>
      <c r="S224" s="231"/>
      <c r="T224" s="231"/>
      <c r="U224" s="231"/>
      <c r="V224" s="231"/>
      <c r="W224" s="231"/>
      <c r="X224" s="231"/>
      <c r="Y224" s="231"/>
      <c r="Z224" s="231"/>
      <c r="AA224" s="231"/>
      <c r="AB224" s="231"/>
      <c r="AC224" s="231"/>
      <c r="AD224" s="231"/>
    </row>
    <row r="225" s="91" customFormat="1" customHeight="1" spans="1:30">
      <c r="A225" s="204" t="s">
        <v>21</v>
      </c>
      <c r="B225" s="215" t="s">
        <v>895</v>
      </c>
      <c r="C225" s="215"/>
      <c r="D225" s="215"/>
      <c r="E225" s="214"/>
      <c r="F225" s="214"/>
      <c r="G225" s="216">
        <f>SUM(G226:G228)</f>
        <v>884.288862163383</v>
      </c>
      <c r="S225" s="231"/>
      <c r="T225" s="231"/>
      <c r="U225" s="231"/>
      <c r="V225" s="231"/>
      <c r="W225" s="231"/>
      <c r="X225" s="231"/>
      <c r="Y225" s="231"/>
      <c r="Z225" s="231"/>
      <c r="AA225" s="231"/>
      <c r="AB225" s="231"/>
      <c r="AC225" s="231"/>
      <c r="AD225" s="231"/>
    </row>
    <row r="226" s="91" customFormat="1" customHeight="1" spans="1:30">
      <c r="A226" s="204"/>
      <c r="B226" s="218" t="s">
        <v>1325</v>
      </c>
      <c r="C226" s="219"/>
      <c r="D226" s="54" t="s">
        <v>896</v>
      </c>
      <c r="E226" s="214">
        <f>1.61*0.91</f>
        <v>1.4651</v>
      </c>
      <c r="F226" s="214">
        <f>施工机械台时费!$E$4</f>
        <v>93.2271643398484</v>
      </c>
      <c r="G226" s="216">
        <f t="shared" ref="G226:G231" si="18">E226*F226</f>
        <v>136.587118474312</v>
      </c>
      <c r="S226" s="231"/>
      <c r="T226" s="231"/>
      <c r="U226" s="231"/>
      <c r="V226" s="231"/>
      <c r="W226" s="231"/>
      <c r="X226" s="231"/>
      <c r="Y226" s="231"/>
      <c r="Z226" s="231"/>
      <c r="AA226" s="231"/>
      <c r="AB226" s="231"/>
      <c r="AC226" s="231"/>
      <c r="AD226" s="231"/>
    </row>
    <row r="227" s="91" customFormat="1" customHeight="1" spans="1:30">
      <c r="A227" s="204"/>
      <c r="B227" s="218" t="s">
        <v>1339</v>
      </c>
      <c r="C227" s="219"/>
      <c r="D227" s="54" t="s">
        <v>896</v>
      </c>
      <c r="E227" s="214">
        <f>0.81*0.91</f>
        <v>0.7371</v>
      </c>
      <c r="F227" s="214">
        <f>施工机械台时费!$E$12</f>
        <v>66.3822584762664</v>
      </c>
      <c r="G227" s="216">
        <f t="shared" si="18"/>
        <v>48.930362722856</v>
      </c>
      <c r="S227" s="231"/>
      <c r="T227" s="231"/>
      <c r="U227" s="231"/>
      <c r="V227" s="231"/>
      <c r="W227" s="231"/>
      <c r="X227" s="231"/>
      <c r="Y227" s="231"/>
      <c r="Z227" s="231"/>
      <c r="AA227" s="231"/>
      <c r="AB227" s="231"/>
      <c r="AC227" s="231"/>
      <c r="AD227" s="231"/>
    </row>
    <row r="228" s="91" customFormat="1" customHeight="1" spans="1:30">
      <c r="A228" s="204"/>
      <c r="B228" s="218" t="s">
        <v>1340</v>
      </c>
      <c r="C228" s="219"/>
      <c r="D228" s="54" t="s">
        <v>896</v>
      </c>
      <c r="E228" s="214">
        <f>17.43*0.91</f>
        <v>15.8613</v>
      </c>
      <c r="F228" s="214">
        <f>施工机械台时费!$E$30</f>
        <v>44.0551140805744</v>
      </c>
      <c r="G228" s="216">
        <f t="shared" si="18"/>
        <v>698.771380966215</v>
      </c>
      <c r="S228" s="231"/>
      <c r="T228" s="231"/>
      <c r="U228" s="231"/>
      <c r="V228" s="231"/>
      <c r="W228" s="231"/>
      <c r="X228" s="231"/>
      <c r="Y228" s="231"/>
      <c r="Z228" s="231"/>
      <c r="AA228" s="231"/>
      <c r="AB228" s="231"/>
      <c r="AC228" s="231"/>
      <c r="AD228" s="231"/>
    </row>
    <row r="229" s="91" customFormat="1" customHeight="1" spans="1:30">
      <c r="A229" s="204" t="s">
        <v>905</v>
      </c>
      <c r="B229" s="215" t="s">
        <v>514</v>
      </c>
      <c r="C229" s="215"/>
      <c r="D229" s="54"/>
      <c r="E229" s="220">
        <f>G219</f>
        <v>973.160508771552</v>
      </c>
      <c r="F229" s="221">
        <f>费率表!$C$4</f>
        <v>0.048</v>
      </c>
      <c r="G229" s="216">
        <f t="shared" si="18"/>
        <v>46.7117044210345</v>
      </c>
      <c r="S229" s="231"/>
      <c r="T229" s="231"/>
      <c r="U229" s="231"/>
      <c r="V229" s="231"/>
      <c r="W229" s="231"/>
      <c r="X229" s="231"/>
      <c r="Y229" s="231"/>
      <c r="Z229" s="231"/>
      <c r="AA229" s="231"/>
      <c r="AB229" s="231"/>
      <c r="AC229" s="231"/>
      <c r="AD229" s="231"/>
    </row>
    <row r="230" s="91" customFormat="1" customHeight="1" spans="1:30">
      <c r="A230" s="204" t="s">
        <v>10</v>
      </c>
      <c r="B230" s="215" t="s">
        <v>770</v>
      </c>
      <c r="C230" s="215"/>
      <c r="D230" s="54"/>
      <c r="E230" s="214">
        <f>G218</f>
        <v>1019.87221319259</v>
      </c>
      <c r="F230" s="222">
        <f>费率表!$C$5</f>
        <v>0.045</v>
      </c>
      <c r="G230" s="216">
        <f t="shared" si="18"/>
        <v>45.8942495936664</v>
      </c>
      <c r="S230" s="231"/>
      <c r="T230" s="231"/>
      <c r="U230" s="231"/>
      <c r="V230" s="231"/>
      <c r="W230" s="231"/>
      <c r="X230" s="231"/>
      <c r="Y230" s="231"/>
      <c r="Z230" s="231"/>
      <c r="AA230" s="231"/>
      <c r="AB230" s="231"/>
      <c r="AC230" s="231"/>
      <c r="AD230" s="231"/>
    </row>
    <row r="231" s="91" customFormat="1" customHeight="1" spans="1:30">
      <c r="A231" s="204" t="s">
        <v>12</v>
      </c>
      <c r="B231" s="215" t="s">
        <v>771</v>
      </c>
      <c r="C231" s="215"/>
      <c r="D231" s="54"/>
      <c r="E231" s="214">
        <f>G218+G230</f>
        <v>1065.76646278625</v>
      </c>
      <c r="F231" s="222">
        <f>费率表!$C$6</f>
        <v>0.07</v>
      </c>
      <c r="G231" s="216">
        <f t="shared" si="18"/>
        <v>74.6036523950377</v>
      </c>
      <c r="S231" s="231"/>
      <c r="T231" s="231"/>
      <c r="U231" s="231"/>
      <c r="V231" s="231"/>
      <c r="W231" s="231"/>
      <c r="X231" s="231"/>
      <c r="Y231" s="231"/>
      <c r="Z231" s="231"/>
      <c r="AA231" s="231"/>
      <c r="AB231" s="231"/>
      <c r="AC231" s="231"/>
      <c r="AD231" s="231"/>
    </row>
    <row r="232" s="91" customFormat="1" customHeight="1" spans="1:30">
      <c r="A232" s="204" t="s">
        <v>15</v>
      </c>
      <c r="B232" s="218" t="s">
        <v>517</v>
      </c>
      <c r="C232" s="219"/>
      <c r="D232" s="54"/>
      <c r="E232" s="214"/>
      <c r="F232" s="230"/>
      <c r="G232" s="216">
        <f>G234</f>
        <v>132.556793276471</v>
      </c>
      <c r="S232" s="231"/>
      <c r="T232" s="231"/>
      <c r="U232" s="231"/>
      <c r="V232" s="231"/>
      <c r="W232" s="231"/>
      <c r="X232" s="231"/>
      <c r="Y232" s="231"/>
      <c r="Z232" s="231"/>
      <c r="AA232" s="231"/>
      <c r="AB232" s="231"/>
      <c r="AC232" s="231"/>
      <c r="AD232" s="231"/>
    </row>
    <row r="233" s="91" customFormat="1" customHeight="1" spans="1:30">
      <c r="A233" s="204"/>
      <c r="B233" s="218" t="s">
        <v>696</v>
      </c>
      <c r="C233" s="219"/>
      <c r="D233" s="54" t="s">
        <v>695</v>
      </c>
      <c r="E233" s="214">
        <f>E228*施工机械台时费!$K$30</f>
        <v>122.13201</v>
      </c>
      <c r="F233" s="214">
        <f>主要材料预算!$N$14</f>
        <v>7.8077586206897</v>
      </c>
      <c r="G233" s="216">
        <f t="shared" ref="G233:G236" si="19">E233*F233</f>
        <v>953.577253939661</v>
      </c>
      <c r="S233" s="231"/>
      <c r="T233" s="231"/>
      <c r="U233" s="231"/>
      <c r="V233" s="231"/>
      <c r="W233" s="231"/>
      <c r="X233" s="231"/>
      <c r="Y233" s="231"/>
      <c r="Z233" s="231"/>
      <c r="AA233" s="231"/>
      <c r="AB233" s="231"/>
      <c r="AC233" s="231"/>
      <c r="AD233" s="231"/>
    </row>
    <row r="234" s="91" customFormat="1" customHeight="1" spans="1:30">
      <c r="A234" s="204"/>
      <c r="B234" s="218" t="s">
        <v>694</v>
      </c>
      <c r="C234" s="219"/>
      <c r="D234" s="54" t="s">
        <v>695</v>
      </c>
      <c r="E234" s="214">
        <f>E226*施工机械台时费!$L$4+维修!E227*施工机械台时费!$L$12</f>
        <v>21.86821</v>
      </c>
      <c r="F234" s="214">
        <f>主要材料预算!$N$13</f>
        <v>6.0616206482593</v>
      </c>
      <c r="G234" s="216">
        <f t="shared" si="19"/>
        <v>132.556793276471</v>
      </c>
      <c r="S234" s="231"/>
      <c r="T234" s="231"/>
      <c r="U234" s="231"/>
      <c r="V234" s="231"/>
      <c r="W234" s="231"/>
      <c r="X234" s="231"/>
      <c r="Y234" s="231"/>
      <c r="Z234" s="231"/>
      <c r="AA234" s="231"/>
      <c r="AB234" s="231"/>
      <c r="AC234" s="231"/>
      <c r="AD234" s="231"/>
    </row>
    <row r="235" s="91" customFormat="1" customHeight="1" spans="1:30">
      <c r="A235" s="204" t="s">
        <v>906</v>
      </c>
      <c r="B235" s="215" t="s">
        <v>772</v>
      </c>
      <c r="C235" s="215"/>
      <c r="D235" s="54"/>
      <c r="E235" s="214">
        <f>G218+G230+G231+G232</f>
        <v>1272.92690845776</v>
      </c>
      <c r="F235" s="222">
        <f>费率表!$C$7</f>
        <v>0.09</v>
      </c>
      <c r="G235" s="216">
        <f t="shared" si="19"/>
        <v>114.563421761199</v>
      </c>
      <c r="S235" s="231"/>
      <c r="T235" s="231"/>
      <c r="U235" s="231"/>
      <c r="V235" s="231"/>
      <c r="W235" s="231"/>
      <c r="X235" s="231"/>
      <c r="Y235" s="231"/>
      <c r="Z235" s="231"/>
      <c r="AA235" s="231"/>
      <c r="AB235" s="231"/>
      <c r="AC235" s="231"/>
      <c r="AD235" s="231"/>
    </row>
    <row r="236" s="91" customFormat="1" customHeight="1" spans="1:30">
      <c r="A236" s="204"/>
      <c r="B236" s="215" t="s">
        <v>907</v>
      </c>
      <c r="C236" s="215"/>
      <c r="D236" s="54"/>
      <c r="E236" s="214">
        <f>G218+G230+G231+G232+G235</f>
        <v>1387.49033021896</v>
      </c>
      <c r="F236" s="222">
        <f>费率表!$B$19</f>
        <v>0.03</v>
      </c>
      <c r="G236" s="216">
        <f t="shared" si="19"/>
        <v>41.6247099065689</v>
      </c>
      <c r="S236" s="231"/>
      <c r="T236" s="231"/>
      <c r="U236" s="231"/>
      <c r="V236" s="231"/>
      <c r="W236" s="231"/>
      <c r="X236" s="231"/>
      <c r="Y236" s="231"/>
      <c r="Z236" s="231"/>
      <c r="AA236" s="231"/>
      <c r="AB236" s="231"/>
      <c r="AC236" s="231"/>
      <c r="AD236" s="231"/>
    </row>
    <row r="237" s="91" customFormat="1" customHeight="1" spans="1:30">
      <c r="A237" s="223"/>
      <c r="B237" s="224" t="s">
        <v>39</v>
      </c>
      <c r="C237" s="224"/>
      <c r="D237" s="224"/>
      <c r="E237" s="225"/>
      <c r="F237" s="224"/>
      <c r="G237" s="226">
        <f>G218+G230+G231+G232+G235+G236</f>
        <v>1429.11504012553</v>
      </c>
      <c r="S237" s="231"/>
      <c r="T237" s="231"/>
      <c r="U237" s="231"/>
      <c r="V237" s="231"/>
      <c r="W237" s="231"/>
      <c r="X237" s="231"/>
      <c r="Y237" s="231"/>
      <c r="Z237" s="231"/>
      <c r="AA237" s="231"/>
      <c r="AB237" s="231"/>
      <c r="AC237" s="231"/>
      <c r="AD237" s="231"/>
    </row>
    <row r="238" s="91" customFormat="1" customHeight="1" spans="1:30">
      <c r="A238" s="123"/>
      <c r="B238" s="123"/>
      <c r="C238" s="123"/>
      <c r="D238" s="123"/>
      <c r="E238" s="124"/>
      <c r="F238" s="123"/>
      <c r="G238" s="124"/>
      <c r="S238" s="231"/>
      <c r="T238" s="231"/>
      <c r="U238" s="231"/>
      <c r="V238" s="231"/>
      <c r="W238" s="231"/>
      <c r="X238" s="231"/>
      <c r="Y238" s="231"/>
      <c r="Z238" s="231"/>
      <c r="AA238" s="231"/>
      <c r="AB238" s="231"/>
      <c r="AC238" s="231"/>
      <c r="AD238" s="231"/>
    </row>
    <row r="239" customHeight="1" spans="1:30">
      <c r="A239" s="198" t="s">
        <v>868</v>
      </c>
      <c r="B239" s="198"/>
      <c r="C239" s="198"/>
      <c r="D239" s="198"/>
      <c r="E239" s="198"/>
      <c r="F239" s="198"/>
      <c r="G239" s="198"/>
    </row>
    <row r="240" customHeight="1" spans="1:30">
      <c r="A240" s="199" t="s">
        <v>869</v>
      </c>
      <c r="B240" s="200"/>
      <c r="C240" s="200"/>
      <c r="D240" s="200" t="s">
        <v>870</v>
      </c>
      <c r="E240" s="201" t="s">
        <v>1344</v>
      </c>
      <c r="F240" s="202"/>
      <c r="G240" s="203"/>
    </row>
    <row r="241" customHeight="1" spans="1:7">
      <c r="A241" s="204" t="s">
        <v>507</v>
      </c>
      <c r="B241" s="205"/>
      <c r="C241" s="206" t="s">
        <v>1345</v>
      </c>
      <c r="D241" s="206"/>
      <c r="E241" s="206"/>
      <c r="F241" s="54" t="s">
        <v>873</v>
      </c>
      <c r="G241" s="207" t="s">
        <v>874</v>
      </c>
    </row>
    <row r="242" customHeight="1" spans="1:7">
      <c r="A242" s="208" t="s">
        <v>1337</v>
      </c>
      <c r="B242" s="206"/>
      <c r="C242" s="206"/>
      <c r="D242" s="206"/>
      <c r="E242" s="206"/>
      <c r="F242" s="206"/>
      <c r="G242" s="209"/>
    </row>
    <row r="243" customHeight="1" spans="1:7">
      <c r="A243" s="210" t="s">
        <v>1098</v>
      </c>
      <c r="B243" s="211"/>
      <c r="C243" s="212"/>
      <c r="D243" s="212"/>
      <c r="E243" s="212"/>
      <c r="F243" s="212"/>
      <c r="G243" s="213"/>
    </row>
    <row r="244" customHeight="1" spans="1:7">
      <c r="A244" s="204" t="s">
        <v>34</v>
      </c>
      <c r="B244" s="54" t="s">
        <v>761</v>
      </c>
      <c r="C244" s="54"/>
      <c r="D244" s="54" t="s">
        <v>60</v>
      </c>
      <c r="E244" s="214" t="s">
        <v>877</v>
      </c>
      <c r="F244" s="54" t="s">
        <v>878</v>
      </c>
      <c r="G244" s="207" t="s">
        <v>879</v>
      </c>
    </row>
    <row r="245" customHeight="1" spans="1:7">
      <c r="A245" s="204" t="s">
        <v>8</v>
      </c>
      <c r="B245" s="215" t="s">
        <v>880</v>
      </c>
      <c r="C245" s="215"/>
      <c r="D245" s="54"/>
      <c r="E245" s="214"/>
      <c r="F245" s="214"/>
      <c r="G245" s="216">
        <f>G246+G256</f>
        <v>1170.30506311616</v>
      </c>
    </row>
    <row r="246" customHeight="1" spans="1:7">
      <c r="A246" s="204" t="s">
        <v>881</v>
      </c>
      <c r="B246" s="215" t="s">
        <v>882</v>
      </c>
      <c r="C246" s="215"/>
      <c r="D246" s="54"/>
      <c r="E246" s="214"/>
      <c r="F246" s="214"/>
      <c r="G246" s="216">
        <f>G247+G250+G252</f>
        <v>1116.70330450015</v>
      </c>
    </row>
    <row r="247" customHeight="1" spans="1:7">
      <c r="A247" s="204" t="s">
        <v>17</v>
      </c>
      <c r="B247" s="215" t="s">
        <v>510</v>
      </c>
      <c r="C247" s="215"/>
      <c r="D247" s="54"/>
      <c r="E247" s="214"/>
      <c r="F247" s="214"/>
      <c r="G247" s="216">
        <f>SUM(G248:G249)</f>
        <v>42.53067</v>
      </c>
    </row>
    <row r="248" customHeight="1" spans="1:7">
      <c r="A248" s="204"/>
      <c r="B248" s="215" t="s">
        <v>704</v>
      </c>
      <c r="C248" s="215"/>
      <c r="D248" s="54" t="s">
        <v>705</v>
      </c>
      <c r="E248" s="214"/>
      <c r="F248" s="214"/>
      <c r="G248" s="216"/>
    </row>
    <row r="249" customHeight="1" spans="1:7">
      <c r="A249" s="204"/>
      <c r="B249" s="215" t="s">
        <v>706</v>
      </c>
      <c r="C249" s="215"/>
      <c r="D249" s="54" t="s">
        <v>705</v>
      </c>
      <c r="E249" s="217">
        <f>8.1*0.91</f>
        <v>7.371</v>
      </c>
      <c r="F249" s="214">
        <f>主要材料预算!$D$20</f>
        <v>5.77</v>
      </c>
      <c r="G249" s="216">
        <f>E249*F249</f>
        <v>42.53067</v>
      </c>
    </row>
    <row r="250" customHeight="1" spans="1:7">
      <c r="A250" s="204" t="s">
        <v>19</v>
      </c>
      <c r="B250" s="218" t="s">
        <v>511</v>
      </c>
      <c r="C250" s="219"/>
      <c r="D250" s="54"/>
      <c r="E250" s="214"/>
      <c r="F250" s="214"/>
      <c r="G250" s="216">
        <f>G251</f>
        <v>53.1763478333407</v>
      </c>
    </row>
    <row r="251" customHeight="1" spans="1:7">
      <c r="A251" s="204"/>
      <c r="B251" s="215" t="s">
        <v>1008</v>
      </c>
      <c r="C251" s="215"/>
      <c r="D251" s="54" t="s">
        <v>894</v>
      </c>
      <c r="E251" s="214">
        <f>G247+G252</f>
        <v>1063.52695666681</v>
      </c>
      <c r="F251" s="229">
        <v>5</v>
      </c>
      <c r="G251" s="216">
        <f>E251*F251/100</f>
        <v>53.1763478333407</v>
      </c>
    </row>
    <row r="252" customHeight="1" spans="1:7">
      <c r="A252" s="204" t="s">
        <v>21</v>
      </c>
      <c r="B252" s="215" t="s">
        <v>895</v>
      </c>
      <c r="C252" s="215"/>
      <c r="D252" s="215"/>
      <c r="E252" s="214"/>
      <c r="F252" s="214"/>
      <c r="G252" s="216">
        <f>SUM(G253:G255)</f>
        <v>1020.99628666681</v>
      </c>
    </row>
    <row r="253" customHeight="1" spans="1:7">
      <c r="A253" s="204"/>
      <c r="B253" s="218" t="s">
        <v>1325</v>
      </c>
      <c r="C253" s="219"/>
      <c r="D253" s="54" t="s">
        <v>896</v>
      </c>
      <c r="E253" s="214">
        <f>1.61*0.91</f>
        <v>1.4651</v>
      </c>
      <c r="F253" s="214">
        <f>施工机械台时费!$E$4</f>
        <v>93.2271643398484</v>
      </c>
      <c r="G253" s="216">
        <f t="shared" ref="G253:G258" si="20">E253*F253</f>
        <v>136.587118474312</v>
      </c>
    </row>
    <row r="254" customHeight="1" spans="1:7">
      <c r="A254" s="204"/>
      <c r="B254" s="218" t="s">
        <v>1339</v>
      </c>
      <c r="C254" s="219"/>
      <c r="D254" s="54" t="s">
        <v>896</v>
      </c>
      <c r="E254" s="214">
        <f>0.81*0.91</f>
        <v>0.7371</v>
      </c>
      <c r="F254" s="214">
        <f>施工机械台时费!$E$12</f>
        <v>66.3822584762664</v>
      </c>
      <c r="G254" s="216">
        <f t="shared" si="20"/>
        <v>48.930362722856</v>
      </c>
    </row>
    <row r="255" customHeight="1" spans="1:7">
      <c r="A255" s="204"/>
      <c r="B255" s="218" t="s">
        <v>1340</v>
      </c>
      <c r="C255" s="219"/>
      <c r="D255" s="54" t="s">
        <v>896</v>
      </c>
      <c r="E255" s="214">
        <f>20.84*0.91</f>
        <v>18.9644</v>
      </c>
      <c r="F255" s="214">
        <f>施工机械台时费!$E$30</f>
        <v>44.0551140805744</v>
      </c>
      <c r="G255" s="216">
        <f t="shared" si="20"/>
        <v>835.478805469645</v>
      </c>
    </row>
    <row r="256" customHeight="1" spans="1:7">
      <c r="A256" s="204" t="s">
        <v>905</v>
      </c>
      <c r="B256" s="215" t="s">
        <v>514</v>
      </c>
      <c r="C256" s="215"/>
      <c r="D256" s="54"/>
      <c r="E256" s="220">
        <f>G246</f>
        <v>1116.70330450015</v>
      </c>
      <c r="F256" s="221">
        <f>费率表!$C$4</f>
        <v>0.048</v>
      </c>
      <c r="G256" s="216">
        <f t="shared" si="20"/>
        <v>53.6017586160074</v>
      </c>
    </row>
    <row r="257" customHeight="1" spans="1:7">
      <c r="A257" s="204" t="s">
        <v>10</v>
      </c>
      <c r="B257" s="215" t="s">
        <v>770</v>
      </c>
      <c r="C257" s="215"/>
      <c r="D257" s="54"/>
      <c r="E257" s="214">
        <f>G245</f>
        <v>1170.30506311616</v>
      </c>
      <c r="F257" s="222">
        <f>费率表!$C$5</f>
        <v>0.045</v>
      </c>
      <c r="G257" s="216">
        <f t="shared" si="20"/>
        <v>52.6637278402272</v>
      </c>
    </row>
    <row r="258" customHeight="1" spans="1:7">
      <c r="A258" s="204" t="s">
        <v>12</v>
      </c>
      <c r="B258" s="215" t="s">
        <v>771</v>
      </c>
      <c r="C258" s="215"/>
      <c r="D258" s="54"/>
      <c r="E258" s="214">
        <f>G245+G257</f>
        <v>1222.96879095639</v>
      </c>
      <c r="F258" s="222">
        <f>费率表!$C$6</f>
        <v>0.07</v>
      </c>
      <c r="G258" s="216">
        <f t="shared" si="20"/>
        <v>85.6078153669472</v>
      </c>
    </row>
    <row r="259" customHeight="1" spans="1:7">
      <c r="A259" s="204" t="s">
        <v>15</v>
      </c>
      <c r="B259" s="218" t="s">
        <v>517</v>
      </c>
      <c r="C259" s="219"/>
      <c r="D259" s="54"/>
      <c r="E259" s="214"/>
      <c r="F259" s="230"/>
      <c r="G259" s="216">
        <f>G261</f>
        <v>132.556793276471</v>
      </c>
    </row>
    <row r="260" customHeight="1" spans="1:7">
      <c r="A260" s="204"/>
      <c r="B260" s="218" t="s">
        <v>696</v>
      </c>
      <c r="C260" s="219"/>
      <c r="D260" s="54" t="s">
        <v>695</v>
      </c>
      <c r="E260" s="214">
        <f>E255*施工机械台时费!$K$30</f>
        <v>146.02588</v>
      </c>
      <c r="F260" s="214">
        <f>主要材料预算!$N$14</f>
        <v>7.8077586206897</v>
      </c>
      <c r="G260" s="216">
        <f t="shared" ref="G260:G263" si="21">E260*F260</f>
        <v>1140.1348234138</v>
      </c>
    </row>
    <row r="261" customHeight="1" spans="1:7">
      <c r="A261" s="204"/>
      <c r="B261" s="218" t="s">
        <v>694</v>
      </c>
      <c r="C261" s="219"/>
      <c r="D261" s="54" t="s">
        <v>695</v>
      </c>
      <c r="E261" s="214">
        <f>E253*施工机械台时费!$L$4+维修!E254*施工机械台时费!$L$12</f>
        <v>21.86821</v>
      </c>
      <c r="F261" s="214">
        <f>主要材料预算!$N$13</f>
        <v>6.0616206482593</v>
      </c>
      <c r="G261" s="216">
        <f t="shared" si="21"/>
        <v>132.556793276471</v>
      </c>
    </row>
    <row r="262" customHeight="1" spans="1:7">
      <c r="A262" s="204" t="s">
        <v>906</v>
      </c>
      <c r="B262" s="215" t="s">
        <v>772</v>
      </c>
      <c r="C262" s="215"/>
      <c r="D262" s="54"/>
      <c r="E262" s="214">
        <f>G245+G257+G258+G259</f>
        <v>1441.1333995998</v>
      </c>
      <c r="F262" s="222">
        <f>费率表!$C$7</f>
        <v>0.09</v>
      </c>
      <c r="G262" s="216">
        <f t="shared" si="21"/>
        <v>129.702005963982</v>
      </c>
    </row>
    <row r="263" customHeight="1" spans="1:7">
      <c r="A263" s="204"/>
      <c r="B263" s="215" t="s">
        <v>907</v>
      </c>
      <c r="C263" s="215"/>
      <c r="D263" s="54"/>
      <c r="E263" s="214">
        <f>G245+G257+G258+G259+G262</f>
        <v>1570.83540556379</v>
      </c>
      <c r="F263" s="222">
        <f>费率表!$B$19</f>
        <v>0.03</v>
      </c>
      <c r="G263" s="216">
        <f t="shared" si="21"/>
        <v>47.1250621669136</v>
      </c>
    </row>
    <row r="264" customHeight="1" spans="1:7">
      <c r="A264" s="223"/>
      <c r="B264" s="224" t="s">
        <v>39</v>
      </c>
      <c r="C264" s="224"/>
      <c r="D264" s="224"/>
      <c r="E264" s="225"/>
      <c r="F264" s="224"/>
      <c r="G264" s="226">
        <f>G245+G257+G258+G259+G262+G263</f>
        <v>1617.9604677307</v>
      </c>
    </row>
    <row r="265" customHeight="1" spans="1:7">
      <c r="A265" s="197"/>
      <c r="B265" s="197"/>
      <c r="C265" s="195"/>
      <c r="D265" s="232"/>
      <c r="E265" s="233"/>
      <c r="F265" s="232"/>
      <c r="G265" s="233"/>
    </row>
    <row r="266" customHeight="1" spans="1:7">
      <c r="A266" s="198" t="s">
        <v>868</v>
      </c>
      <c r="B266" s="198"/>
      <c r="C266" s="198"/>
      <c r="D266" s="198"/>
      <c r="E266" s="198"/>
      <c r="F266" s="198"/>
      <c r="G266" s="198"/>
    </row>
    <row r="267" customHeight="1" spans="1:7">
      <c r="A267" s="199" t="s">
        <v>869</v>
      </c>
      <c r="B267" s="200"/>
      <c r="C267" s="200"/>
      <c r="D267" s="200" t="s">
        <v>870</v>
      </c>
      <c r="E267" s="201" t="s">
        <v>1346</v>
      </c>
      <c r="F267" s="202"/>
      <c r="G267" s="203"/>
    </row>
    <row r="268" customHeight="1" spans="1:7">
      <c r="A268" s="204" t="s">
        <v>507</v>
      </c>
      <c r="B268" s="205"/>
      <c r="C268" s="206" t="s">
        <v>1347</v>
      </c>
      <c r="D268" s="206"/>
      <c r="E268" s="206"/>
      <c r="F268" s="54" t="s">
        <v>873</v>
      </c>
      <c r="G268" s="207" t="s">
        <v>874</v>
      </c>
    </row>
    <row r="269" customHeight="1" spans="1:7">
      <c r="A269" s="208" t="s">
        <v>1337</v>
      </c>
      <c r="B269" s="206"/>
      <c r="C269" s="206"/>
      <c r="D269" s="206"/>
      <c r="E269" s="206"/>
      <c r="F269" s="206"/>
      <c r="G269" s="209"/>
    </row>
    <row r="270" customHeight="1" spans="1:7">
      <c r="A270" s="210" t="s">
        <v>1098</v>
      </c>
      <c r="B270" s="211"/>
      <c r="C270" s="212"/>
      <c r="D270" s="212"/>
      <c r="E270" s="212"/>
      <c r="F270" s="212"/>
      <c r="G270" s="213"/>
    </row>
    <row r="271" customHeight="1" spans="1:7">
      <c r="A271" s="204" t="s">
        <v>34</v>
      </c>
      <c r="B271" s="54" t="s">
        <v>761</v>
      </c>
      <c r="C271" s="54"/>
      <c r="D271" s="54" t="s">
        <v>60</v>
      </c>
      <c r="E271" s="214" t="s">
        <v>877</v>
      </c>
      <c r="F271" s="54" t="s">
        <v>878</v>
      </c>
      <c r="G271" s="207" t="s">
        <v>879</v>
      </c>
    </row>
    <row r="272" customHeight="1" spans="1:7">
      <c r="A272" s="204" t="s">
        <v>8</v>
      </c>
      <c r="B272" s="215" t="s">
        <v>880</v>
      </c>
      <c r="C272" s="215"/>
      <c r="D272" s="54"/>
      <c r="E272" s="214"/>
      <c r="F272" s="214"/>
      <c r="G272" s="216">
        <f>G273+G283</f>
        <v>1482.19956427736</v>
      </c>
    </row>
    <row r="273" customHeight="1" spans="1:7">
      <c r="A273" s="204" t="s">
        <v>881</v>
      </c>
      <c r="B273" s="215" t="s">
        <v>882</v>
      </c>
      <c r="C273" s="215"/>
      <c r="D273" s="54"/>
      <c r="E273" s="214"/>
      <c r="F273" s="214"/>
      <c r="G273" s="216">
        <f>G274+G277+G279</f>
        <v>1414.31256133335</v>
      </c>
    </row>
    <row r="274" customHeight="1" spans="1:7">
      <c r="A274" s="204" t="s">
        <v>17</v>
      </c>
      <c r="B274" s="215" t="s">
        <v>510</v>
      </c>
      <c r="C274" s="215"/>
      <c r="D274" s="54"/>
      <c r="E274" s="214"/>
      <c r="F274" s="214"/>
      <c r="G274" s="216">
        <f>SUM(G275:G276)</f>
        <v>42.53067</v>
      </c>
    </row>
    <row r="275" customHeight="1" spans="1:7">
      <c r="A275" s="204"/>
      <c r="B275" s="215" t="s">
        <v>704</v>
      </c>
      <c r="C275" s="215"/>
      <c r="D275" s="54" t="s">
        <v>705</v>
      </c>
      <c r="E275" s="214"/>
      <c r="F275" s="214"/>
      <c r="G275" s="216"/>
    </row>
    <row r="276" customHeight="1" spans="1:7">
      <c r="A276" s="204"/>
      <c r="B276" s="215" t="s">
        <v>706</v>
      </c>
      <c r="C276" s="215"/>
      <c r="D276" s="54" t="s">
        <v>705</v>
      </c>
      <c r="E276" s="217">
        <f>8.1*0.91</f>
        <v>7.371</v>
      </c>
      <c r="F276" s="214">
        <f>主要材料预算!$D$20</f>
        <v>5.77</v>
      </c>
      <c r="G276" s="216">
        <f>E276*F276</f>
        <v>42.53067</v>
      </c>
    </row>
    <row r="277" customHeight="1" spans="1:7">
      <c r="A277" s="204" t="s">
        <v>19</v>
      </c>
      <c r="B277" s="218" t="s">
        <v>511</v>
      </c>
      <c r="C277" s="219"/>
      <c r="D277" s="54"/>
      <c r="E277" s="214"/>
      <c r="F277" s="214"/>
      <c r="G277" s="216">
        <f>G278</f>
        <v>67.3482172063502</v>
      </c>
    </row>
    <row r="278" customHeight="1" spans="1:7">
      <c r="A278" s="204"/>
      <c r="B278" s="215" t="s">
        <v>1008</v>
      </c>
      <c r="C278" s="215"/>
      <c r="D278" s="54" t="s">
        <v>894</v>
      </c>
      <c r="E278" s="214">
        <f>G274+G279</f>
        <v>1346.964344127</v>
      </c>
      <c r="F278" s="229">
        <v>5</v>
      </c>
      <c r="G278" s="216">
        <f>E278*F278/100</f>
        <v>67.3482172063502</v>
      </c>
    </row>
    <row r="279" customHeight="1" spans="1:7">
      <c r="A279" s="204" t="s">
        <v>21</v>
      </c>
      <c r="B279" s="215" t="s">
        <v>895</v>
      </c>
      <c r="C279" s="215"/>
      <c r="D279" s="215"/>
      <c r="E279" s="214"/>
      <c r="F279" s="214"/>
      <c r="G279" s="216">
        <f>SUM(G280:G282)</f>
        <v>1304.433674127</v>
      </c>
    </row>
    <row r="280" customHeight="1" spans="1:7">
      <c r="A280" s="204"/>
      <c r="B280" s="218" t="s">
        <v>1325</v>
      </c>
      <c r="C280" s="219"/>
      <c r="D280" s="54" t="s">
        <v>896</v>
      </c>
      <c r="E280" s="214">
        <f>1.61*0.91</f>
        <v>1.4651</v>
      </c>
      <c r="F280" s="214">
        <f>施工机械台时费!$E$4</f>
        <v>93.2271643398484</v>
      </c>
      <c r="G280" s="216">
        <f t="shared" ref="G280:G285" si="22">E280*F280</f>
        <v>136.587118474312</v>
      </c>
    </row>
    <row r="281" customHeight="1" spans="1:7">
      <c r="A281" s="204"/>
      <c r="B281" s="218" t="s">
        <v>1339</v>
      </c>
      <c r="C281" s="219"/>
      <c r="D281" s="54" t="s">
        <v>896</v>
      </c>
      <c r="E281" s="214">
        <f>0.81*0.91</f>
        <v>0.7371</v>
      </c>
      <c r="F281" s="214">
        <f>施工机械台时费!$E$12</f>
        <v>66.3822584762664</v>
      </c>
      <c r="G281" s="216">
        <f t="shared" si="22"/>
        <v>48.930362722856</v>
      </c>
    </row>
    <row r="282" customHeight="1" spans="1:7">
      <c r="A282" s="204"/>
      <c r="B282" s="218" t="s">
        <v>1340</v>
      </c>
      <c r="C282" s="219"/>
      <c r="D282" s="54" t="s">
        <v>896</v>
      </c>
      <c r="E282" s="214">
        <f>27.91*0.91</f>
        <v>25.3981</v>
      </c>
      <c r="F282" s="214">
        <f>施工机械台时费!$E$30</f>
        <v>44.0551140805744</v>
      </c>
      <c r="G282" s="216">
        <f t="shared" si="22"/>
        <v>1118.91619292984</v>
      </c>
    </row>
    <row r="283" customHeight="1" spans="1:7">
      <c r="A283" s="204" t="s">
        <v>905</v>
      </c>
      <c r="B283" s="215" t="s">
        <v>514</v>
      </c>
      <c r="C283" s="215"/>
      <c r="D283" s="54"/>
      <c r="E283" s="220">
        <f>G273</f>
        <v>1414.31256133335</v>
      </c>
      <c r="F283" s="221">
        <f>费率表!$C$4</f>
        <v>0.048</v>
      </c>
      <c r="G283" s="216">
        <f t="shared" si="22"/>
        <v>67.887002944001</v>
      </c>
    </row>
    <row r="284" customHeight="1" spans="1:7">
      <c r="A284" s="204" t="s">
        <v>10</v>
      </c>
      <c r="B284" s="215" t="s">
        <v>770</v>
      </c>
      <c r="C284" s="215"/>
      <c r="D284" s="54"/>
      <c r="E284" s="214">
        <f>G272</f>
        <v>1482.19956427736</v>
      </c>
      <c r="F284" s="222">
        <f>费率表!$C$5</f>
        <v>0.045</v>
      </c>
      <c r="G284" s="216">
        <f t="shared" si="22"/>
        <v>66.698980392481</v>
      </c>
    </row>
    <row r="285" customHeight="1" spans="1:7">
      <c r="A285" s="204" t="s">
        <v>12</v>
      </c>
      <c r="B285" s="215" t="s">
        <v>771</v>
      </c>
      <c r="C285" s="215"/>
      <c r="D285" s="54"/>
      <c r="E285" s="214">
        <f>G272+G284</f>
        <v>1548.89854466984</v>
      </c>
      <c r="F285" s="222">
        <f>费率表!$C$6</f>
        <v>0.07</v>
      </c>
      <c r="G285" s="216">
        <f t="shared" si="22"/>
        <v>108.422898126889</v>
      </c>
    </row>
    <row r="286" customHeight="1" spans="1:7">
      <c r="A286" s="204" t="s">
        <v>15</v>
      </c>
      <c r="B286" s="218" t="s">
        <v>517</v>
      </c>
      <c r="C286" s="219"/>
      <c r="D286" s="54"/>
      <c r="E286" s="214"/>
      <c r="F286" s="230"/>
      <c r="G286" s="216">
        <f>G288</f>
        <v>132.556793276471</v>
      </c>
    </row>
    <row r="287" customHeight="1" spans="1:7">
      <c r="A287" s="204"/>
      <c r="B287" s="218" t="s">
        <v>696</v>
      </c>
      <c r="C287" s="219"/>
      <c r="D287" s="54" t="s">
        <v>695</v>
      </c>
      <c r="E287" s="214">
        <f>E282*施工机械台时费!$K$30</f>
        <v>195.56537</v>
      </c>
      <c r="F287" s="214">
        <f>主要材料预算!$N$14</f>
        <v>7.8077586206897</v>
      </c>
      <c r="G287" s="216">
        <f t="shared" ref="G287:G290" si="23">E287*F287</f>
        <v>1526.92720352587</v>
      </c>
    </row>
    <row r="288" customHeight="1" spans="1:7">
      <c r="A288" s="204"/>
      <c r="B288" s="218" t="s">
        <v>694</v>
      </c>
      <c r="C288" s="219"/>
      <c r="D288" s="54" t="s">
        <v>695</v>
      </c>
      <c r="E288" s="214">
        <f>E280*施工机械台时费!$L$4+维修!E281*施工机械台时费!$L$12</f>
        <v>21.86821</v>
      </c>
      <c r="F288" s="214">
        <f>主要材料预算!$N$13</f>
        <v>6.0616206482593</v>
      </c>
      <c r="G288" s="216">
        <f t="shared" si="23"/>
        <v>132.556793276471</v>
      </c>
    </row>
    <row r="289" customHeight="1" spans="1:7">
      <c r="A289" s="204" t="s">
        <v>906</v>
      </c>
      <c r="B289" s="215" t="s">
        <v>772</v>
      </c>
      <c r="C289" s="215"/>
      <c r="D289" s="54"/>
      <c r="E289" s="214">
        <f>G272+G284+G285+G286</f>
        <v>1789.8782360732</v>
      </c>
      <c r="F289" s="222">
        <f>费率表!$C$7</f>
        <v>0.09</v>
      </c>
      <c r="G289" s="216">
        <f t="shared" si="23"/>
        <v>161.089041246588</v>
      </c>
    </row>
    <row r="290" customHeight="1" spans="1:7">
      <c r="A290" s="204"/>
      <c r="B290" s="215" t="s">
        <v>907</v>
      </c>
      <c r="C290" s="215"/>
      <c r="D290" s="54"/>
      <c r="E290" s="214">
        <f>G272+G284+G285+G286+G289</f>
        <v>1950.96727731979</v>
      </c>
      <c r="F290" s="222">
        <f>费率表!$B$19</f>
        <v>0.03</v>
      </c>
      <c r="G290" s="216">
        <f t="shared" si="23"/>
        <v>58.5290183195937</v>
      </c>
    </row>
    <row r="291" customHeight="1" spans="1:7">
      <c r="A291" s="223"/>
      <c r="B291" s="224" t="s">
        <v>39</v>
      </c>
      <c r="C291" s="224"/>
      <c r="D291" s="224"/>
      <c r="E291" s="225"/>
      <c r="F291" s="224"/>
      <c r="G291" s="226">
        <f>G272+G284+G285+G286+G289+G290</f>
        <v>2009.49629563938</v>
      </c>
    </row>
    <row r="292" customHeight="1" spans="1:7">
      <c r="A292" s="197"/>
      <c r="B292" s="197"/>
      <c r="C292" s="195"/>
      <c r="D292" s="232"/>
      <c r="E292" s="233"/>
      <c r="F292" s="232"/>
      <c r="G292" s="233"/>
    </row>
    <row r="293" customHeight="1" spans="1:7">
      <c r="A293" s="198" t="s">
        <v>868</v>
      </c>
      <c r="B293" s="198"/>
      <c r="C293" s="198"/>
      <c r="D293" s="198"/>
      <c r="E293" s="198"/>
      <c r="F293" s="198"/>
      <c r="G293" s="198"/>
    </row>
    <row r="294" customHeight="1" spans="1:7">
      <c r="A294" s="199" t="s">
        <v>869</v>
      </c>
      <c r="B294" s="200"/>
      <c r="C294" s="200"/>
      <c r="D294" s="200" t="s">
        <v>870</v>
      </c>
      <c r="E294" s="201" t="s">
        <v>1348</v>
      </c>
      <c r="F294" s="202"/>
      <c r="G294" s="203"/>
    </row>
    <row r="295" customHeight="1" spans="1:7">
      <c r="A295" s="204" t="s">
        <v>507</v>
      </c>
      <c r="B295" s="205"/>
      <c r="C295" s="206" t="s">
        <v>1349</v>
      </c>
      <c r="D295" s="206"/>
      <c r="E295" s="206"/>
      <c r="F295" s="54" t="s">
        <v>873</v>
      </c>
      <c r="G295" s="207" t="s">
        <v>874</v>
      </c>
    </row>
    <row r="296" customHeight="1" spans="1:7">
      <c r="A296" s="208" t="s">
        <v>1337</v>
      </c>
      <c r="B296" s="206"/>
      <c r="C296" s="206"/>
      <c r="D296" s="206"/>
      <c r="E296" s="206"/>
      <c r="F296" s="206"/>
      <c r="G296" s="209"/>
    </row>
    <row r="297" customHeight="1" spans="1:7">
      <c r="A297" s="210" t="s">
        <v>1098</v>
      </c>
      <c r="B297" s="211"/>
      <c r="C297" s="212"/>
      <c r="D297" s="212"/>
      <c r="E297" s="212"/>
      <c r="F297" s="212"/>
      <c r="G297" s="213"/>
    </row>
    <row r="298" customHeight="1" spans="1:7">
      <c r="A298" s="204" t="s">
        <v>34</v>
      </c>
      <c r="B298" s="54" t="s">
        <v>761</v>
      </c>
      <c r="C298" s="54"/>
      <c r="D298" s="54" t="s">
        <v>60</v>
      </c>
      <c r="E298" s="214" t="s">
        <v>877</v>
      </c>
      <c r="F298" s="54" t="s">
        <v>878</v>
      </c>
      <c r="G298" s="207" t="s">
        <v>879</v>
      </c>
    </row>
    <row r="299" customHeight="1" spans="1:7">
      <c r="A299" s="204" t="s">
        <v>8</v>
      </c>
      <c r="B299" s="215" t="s">
        <v>880</v>
      </c>
      <c r="C299" s="215"/>
      <c r="D299" s="54"/>
      <c r="E299" s="214"/>
      <c r="F299" s="214"/>
      <c r="G299" s="216">
        <f>G300+G310</f>
        <v>1926.88083325965</v>
      </c>
    </row>
    <row r="300" customHeight="1" spans="1:7">
      <c r="A300" s="204" t="s">
        <v>881</v>
      </c>
      <c r="B300" s="215" t="s">
        <v>882</v>
      </c>
      <c r="C300" s="215"/>
      <c r="D300" s="54"/>
      <c r="E300" s="214"/>
      <c r="F300" s="214"/>
      <c r="G300" s="216">
        <f>G301+G304+G306</f>
        <v>1838.62674929356</v>
      </c>
    </row>
    <row r="301" customHeight="1" spans="1:7">
      <c r="A301" s="204" t="s">
        <v>17</v>
      </c>
      <c r="B301" s="215" t="s">
        <v>510</v>
      </c>
      <c r="C301" s="215"/>
      <c r="D301" s="54"/>
      <c r="E301" s="214"/>
      <c r="F301" s="214"/>
      <c r="G301" s="216">
        <f>SUM(G302:G303)</f>
        <v>42.53067</v>
      </c>
    </row>
    <row r="302" customHeight="1" spans="1:7">
      <c r="A302" s="204"/>
      <c r="B302" s="215" t="s">
        <v>704</v>
      </c>
      <c r="C302" s="215"/>
      <c r="D302" s="54" t="s">
        <v>705</v>
      </c>
      <c r="E302" s="214"/>
      <c r="F302" s="214"/>
      <c r="G302" s="216"/>
    </row>
    <row r="303" customHeight="1" spans="1:7">
      <c r="A303" s="204"/>
      <c r="B303" s="215" t="s">
        <v>706</v>
      </c>
      <c r="C303" s="215"/>
      <c r="D303" s="54" t="s">
        <v>705</v>
      </c>
      <c r="E303" s="217">
        <f>8.1*0.91</f>
        <v>7.371</v>
      </c>
      <c r="F303" s="214">
        <f>主要材料预算!$D$20</f>
        <v>5.77</v>
      </c>
      <c r="G303" s="216">
        <f>E303*F303</f>
        <v>42.53067</v>
      </c>
    </row>
    <row r="304" customHeight="1" spans="1:7">
      <c r="A304" s="204" t="s">
        <v>19</v>
      </c>
      <c r="B304" s="218" t="s">
        <v>511</v>
      </c>
      <c r="C304" s="219"/>
      <c r="D304" s="54"/>
      <c r="E304" s="214"/>
      <c r="F304" s="214"/>
      <c r="G304" s="216">
        <f>G305</f>
        <v>87.5536547282649</v>
      </c>
    </row>
    <row r="305" customHeight="1" spans="1:7">
      <c r="A305" s="204"/>
      <c r="B305" s="215" t="s">
        <v>1008</v>
      </c>
      <c r="C305" s="215"/>
      <c r="D305" s="54" t="s">
        <v>894</v>
      </c>
      <c r="E305" s="214">
        <f>G301+G306</f>
        <v>1751.0730945653</v>
      </c>
      <c r="F305" s="229">
        <v>5</v>
      </c>
      <c r="G305" s="216">
        <f>E305*F305/100</f>
        <v>87.5536547282649</v>
      </c>
    </row>
    <row r="306" customHeight="1" spans="1:7">
      <c r="A306" s="204" t="s">
        <v>21</v>
      </c>
      <c r="B306" s="215" t="s">
        <v>895</v>
      </c>
      <c r="C306" s="215"/>
      <c r="D306" s="215"/>
      <c r="E306" s="214"/>
      <c r="F306" s="214"/>
      <c r="G306" s="216">
        <f>SUM(G307:G309)</f>
        <v>1708.5424245653</v>
      </c>
    </row>
    <row r="307" customHeight="1" spans="1:7">
      <c r="A307" s="204"/>
      <c r="B307" s="218" t="s">
        <v>1325</v>
      </c>
      <c r="C307" s="219"/>
      <c r="D307" s="54" t="s">
        <v>896</v>
      </c>
      <c r="E307" s="214">
        <f>1.61*0.91</f>
        <v>1.4651</v>
      </c>
      <c r="F307" s="214">
        <f>施工机械台时费!$E$4</f>
        <v>93.2271643398484</v>
      </c>
      <c r="G307" s="216">
        <f t="shared" ref="G307:G312" si="24">E307*F307</f>
        <v>136.587118474312</v>
      </c>
    </row>
    <row r="308" customHeight="1" spans="1:7">
      <c r="A308" s="204"/>
      <c r="B308" s="218" t="s">
        <v>1339</v>
      </c>
      <c r="C308" s="219"/>
      <c r="D308" s="54" t="s">
        <v>896</v>
      </c>
      <c r="E308" s="214">
        <f>0.81*0.91</f>
        <v>0.7371</v>
      </c>
      <c r="F308" s="214">
        <f>施工机械台时费!$E$12</f>
        <v>66.3822584762664</v>
      </c>
      <c r="G308" s="216">
        <f t="shared" si="24"/>
        <v>48.930362722856</v>
      </c>
    </row>
    <row r="309" customHeight="1" spans="1:7">
      <c r="A309" s="204"/>
      <c r="B309" s="218" t="s">
        <v>1340</v>
      </c>
      <c r="C309" s="219"/>
      <c r="D309" s="54" t="s">
        <v>896</v>
      </c>
      <c r="E309" s="214">
        <f>(27.91+3*3.36)*0.91</f>
        <v>34.5709</v>
      </c>
      <c r="F309" s="214">
        <f>施工机械台时费!$E$30</f>
        <v>44.0551140805744</v>
      </c>
      <c r="G309" s="216">
        <f t="shared" si="24"/>
        <v>1523.02494336813</v>
      </c>
    </row>
    <row r="310" customHeight="1" spans="1:7">
      <c r="A310" s="204" t="s">
        <v>905</v>
      </c>
      <c r="B310" s="215" t="s">
        <v>514</v>
      </c>
      <c r="C310" s="215"/>
      <c r="D310" s="54"/>
      <c r="E310" s="220">
        <f>G300</f>
        <v>1838.62674929356</v>
      </c>
      <c r="F310" s="221">
        <f>费率表!$C$4</f>
        <v>0.048</v>
      </c>
      <c r="G310" s="216">
        <f t="shared" si="24"/>
        <v>88.254083966091</v>
      </c>
    </row>
    <row r="311" customHeight="1" spans="1:7">
      <c r="A311" s="204" t="s">
        <v>10</v>
      </c>
      <c r="B311" s="215" t="s">
        <v>770</v>
      </c>
      <c r="C311" s="215"/>
      <c r="D311" s="54"/>
      <c r="E311" s="214">
        <f>G299</f>
        <v>1926.88083325965</v>
      </c>
      <c r="F311" s="222">
        <f>费率表!$C$5</f>
        <v>0.045</v>
      </c>
      <c r="G311" s="216">
        <f t="shared" si="24"/>
        <v>86.7096374966844</v>
      </c>
    </row>
    <row r="312" customHeight="1" spans="1:7">
      <c r="A312" s="204" t="s">
        <v>12</v>
      </c>
      <c r="B312" s="215" t="s">
        <v>771</v>
      </c>
      <c r="C312" s="215"/>
      <c r="D312" s="54"/>
      <c r="E312" s="214">
        <f>G299+G311</f>
        <v>2013.59047075634</v>
      </c>
      <c r="F312" s="222">
        <f>费率表!$C$6</f>
        <v>0.07</v>
      </c>
      <c r="G312" s="216">
        <f t="shared" si="24"/>
        <v>140.951332952944</v>
      </c>
    </row>
    <row r="313" customHeight="1" spans="1:7">
      <c r="A313" s="204" t="s">
        <v>15</v>
      </c>
      <c r="B313" s="218" t="s">
        <v>517</v>
      </c>
      <c r="C313" s="219"/>
      <c r="D313" s="54"/>
      <c r="E313" s="214"/>
      <c r="F313" s="230"/>
      <c r="G313" s="216">
        <f>G315</f>
        <v>132.556793276471</v>
      </c>
    </row>
    <row r="314" customHeight="1" spans="1:7">
      <c r="A314" s="204"/>
      <c r="B314" s="218" t="s">
        <v>696</v>
      </c>
      <c r="C314" s="219"/>
      <c r="D314" s="54" t="s">
        <v>695</v>
      </c>
      <c r="E314" s="214">
        <f>E309*施工机械台时费!$K$30</f>
        <v>266.19593</v>
      </c>
      <c r="F314" s="214">
        <f>主要材料预算!$N$14</f>
        <v>7.8077586206897</v>
      </c>
      <c r="G314" s="216">
        <f t="shared" ref="G314:G317" si="25">E314*F314</f>
        <v>2078.39356725001</v>
      </c>
    </row>
    <row r="315" customHeight="1" spans="1:7">
      <c r="A315" s="204"/>
      <c r="B315" s="218" t="s">
        <v>694</v>
      </c>
      <c r="C315" s="219"/>
      <c r="D315" s="54" t="s">
        <v>695</v>
      </c>
      <c r="E315" s="214">
        <f>E307*施工机械台时费!$L$4+维修!E308*施工机械台时费!$L$12</f>
        <v>21.86821</v>
      </c>
      <c r="F315" s="214">
        <f>主要材料预算!$N$13</f>
        <v>6.0616206482593</v>
      </c>
      <c r="G315" s="216">
        <f t="shared" si="25"/>
        <v>132.556793276471</v>
      </c>
    </row>
    <row r="316" customHeight="1" spans="1:7">
      <c r="A316" s="204" t="s">
        <v>906</v>
      </c>
      <c r="B316" s="215" t="s">
        <v>772</v>
      </c>
      <c r="C316" s="215"/>
      <c r="D316" s="54"/>
      <c r="E316" s="214">
        <f>G299+G311+G312+G313</f>
        <v>2287.09859698575</v>
      </c>
      <c r="F316" s="222">
        <f>费率表!$C$7</f>
        <v>0.09</v>
      </c>
      <c r="G316" s="216">
        <f t="shared" si="25"/>
        <v>205.838873728717</v>
      </c>
    </row>
    <row r="317" customHeight="1" spans="1:7">
      <c r="A317" s="204"/>
      <c r="B317" s="215" t="s">
        <v>907</v>
      </c>
      <c r="C317" s="215"/>
      <c r="D317" s="54"/>
      <c r="E317" s="214">
        <f>G299+G311+G312+G313+G316</f>
        <v>2492.93747071447</v>
      </c>
      <c r="F317" s="222">
        <f>费率表!$B$19</f>
        <v>0.03</v>
      </c>
      <c r="G317" s="216">
        <f t="shared" si="25"/>
        <v>74.788124121434</v>
      </c>
    </row>
    <row r="318" customHeight="1" spans="1:7">
      <c r="A318" s="223"/>
      <c r="B318" s="224" t="s">
        <v>39</v>
      </c>
      <c r="C318" s="224"/>
      <c r="D318" s="224"/>
      <c r="E318" s="225"/>
      <c r="F318" s="224"/>
      <c r="G318" s="226">
        <f>G299+G311+G312+G313+G316+G317</f>
        <v>2567.7255948359</v>
      </c>
    </row>
    <row r="319" customHeight="1" spans="1:7">
      <c r="A319" s="197"/>
      <c r="B319" s="197"/>
      <c r="C319" s="195"/>
      <c r="D319" s="232"/>
      <c r="E319" s="233"/>
      <c r="F319" s="232"/>
      <c r="G319" s="233"/>
    </row>
    <row r="320" customHeight="1" spans="1:7">
      <c r="A320" s="198" t="s">
        <v>868</v>
      </c>
      <c r="B320" s="198"/>
      <c r="C320" s="198"/>
      <c r="D320" s="198"/>
      <c r="E320" s="198"/>
      <c r="F320" s="198"/>
      <c r="G320" s="198"/>
    </row>
    <row r="321" customHeight="1" spans="1:7">
      <c r="A321" s="199" t="s">
        <v>869</v>
      </c>
      <c r="B321" s="200"/>
      <c r="C321" s="200"/>
      <c r="D321" s="200" t="s">
        <v>870</v>
      </c>
      <c r="E321" s="201" t="s">
        <v>1350</v>
      </c>
      <c r="F321" s="202"/>
      <c r="G321" s="203"/>
    </row>
    <row r="322" customHeight="1" spans="1:7">
      <c r="A322" s="204" t="s">
        <v>507</v>
      </c>
      <c r="B322" s="205"/>
      <c r="C322" s="206" t="s">
        <v>1351</v>
      </c>
      <c r="D322" s="206"/>
      <c r="E322" s="206"/>
      <c r="F322" s="54" t="s">
        <v>873</v>
      </c>
      <c r="G322" s="207" t="s">
        <v>874</v>
      </c>
    </row>
    <row r="323" customHeight="1" spans="1:7">
      <c r="A323" s="208" t="s">
        <v>1352</v>
      </c>
      <c r="B323" s="206"/>
      <c r="C323" s="206"/>
      <c r="D323" s="206"/>
      <c r="E323" s="206"/>
      <c r="F323" s="206"/>
      <c r="G323" s="209"/>
    </row>
    <row r="324" customHeight="1" spans="1:7">
      <c r="A324" s="210" t="s">
        <v>1098</v>
      </c>
      <c r="B324" s="211"/>
      <c r="C324" s="212"/>
      <c r="D324" s="212"/>
      <c r="E324" s="212"/>
      <c r="F324" s="212"/>
      <c r="G324" s="213"/>
    </row>
    <row r="325" customHeight="1" spans="1:7">
      <c r="A325" s="204" t="s">
        <v>34</v>
      </c>
      <c r="B325" s="54" t="s">
        <v>761</v>
      </c>
      <c r="C325" s="54"/>
      <c r="D325" s="54" t="s">
        <v>60</v>
      </c>
      <c r="E325" s="214" t="s">
        <v>877</v>
      </c>
      <c r="F325" s="54" t="s">
        <v>878</v>
      </c>
      <c r="G325" s="207" t="s">
        <v>879</v>
      </c>
    </row>
    <row r="326" customHeight="1" spans="1:7">
      <c r="A326" s="204" t="s">
        <v>8</v>
      </c>
      <c r="B326" s="215" t="s">
        <v>880</v>
      </c>
      <c r="C326" s="215"/>
      <c r="D326" s="54"/>
      <c r="E326" s="214"/>
      <c r="F326" s="214"/>
      <c r="G326" s="216">
        <f>G327+G337</f>
        <v>463.493063338149</v>
      </c>
    </row>
    <row r="327" customHeight="1" spans="1:7">
      <c r="A327" s="204" t="s">
        <v>881</v>
      </c>
      <c r="B327" s="215" t="s">
        <v>882</v>
      </c>
      <c r="C327" s="215"/>
      <c r="D327" s="54"/>
      <c r="E327" s="214"/>
      <c r="F327" s="214"/>
      <c r="G327" s="216">
        <f>G328+G331+G333</f>
        <v>442.264373414264</v>
      </c>
    </row>
    <row r="328" customHeight="1" spans="1:7">
      <c r="A328" s="204" t="s">
        <v>17</v>
      </c>
      <c r="B328" s="215" t="s">
        <v>510</v>
      </c>
      <c r="C328" s="215"/>
      <c r="D328" s="54"/>
      <c r="E328" s="214"/>
      <c r="F328" s="214"/>
      <c r="G328" s="216">
        <f>SUM(G329:G330)</f>
        <v>27.30364</v>
      </c>
    </row>
    <row r="329" customHeight="1" spans="1:7">
      <c r="A329" s="204"/>
      <c r="B329" s="215" t="s">
        <v>704</v>
      </c>
      <c r="C329" s="215"/>
      <c r="D329" s="54" t="s">
        <v>705</v>
      </c>
      <c r="E329" s="214"/>
      <c r="F329" s="214"/>
      <c r="G329" s="216"/>
    </row>
    <row r="330" customHeight="1" spans="1:7">
      <c r="A330" s="204"/>
      <c r="B330" s="215" t="s">
        <v>706</v>
      </c>
      <c r="C330" s="215"/>
      <c r="D330" s="54" t="s">
        <v>705</v>
      </c>
      <c r="E330" s="217">
        <f>5.2*0.91</f>
        <v>4.732</v>
      </c>
      <c r="F330" s="214">
        <f>主要材料预算!$D$20</f>
        <v>5.77</v>
      </c>
      <c r="G330" s="216">
        <f t="shared" ref="G330:G339" si="26">E330*F330</f>
        <v>27.30364</v>
      </c>
    </row>
    <row r="331" customHeight="1" spans="1:7">
      <c r="A331" s="204" t="s">
        <v>19</v>
      </c>
      <c r="B331" s="218" t="s">
        <v>511</v>
      </c>
      <c r="C331" s="219"/>
      <c r="D331" s="54"/>
      <c r="E331" s="214"/>
      <c r="F331" s="214"/>
      <c r="G331" s="216">
        <f>G332</f>
        <v>21.0602082578221</v>
      </c>
    </row>
    <row r="332" customHeight="1" spans="1:7">
      <c r="A332" s="204"/>
      <c r="B332" s="215" t="s">
        <v>1008</v>
      </c>
      <c r="C332" s="215"/>
      <c r="D332" s="54" t="s">
        <v>894</v>
      </c>
      <c r="E332" s="214">
        <f>G328+G333</f>
        <v>421.204165156442</v>
      </c>
      <c r="F332" s="229">
        <v>5</v>
      </c>
      <c r="G332" s="216">
        <f>E332*F332/100</f>
        <v>21.0602082578221</v>
      </c>
    </row>
    <row r="333" customHeight="1" spans="1:7">
      <c r="A333" s="204" t="s">
        <v>21</v>
      </c>
      <c r="B333" s="215" t="s">
        <v>895</v>
      </c>
      <c r="C333" s="215"/>
      <c r="D333" s="215"/>
      <c r="E333" s="214"/>
      <c r="F333" s="214"/>
      <c r="G333" s="216">
        <f>SUM(G334:G336)</f>
        <v>393.900525156442</v>
      </c>
    </row>
    <row r="334" customHeight="1" spans="1:7">
      <c r="A334" s="204"/>
      <c r="B334" s="218" t="s">
        <v>1353</v>
      </c>
      <c r="C334" s="219"/>
      <c r="D334" s="54" t="s">
        <v>896</v>
      </c>
      <c r="E334" s="214">
        <f>1.04*0.91</f>
        <v>0.9464</v>
      </c>
      <c r="F334" s="214">
        <f>施工机械台时费!$E$6</f>
        <v>122.94140686079</v>
      </c>
      <c r="G334" s="216">
        <f t="shared" si="26"/>
        <v>116.351747453051</v>
      </c>
    </row>
    <row r="335" customHeight="1" spans="1:7">
      <c r="A335" s="204"/>
      <c r="B335" s="218" t="s">
        <v>1339</v>
      </c>
      <c r="C335" s="219"/>
      <c r="D335" s="54" t="s">
        <v>896</v>
      </c>
      <c r="E335" s="214">
        <f>0.52*0.91</f>
        <v>0.4732</v>
      </c>
      <c r="F335" s="214">
        <f>施工机械台时费!$E$12</f>
        <v>66.3822584762664</v>
      </c>
      <c r="G335" s="216">
        <f t="shared" si="26"/>
        <v>31.4120847109693</v>
      </c>
    </row>
    <row r="336" customHeight="1" spans="1:7">
      <c r="A336" s="204"/>
      <c r="B336" s="218" t="s">
        <v>1354</v>
      </c>
      <c r="C336" s="219"/>
      <c r="D336" s="54" t="s">
        <v>896</v>
      </c>
      <c r="E336" s="214">
        <f>3.7*0.91</f>
        <v>3.367</v>
      </c>
      <c r="F336" s="214">
        <f>施工机械台时费!$E$32</f>
        <v>73.10267092142</v>
      </c>
      <c r="G336" s="216">
        <f t="shared" si="26"/>
        <v>246.136692992421</v>
      </c>
    </row>
    <row r="337" customHeight="1" spans="1:7">
      <c r="A337" s="204" t="s">
        <v>905</v>
      </c>
      <c r="B337" s="215" t="s">
        <v>514</v>
      </c>
      <c r="C337" s="215"/>
      <c r="D337" s="54"/>
      <c r="E337" s="220">
        <f>G327</f>
        <v>442.264373414264</v>
      </c>
      <c r="F337" s="221">
        <f>费率表!$C$4</f>
        <v>0.048</v>
      </c>
      <c r="G337" s="216">
        <f t="shared" si="26"/>
        <v>21.2286899238847</v>
      </c>
    </row>
    <row r="338" customHeight="1" spans="1:7">
      <c r="A338" s="204" t="s">
        <v>10</v>
      </c>
      <c r="B338" s="215" t="s">
        <v>770</v>
      </c>
      <c r="C338" s="215"/>
      <c r="D338" s="54"/>
      <c r="E338" s="214">
        <f>G326</f>
        <v>463.493063338149</v>
      </c>
      <c r="F338" s="222">
        <f>费率表!$C$5</f>
        <v>0.045</v>
      </c>
      <c r="G338" s="216">
        <f t="shared" si="26"/>
        <v>20.8571878502167</v>
      </c>
    </row>
    <row r="339" customHeight="1" spans="1:7">
      <c r="A339" s="204" t="s">
        <v>12</v>
      </c>
      <c r="B339" s="215" t="s">
        <v>771</v>
      </c>
      <c r="C339" s="215"/>
      <c r="D339" s="54"/>
      <c r="E339" s="214">
        <f>G326+G338</f>
        <v>484.350251188366</v>
      </c>
      <c r="F339" s="222">
        <f>费率表!$C$6</f>
        <v>0.07</v>
      </c>
      <c r="G339" s="216">
        <f t="shared" si="26"/>
        <v>33.9045175831856</v>
      </c>
    </row>
    <row r="340" customHeight="1" spans="1:7">
      <c r="A340" s="204" t="s">
        <v>15</v>
      </c>
      <c r="B340" s="218" t="s">
        <v>517</v>
      </c>
      <c r="C340" s="219"/>
      <c r="D340" s="54"/>
      <c r="E340" s="214"/>
      <c r="F340" s="230"/>
      <c r="G340" s="216">
        <f>G341</f>
        <v>317.747972198319</v>
      </c>
    </row>
    <row r="341" customHeight="1" spans="1:7">
      <c r="A341" s="204"/>
      <c r="B341" s="218" t="s">
        <v>694</v>
      </c>
      <c r="C341" s="219"/>
      <c r="D341" s="54" t="s">
        <v>695</v>
      </c>
      <c r="E341" s="214">
        <f>E334*施工机械台时费!$L$6+维修!$E$387*施工机械台时费!$L$12+维修!E336*施工机械台时费!$L$32</f>
        <v>52.41964</v>
      </c>
      <c r="F341" s="214">
        <f>主要材料预算!$N$13</f>
        <v>6.0616206482593</v>
      </c>
      <c r="G341" s="216">
        <f t="shared" ref="G341:G343" si="27">E341*F341</f>
        <v>317.747972198319</v>
      </c>
    </row>
    <row r="342" customHeight="1" spans="1:7">
      <c r="A342" s="204" t="s">
        <v>906</v>
      </c>
      <c r="B342" s="215" t="s">
        <v>772</v>
      </c>
      <c r="C342" s="215"/>
      <c r="D342" s="54"/>
      <c r="E342" s="214">
        <f>G326+G338+G339+G340</f>
        <v>836.002740969871</v>
      </c>
      <c r="F342" s="222">
        <f>费率表!$C$7</f>
        <v>0.09</v>
      </c>
      <c r="G342" s="216">
        <f t="shared" si="27"/>
        <v>75.2402466872883</v>
      </c>
    </row>
    <row r="343" customHeight="1" spans="1:7">
      <c r="A343" s="204"/>
      <c r="B343" s="215" t="s">
        <v>907</v>
      </c>
      <c r="C343" s="215"/>
      <c r="D343" s="54"/>
      <c r="E343" s="214">
        <f>G326+G338+G339+G340+G342</f>
        <v>911.242987657159</v>
      </c>
      <c r="F343" s="222">
        <f>费率表!$B$19</f>
        <v>0.03</v>
      </c>
      <c r="G343" s="216">
        <f t="shared" si="27"/>
        <v>27.3372896297148</v>
      </c>
    </row>
    <row r="344" customHeight="1" spans="1:7">
      <c r="A344" s="223"/>
      <c r="B344" s="224" t="s">
        <v>39</v>
      </c>
      <c r="C344" s="224"/>
      <c r="D344" s="224"/>
      <c r="E344" s="225"/>
      <c r="F344" s="224"/>
      <c r="G344" s="226">
        <f>G326+G338+G339+G340+G342+G343</f>
        <v>938.580277286874</v>
      </c>
    </row>
    <row r="345" customHeight="1" spans="1:7">
      <c r="A345" s="197"/>
      <c r="B345" s="197"/>
      <c r="C345" s="195"/>
      <c r="D345" s="232"/>
      <c r="E345" s="233"/>
      <c r="F345" s="232"/>
      <c r="G345" s="233"/>
    </row>
    <row r="346" customHeight="1" spans="1:7">
      <c r="A346" s="198" t="s">
        <v>868</v>
      </c>
      <c r="B346" s="198"/>
      <c r="C346" s="198"/>
      <c r="D346" s="198"/>
      <c r="E346" s="198"/>
      <c r="F346" s="198"/>
      <c r="G346" s="198"/>
    </row>
    <row r="347" customHeight="1" spans="1:7">
      <c r="A347" s="199" t="s">
        <v>869</v>
      </c>
      <c r="B347" s="200"/>
      <c r="C347" s="200"/>
      <c r="D347" s="200" t="s">
        <v>870</v>
      </c>
      <c r="E347" s="201" t="s">
        <v>1355</v>
      </c>
      <c r="F347" s="202"/>
      <c r="G347" s="203"/>
    </row>
    <row r="348" customHeight="1" spans="1:7">
      <c r="A348" s="204" t="s">
        <v>507</v>
      </c>
      <c r="B348" s="205"/>
      <c r="C348" s="206" t="s">
        <v>1356</v>
      </c>
      <c r="D348" s="206"/>
      <c r="E348" s="206"/>
      <c r="F348" s="54" t="s">
        <v>873</v>
      </c>
      <c r="G348" s="207" t="s">
        <v>874</v>
      </c>
    </row>
    <row r="349" customHeight="1" spans="1:7">
      <c r="A349" s="208" t="s">
        <v>1352</v>
      </c>
      <c r="B349" s="206"/>
      <c r="C349" s="206"/>
      <c r="D349" s="206"/>
      <c r="E349" s="206"/>
      <c r="F349" s="206"/>
      <c r="G349" s="209"/>
    </row>
    <row r="350" customHeight="1" spans="1:7">
      <c r="A350" s="210" t="s">
        <v>1098</v>
      </c>
      <c r="B350" s="211"/>
      <c r="C350" s="212"/>
      <c r="D350" s="212"/>
      <c r="E350" s="212"/>
      <c r="F350" s="212"/>
      <c r="G350" s="213"/>
    </row>
    <row r="351" customHeight="1" spans="1:7">
      <c r="A351" s="204" t="s">
        <v>34</v>
      </c>
      <c r="B351" s="54" t="s">
        <v>761</v>
      </c>
      <c r="C351" s="54"/>
      <c r="D351" s="54" t="s">
        <v>60</v>
      </c>
      <c r="E351" s="214" t="s">
        <v>877</v>
      </c>
      <c r="F351" s="54" t="s">
        <v>878</v>
      </c>
      <c r="G351" s="207" t="s">
        <v>879</v>
      </c>
    </row>
    <row r="352" customHeight="1" spans="1:7">
      <c r="A352" s="204" t="s">
        <v>8</v>
      </c>
      <c r="B352" s="215" t="s">
        <v>880</v>
      </c>
      <c r="C352" s="215"/>
      <c r="D352" s="54"/>
      <c r="E352" s="214"/>
      <c r="F352" s="214"/>
      <c r="G352" s="216">
        <f>G353+G363</f>
        <v>511.074612265111</v>
      </c>
    </row>
    <row r="353" customHeight="1" spans="1:7">
      <c r="A353" s="204" t="s">
        <v>881</v>
      </c>
      <c r="B353" s="215" t="s">
        <v>882</v>
      </c>
      <c r="C353" s="215"/>
      <c r="D353" s="54"/>
      <c r="E353" s="214"/>
      <c r="F353" s="214"/>
      <c r="G353" s="216">
        <f>G354+G357+G359</f>
        <v>487.666614756785</v>
      </c>
    </row>
    <row r="354" customHeight="1" spans="1:7">
      <c r="A354" s="204" t="s">
        <v>17</v>
      </c>
      <c r="B354" s="215" t="s">
        <v>510</v>
      </c>
      <c r="C354" s="215"/>
      <c r="D354" s="54"/>
      <c r="E354" s="214"/>
      <c r="F354" s="214"/>
      <c r="G354" s="216">
        <f>SUM(G355:G356)</f>
        <v>27.30364</v>
      </c>
    </row>
    <row r="355" customHeight="1" spans="1:7">
      <c r="A355" s="204"/>
      <c r="B355" s="215" t="s">
        <v>704</v>
      </c>
      <c r="C355" s="215"/>
      <c r="D355" s="54" t="s">
        <v>705</v>
      </c>
      <c r="E355" s="214"/>
      <c r="F355" s="214"/>
      <c r="G355" s="216"/>
    </row>
    <row r="356" customHeight="1" spans="1:7">
      <c r="A356" s="204"/>
      <c r="B356" s="215" t="s">
        <v>706</v>
      </c>
      <c r="C356" s="215"/>
      <c r="D356" s="54" t="s">
        <v>705</v>
      </c>
      <c r="E356" s="217">
        <f>5.2*0.91</f>
        <v>4.732</v>
      </c>
      <c r="F356" s="214">
        <f>主要材料预算!$D$20</f>
        <v>5.77</v>
      </c>
      <c r="G356" s="216">
        <f>E356*F356</f>
        <v>27.30364</v>
      </c>
    </row>
    <row r="357" customHeight="1" spans="1:7">
      <c r="A357" s="204" t="s">
        <v>19</v>
      </c>
      <c r="B357" s="218" t="s">
        <v>511</v>
      </c>
      <c r="C357" s="219"/>
      <c r="D357" s="54"/>
      <c r="E357" s="214"/>
      <c r="F357" s="214"/>
      <c r="G357" s="216">
        <f>G358</f>
        <v>23.2222197503231</v>
      </c>
    </row>
    <row r="358" customHeight="1" spans="1:7">
      <c r="A358" s="204"/>
      <c r="B358" s="215" t="s">
        <v>1008</v>
      </c>
      <c r="C358" s="215"/>
      <c r="D358" s="54" t="s">
        <v>894</v>
      </c>
      <c r="E358" s="214">
        <f>G354+G359</f>
        <v>464.444395006462</v>
      </c>
      <c r="F358" s="229">
        <v>5</v>
      </c>
      <c r="G358" s="216">
        <f>E358*F358/100</f>
        <v>23.2222197503231</v>
      </c>
    </row>
    <row r="359" customHeight="1" spans="1:7">
      <c r="A359" s="204" t="s">
        <v>21</v>
      </c>
      <c r="B359" s="215" t="s">
        <v>895</v>
      </c>
      <c r="C359" s="215"/>
      <c r="D359" s="215"/>
      <c r="E359" s="214"/>
      <c r="F359" s="214"/>
      <c r="G359" s="216">
        <f>SUM(G360:G362)</f>
        <v>437.140755006462</v>
      </c>
    </row>
    <row r="360" customHeight="1" spans="1:7">
      <c r="A360" s="204"/>
      <c r="B360" s="218" t="s">
        <v>1353</v>
      </c>
      <c r="C360" s="219"/>
      <c r="D360" s="54" t="s">
        <v>896</v>
      </c>
      <c r="E360" s="214">
        <f>1.04*0.91</f>
        <v>0.9464</v>
      </c>
      <c r="F360" s="214">
        <f>施工机械台时费!$E$6</f>
        <v>122.94140686079</v>
      </c>
      <c r="G360" s="216">
        <f t="shared" ref="G360:G365" si="28">E360*F360</f>
        <v>116.351747453051</v>
      </c>
    </row>
    <row r="361" customHeight="1" spans="1:7">
      <c r="A361" s="204"/>
      <c r="B361" s="218" t="s">
        <v>1339</v>
      </c>
      <c r="C361" s="219"/>
      <c r="D361" s="54" t="s">
        <v>896</v>
      </c>
      <c r="E361" s="214">
        <f>0.52*0.91</f>
        <v>0.4732</v>
      </c>
      <c r="F361" s="214">
        <f>施工机械台时费!$E$12</f>
        <v>66.3822584762664</v>
      </c>
      <c r="G361" s="216">
        <f t="shared" si="28"/>
        <v>31.4120847109693</v>
      </c>
    </row>
    <row r="362" customHeight="1" spans="1:7">
      <c r="A362" s="204"/>
      <c r="B362" s="218" t="s">
        <v>1354</v>
      </c>
      <c r="C362" s="219"/>
      <c r="D362" s="54" t="s">
        <v>896</v>
      </c>
      <c r="E362" s="214">
        <f>4.35*0.91</f>
        <v>3.9585</v>
      </c>
      <c r="F362" s="214">
        <f>施工机械台时费!$E$32</f>
        <v>73.10267092142</v>
      </c>
      <c r="G362" s="216">
        <f t="shared" si="28"/>
        <v>289.376922842441</v>
      </c>
    </row>
    <row r="363" customHeight="1" spans="1:7">
      <c r="A363" s="204" t="s">
        <v>905</v>
      </c>
      <c r="B363" s="215" t="s">
        <v>514</v>
      </c>
      <c r="C363" s="215"/>
      <c r="D363" s="54"/>
      <c r="E363" s="220">
        <f>G353</f>
        <v>487.666614756785</v>
      </c>
      <c r="F363" s="221">
        <f>费率表!$C$4</f>
        <v>0.048</v>
      </c>
      <c r="G363" s="216">
        <f t="shared" si="28"/>
        <v>23.4079975083257</v>
      </c>
    </row>
    <row r="364" customHeight="1" spans="1:7">
      <c r="A364" s="204" t="s">
        <v>10</v>
      </c>
      <c r="B364" s="215" t="s">
        <v>770</v>
      </c>
      <c r="C364" s="215"/>
      <c r="D364" s="54"/>
      <c r="E364" s="214">
        <f>G352</f>
        <v>511.074612265111</v>
      </c>
      <c r="F364" s="222">
        <f>费率表!$C$5</f>
        <v>0.045</v>
      </c>
      <c r="G364" s="216">
        <f t="shared" si="28"/>
        <v>22.99835755193</v>
      </c>
    </row>
    <row r="365" customHeight="1" spans="1:7">
      <c r="A365" s="204" t="s">
        <v>12</v>
      </c>
      <c r="B365" s="215" t="s">
        <v>771</v>
      </c>
      <c r="C365" s="215"/>
      <c r="D365" s="54"/>
      <c r="E365" s="214">
        <f>G352+G364</f>
        <v>534.072969817041</v>
      </c>
      <c r="F365" s="222">
        <f>费率表!$C$6</f>
        <v>0.07</v>
      </c>
      <c r="G365" s="216">
        <f t="shared" si="28"/>
        <v>37.3851078871929</v>
      </c>
    </row>
    <row r="366" customHeight="1" spans="1:7">
      <c r="A366" s="204" t="s">
        <v>15</v>
      </c>
      <c r="B366" s="218" t="s">
        <v>517</v>
      </c>
      <c r="C366" s="219"/>
      <c r="D366" s="54"/>
      <c r="E366" s="214"/>
      <c r="F366" s="230"/>
      <c r="G366" s="216">
        <f>G367</f>
        <v>354.319548055462</v>
      </c>
    </row>
    <row r="367" customHeight="1" spans="1:7">
      <c r="A367" s="204"/>
      <c r="B367" s="218" t="s">
        <v>694</v>
      </c>
      <c r="C367" s="219"/>
      <c r="D367" s="54" t="s">
        <v>695</v>
      </c>
      <c r="E367" s="214">
        <f>E360*施工机械台时费!$L$6+维修!$E$387*施工机械台时费!$L$12+维修!E362*施工机械台时费!$L$32</f>
        <v>58.45294</v>
      </c>
      <c r="F367" s="214">
        <f>主要材料预算!$N$13</f>
        <v>6.0616206482593</v>
      </c>
      <c r="G367" s="216">
        <f t="shared" ref="G367:G369" si="29">E367*F367</f>
        <v>354.319548055462</v>
      </c>
    </row>
    <row r="368" customHeight="1" spans="1:7">
      <c r="A368" s="204" t="s">
        <v>906</v>
      </c>
      <c r="B368" s="215" t="s">
        <v>772</v>
      </c>
      <c r="C368" s="215"/>
      <c r="D368" s="54"/>
      <c r="E368" s="214">
        <f>G352+G364+G365+G366</f>
        <v>925.777625759696</v>
      </c>
      <c r="F368" s="222">
        <f>费率表!$C$7</f>
        <v>0.09</v>
      </c>
      <c r="G368" s="216">
        <f t="shared" si="29"/>
        <v>83.3199863183726</v>
      </c>
    </row>
    <row r="369" customHeight="1" spans="1:7">
      <c r="A369" s="204"/>
      <c r="B369" s="215" t="s">
        <v>907</v>
      </c>
      <c r="C369" s="215"/>
      <c r="D369" s="54"/>
      <c r="E369" s="214">
        <f>G352+G364+G365+G366+G368</f>
        <v>1009.09761207807</v>
      </c>
      <c r="F369" s="222">
        <f>费率表!$B$19</f>
        <v>0.03</v>
      </c>
      <c r="G369" s="216">
        <f t="shared" si="29"/>
        <v>30.2729283623421</v>
      </c>
    </row>
    <row r="370" customHeight="1" spans="1:7">
      <c r="A370" s="223"/>
      <c r="B370" s="224" t="s">
        <v>39</v>
      </c>
      <c r="C370" s="224"/>
      <c r="D370" s="224"/>
      <c r="E370" s="225"/>
      <c r="F370" s="224"/>
      <c r="G370" s="226">
        <f>G352+G364+G365+G366+G368+G369</f>
        <v>1039.37054044041</v>
      </c>
    </row>
    <row r="371" customHeight="1" spans="1:7">
      <c r="A371" s="197"/>
      <c r="B371" s="197"/>
      <c r="C371" s="195"/>
      <c r="D371" s="232"/>
      <c r="E371" s="233"/>
      <c r="F371" s="232"/>
      <c r="G371" s="233"/>
    </row>
    <row r="372" customHeight="1" spans="1:7">
      <c r="A372" s="198" t="s">
        <v>868</v>
      </c>
      <c r="B372" s="198"/>
      <c r="C372" s="198"/>
      <c r="D372" s="198"/>
      <c r="E372" s="198"/>
      <c r="F372" s="198"/>
      <c r="G372" s="198"/>
    </row>
    <row r="373" customHeight="1" spans="1:7">
      <c r="A373" s="199" t="s">
        <v>869</v>
      </c>
      <c r="B373" s="200"/>
      <c r="C373" s="200"/>
      <c r="D373" s="200" t="s">
        <v>870</v>
      </c>
      <c r="E373" s="201" t="s">
        <v>1357</v>
      </c>
      <c r="F373" s="202"/>
      <c r="G373" s="203"/>
    </row>
    <row r="374" customHeight="1" spans="1:7">
      <c r="A374" s="204" t="s">
        <v>507</v>
      </c>
      <c r="B374" s="205"/>
      <c r="C374" s="206" t="s">
        <v>1358</v>
      </c>
      <c r="D374" s="206"/>
      <c r="E374" s="206"/>
      <c r="F374" s="54" t="s">
        <v>873</v>
      </c>
      <c r="G374" s="207" t="s">
        <v>874</v>
      </c>
    </row>
    <row r="375" customHeight="1" spans="1:7">
      <c r="A375" s="208" t="s">
        <v>1352</v>
      </c>
      <c r="B375" s="206"/>
      <c r="C375" s="206"/>
      <c r="D375" s="206"/>
      <c r="E375" s="206"/>
      <c r="F375" s="206"/>
      <c r="G375" s="209"/>
    </row>
    <row r="376" customHeight="1" spans="1:7">
      <c r="A376" s="210" t="s">
        <v>1098</v>
      </c>
      <c r="B376" s="211"/>
      <c r="C376" s="212"/>
      <c r="D376" s="212"/>
      <c r="E376" s="212"/>
      <c r="F376" s="212"/>
      <c r="G376" s="213"/>
    </row>
    <row r="377" customHeight="1" spans="1:7">
      <c r="A377" s="204" t="s">
        <v>34</v>
      </c>
      <c r="B377" s="54" t="s">
        <v>761</v>
      </c>
      <c r="C377" s="54"/>
      <c r="D377" s="54" t="s">
        <v>60</v>
      </c>
      <c r="E377" s="214" t="s">
        <v>877</v>
      </c>
      <c r="F377" s="54" t="s">
        <v>878</v>
      </c>
      <c r="G377" s="207" t="s">
        <v>879</v>
      </c>
    </row>
    <row r="378" customHeight="1" spans="1:7">
      <c r="A378" s="204" t="s">
        <v>8</v>
      </c>
      <c r="B378" s="215" t="s">
        <v>880</v>
      </c>
      <c r="C378" s="215"/>
      <c r="D378" s="54"/>
      <c r="E378" s="214"/>
      <c r="F378" s="214"/>
      <c r="G378" s="216">
        <f>G379+G389</f>
        <v>607.701757778326</v>
      </c>
    </row>
    <row r="379" customHeight="1" spans="1:7">
      <c r="A379" s="204" t="s">
        <v>881</v>
      </c>
      <c r="B379" s="215" t="s">
        <v>882</v>
      </c>
      <c r="C379" s="215"/>
      <c r="D379" s="54"/>
      <c r="E379" s="214"/>
      <c r="F379" s="214"/>
      <c r="G379" s="216">
        <f>G380+G383+G385</f>
        <v>579.868089483135</v>
      </c>
    </row>
    <row r="380" customHeight="1" spans="1:7">
      <c r="A380" s="204" t="s">
        <v>17</v>
      </c>
      <c r="B380" s="215" t="s">
        <v>510</v>
      </c>
      <c r="C380" s="215"/>
      <c r="D380" s="54"/>
      <c r="E380" s="214"/>
      <c r="F380" s="214"/>
      <c r="G380" s="216">
        <f>SUM(G381:G382)</f>
        <v>27.30364</v>
      </c>
    </row>
    <row r="381" customHeight="1" spans="1:7">
      <c r="A381" s="204"/>
      <c r="B381" s="215" t="s">
        <v>704</v>
      </c>
      <c r="C381" s="215"/>
      <c r="D381" s="54" t="s">
        <v>705</v>
      </c>
      <c r="E381" s="214"/>
      <c r="F381" s="214"/>
      <c r="G381" s="216"/>
    </row>
    <row r="382" customHeight="1" spans="1:7">
      <c r="A382" s="204"/>
      <c r="B382" s="215" t="s">
        <v>706</v>
      </c>
      <c r="C382" s="215"/>
      <c r="D382" s="54" t="s">
        <v>705</v>
      </c>
      <c r="E382" s="217">
        <f>5.2*0.91</f>
        <v>4.732</v>
      </c>
      <c r="F382" s="214">
        <f>主要材料预算!$D$20</f>
        <v>5.77</v>
      </c>
      <c r="G382" s="216">
        <f>E382*F382</f>
        <v>27.30364</v>
      </c>
    </row>
    <row r="383" customHeight="1" spans="1:7">
      <c r="A383" s="204" t="s">
        <v>19</v>
      </c>
      <c r="B383" s="218" t="s">
        <v>511</v>
      </c>
      <c r="C383" s="219"/>
      <c r="D383" s="54"/>
      <c r="E383" s="214"/>
      <c r="F383" s="214"/>
      <c r="G383" s="216">
        <f>G384</f>
        <v>27.6127661658636</v>
      </c>
    </row>
    <row r="384" customHeight="1" spans="1:7">
      <c r="A384" s="204"/>
      <c r="B384" s="215" t="s">
        <v>1008</v>
      </c>
      <c r="C384" s="215"/>
      <c r="D384" s="54" t="s">
        <v>894</v>
      </c>
      <c r="E384" s="214">
        <f>G380+G385</f>
        <v>552.255323317272</v>
      </c>
      <c r="F384" s="229">
        <v>5</v>
      </c>
      <c r="G384" s="216">
        <f>E384*F384/100</f>
        <v>27.6127661658636</v>
      </c>
    </row>
    <row r="385" customHeight="1" spans="1:7">
      <c r="A385" s="204" t="s">
        <v>21</v>
      </c>
      <c r="B385" s="215" t="s">
        <v>895</v>
      </c>
      <c r="C385" s="215"/>
      <c r="D385" s="215"/>
      <c r="E385" s="214"/>
      <c r="F385" s="214"/>
      <c r="G385" s="216">
        <f>SUM(G386:G388)</f>
        <v>524.951683317272</v>
      </c>
    </row>
    <row r="386" customHeight="1" spans="1:7">
      <c r="A386" s="204"/>
      <c r="B386" s="218" t="s">
        <v>1353</v>
      </c>
      <c r="C386" s="219"/>
      <c r="D386" s="54" t="s">
        <v>896</v>
      </c>
      <c r="E386" s="214">
        <f>1.04*0.91</f>
        <v>0.9464</v>
      </c>
      <c r="F386" s="214">
        <f>施工机械台时费!$E$6</f>
        <v>122.94140686079</v>
      </c>
      <c r="G386" s="216">
        <f t="shared" ref="G386:G391" si="30">E386*F386</f>
        <v>116.351747453051</v>
      </c>
    </row>
    <row r="387" customHeight="1" spans="1:7">
      <c r="A387" s="204"/>
      <c r="B387" s="218" t="s">
        <v>1339</v>
      </c>
      <c r="C387" s="219"/>
      <c r="D387" s="54" t="s">
        <v>896</v>
      </c>
      <c r="E387" s="214">
        <f>0.52*0.91</f>
        <v>0.4732</v>
      </c>
      <c r="F387" s="214">
        <f>施工机械台时费!$E$12</f>
        <v>66.3822584762664</v>
      </c>
      <c r="G387" s="216">
        <f t="shared" si="30"/>
        <v>31.4120847109693</v>
      </c>
    </row>
    <row r="388" customHeight="1" spans="1:7">
      <c r="A388" s="204"/>
      <c r="B388" s="218" t="s">
        <v>1354</v>
      </c>
      <c r="C388" s="219"/>
      <c r="D388" s="54" t="s">
        <v>896</v>
      </c>
      <c r="E388" s="214">
        <f>5.67*0.91</f>
        <v>5.1597</v>
      </c>
      <c r="F388" s="214">
        <f>施工机械台时费!$E$32</f>
        <v>73.10267092142</v>
      </c>
      <c r="G388" s="216">
        <f t="shared" si="30"/>
        <v>377.187851153251</v>
      </c>
    </row>
    <row r="389" customHeight="1" spans="1:7">
      <c r="A389" s="204" t="s">
        <v>905</v>
      </c>
      <c r="B389" s="215" t="s">
        <v>514</v>
      </c>
      <c r="C389" s="215"/>
      <c r="D389" s="54"/>
      <c r="E389" s="220">
        <f>G379</f>
        <v>579.868089483135</v>
      </c>
      <c r="F389" s="221">
        <f>费率表!$C$4</f>
        <v>0.048</v>
      </c>
      <c r="G389" s="216">
        <f t="shared" si="30"/>
        <v>27.8336682951905</v>
      </c>
    </row>
    <row r="390" customHeight="1" spans="1:7">
      <c r="A390" s="204" t="s">
        <v>10</v>
      </c>
      <c r="B390" s="215" t="s">
        <v>770</v>
      </c>
      <c r="C390" s="215"/>
      <c r="D390" s="54"/>
      <c r="E390" s="214">
        <f>G378</f>
        <v>607.701757778326</v>
      </c>
      <c r="F390" s="222">
        <f>费率表!$C$5</f>
        <v>0.045</v>
      </c>
      <c r="G390" s="216">
        <f t="shared" si="30"/>
        <v>27.3465791000247</v>
      </c>
    </row>
    <row r="391" customHeight="1" spans="1:7">
      <c r="A391" s="204" t="s">
        <v>12</v>
      </c>
      <c r="B391" s="215" t="s">
        <v>771</v>
      </c>
      <c r="C391" s="215"/>
      <c r="D391" s="54"/>
      <c r="E391" s="214">
        <f>G378+G390</f>
        <v>635.04833687835</v>
      </c>
      <c r="F391" s="222">
        <f>费率表!$C$6</f>
        <v>0.07</v>
      </c>
      <c r="G391" s="216">
        <f t="shared" si="30"/>
        <v>44.4533835814845</v>
      </c>
    </row>
    <row r="392" customHeight="1" spans="1:7">
      <c r="A392" s="204" t="s">
        <v>15</v>
      </c>
      <c r="B392" s="218" t="s">
        <v>517</v>
      </c>
      <c r="C392" s="219"/>
      <c r="D392" s="54"/>
      <c r="E392" s="214"/>
      <c r="F392" s="230"/>
      <c r="G392" s="216">
        <f>G393</f>
        <v>428.58797902689</v>
      </c>
    </row>
    <row r="393" customHeight="1" spans="1:7">
      <c r="A393" s="204"/>
      <c r="B393" s="218" t="s">
        <v>694</v>
      </c>
      <c r="C393" s="219"/>
      <c r="D393" s="54" t="s">
        <v>695</v>
      </c>
      <c r="E393" s="214">
        <f>E386*施工机械台时费!$L$6+维修!$E$387*施工机械台时费!$L$12+维修!E388*施工机械台时费!$L$32</f>
        <v>70.70518</v>
      </c>
      <c r="F393" s="214">
        <f>主要材料预算!$N$13</f>
        <v>6.0616206482593</v>
      </c>
      <c r="G393" s="216">
        <f t="shared" ref="G393:G395" si="31">E393*F393</f>
        <v>428.58797902689</v>
      </c>
    </row>
    <row r="394" customHeight="1" spans="1:7">
      <c r="A394" s="204" t="s">
        <v>906</v>
      </c>
      <c r="B394" s="215" t="s">
        <v>772</v>
      </c>
      <c r="C394" s="215"/>
      <c r="D394" s="54"/>
      <c r="E394" s="214">
        <f>G378+G390+G391+G392</f>
        <v>1108.08969948673</v>
      </c>
      <c r="F394" s="222">
        <f>费率表!$C$7</f>
        <v>0.09</v>
      </c>
      <c r="G394" s="216">
        <f t="shared" si="31"/>
        <v>99.7280729538053</v>
      </c>
    </row>
    <row r="395" customHeight="1" spans="1:7">
      <c r="A395" s="204"/>
      <c r="B395" s="215" t="s">
        <v>907</v>
      </c>
      <c r="C395" s="215"/>
      <c r="D395" s="54"/>
      <c r="E395" s="214">
        <f>G378+G390+G391+G392+G394</f>
        <v>1207.81777244053</v>
      </c>
      <c r="F395" s="222">
        <f>费率表!$B$19</f>
        <v>0.03</v>
      </c>
      <c r="G395" s="216">
        <f t="shared" si="31"/>
        <v>36.2345331732159</v>
      </c>
    </row>
    <row r="396" customHeight="1" spans="1:7">
      <c r="A396" s="223"/>
      <c r="B396" s="224" t="s">
        <v>39</v>
      </c>
      <c r="C396" s="224"/>
      <c r="D396" s="224"/>
      <c r="E396" s="225"/>
      <c r="F396" s="224"/>
      <c r="G396" s="226">
        <f>G378+G390+G391+G392+G394+G395</f>
        <v>1244.05230561375</v>
      </c>
    </row>
    <row r="398" customHeight="1" spans="1:7">
      <c r="A398" s="198" t="s">
        <v>868</v>
      </c>
      <c r="B398" s="198"/>
      <c r="C398" s="198"/>
      <c r="D398" s="198"/>
      <c r="E398" s="198"/>
      <c r="F398" s="198"/>
      <c r="G398" s="198"/>
    </row>
    <row r="399" customHeight="1" spans="1:7">
      <c r="A399" s="199" t="s">
        <v>869</v>
      </c>
      <c r="B399" s="200"/>
      <c r="C399" s="200"/>
      <c r="D399" s="200" t="s">
        <v>870</v>
      </c>
      <c r="E399" s="201" t="s">
        <v>1359</v>
      </c>
      <c r="F399" s="202"/>
      <c r="G399" s="203"/>
    </row>
    <row r="400" customHeight="1" spans="1:7">
      <c r="A400" s="204" t="s">
        <v>507</v>
      </c>
      <c r="B400" s="205"/>
      <c r="C400" s="206" t="s">
        <v>1360</v>
      </c>
      <c r="D400" s="206"/>
      <c r="E400" s="206"/>
      <c r="F400" s="54" t="s">
        <v>873</v>
      </c>
      <c r="G400" s="207" t="s">
        <v>874</v>
      </c>
    </row>
    <row r="401" customHeight="1" spans="1:7">
      <c r="A401" s="208" t="s">
        <v>1352</v>
      </c>
      <c r="B401" s="206"/>
      <c r="C401" s="206"/>
      <c r="D401" s="206"/>
      <c r="E401" s="206"/>
      <c r="F401" s="206"/>
      <c r="G401" s="209"/>
    </row>
    <row r="402" customHeight="1" spans="1:7">
      <c r="A402" s="210" t="s">
        <v>1098</v>
      </c>
      <c r="B402" s="211"/>
      <c r="C402" s="212"/>
      <c r="D402" s="212"/>
      <c r="E402" s="212"/>
      <c r="F402" s="212"/>
      <c r="G402" s="213"/>
    </row>
    <row r="403" customHeight="1" spans="1:7">
      <c r="A403" s="204" t="s">
        <v>34</v>
      </c>
      <c r="B403" s="54" t="s">
        <v>761</v>
      </c>
      <c r="C403" s="54"/>
      <c r="D403" s="54" t="s">
        <v>60</v>
      </c>
      <c r="E403" s="214" t="s">
        <v>877</v>
      </c>
      <c r="F403" s="54" t="s">
        <v>878</v>
      </c>
      <c r="G403" s="207" t="s">
        <v>879</v>
      </c>
    </row>
    <row r="404" customHeight="1" spans="1:7">
      <c r="A404" s="204" t="s">
        <v>8</v>
      </c>
      <c r="B404" s="215" t="s">
        <v>880</v>
      </c>
      <c r="C404" s="215"/>
      <c r="D404" s="54"/>
      <c r="E404" s="214"/>
      <c r="F404" s="214"/>
      <c r="G404" s="216">
        <f>G405+G415</f>
        <v>769.479024129996</v>
      </c>
    </row>
    <row r="405" customHeight="1" spans="1:7">
      <c r="A405" s="204" t="s">
        <v>881</v>
      </c>
      <c r="B405" s="215" t="s">
        <v>882</v>
      </c>
      <c r="C405" s="215"/>
      <c r="D405" s="54"/>
      <c r="E405" s="214"/>
      <c r="F405" s="214"/>
      <c r="G405" s="216">
        <f>G406+G409+G411</f>
        <v>734.235710047706</v>
      </c>
    </row>
    <row r="406" customHeight="1" spans="1:7">
      <c r="A406" s="204" t="s">
        <v>17</v>
      </c>
      <c r="B406" s="215" t="s">
        <v>510</v>
      </c>
      <c r="C406" s="215"/>
      <c r="D406" s="54"/>
      <c r="E406" s="214"/>
      <c r="F406" s="214"/>
      <c r="G406" s="216">
        <f>SUM(G407:G408)</f>
        <v>27.30364</v>
      </c>
    </row>
    <row r="407" customHeight="1" spans="1:7">
      <c r="A407" s="204"/>
      <c r="B407" s="215" t="s">
        <v>704</v>
      </c>
      <c r="C407" s="215"/>
      <c r="D407" s="54" t="s">
        <v>705</v>
      </c>
      <c r="E407" s="214"/>
      <c r="F407" s="214"/>
      <c r="G407" s="216"/>
    </row>
    <row r="408" customHeight="1" spans="1:7">
      <c r="A408" s="204"/>
      <c r="B408" s="215" t="s">
        <v>706</v>
      </c>
      <c r="C408" s="215"/>
      <c r="D408" s="54" t="s">
        <v>705</v>
      </c>
      <c r="E408" s="217">
        <f>5.2*0.91</f>
        <v>4.732</v>
      </c>
      <c r="F408" s="214">
        <f>主要材料预算!$D$20</f>
        <v>5.77</v>
      </c>
      <c r="G408" s="216">
        <f t="shared" ref="G408:G417" si="32">E408*F408</f>
        <v>27.30364</v>
      </c>
    </row>
    <row r="409" customHeight="1" spans="1:7">
      <c r="A409" s="204" t="s">
        <v>19</v>
      </c>
      <c r="B409" s="218" t="s">
        <v>511</v>
      </c>
      <c r="C409" s="219"/>
      <c r="D409" s="54"/>
      <c r="E409" s="214"/>
      <c r="F409" s="214"/>
      <c r="G409" s="216">
        <f>G410</f>
        <v>34.963605240367</v>
      </c>
    </row>
    <row r="410" customHeight="1" spans="1:7">
      <c r="A410" s="204"/>
      <c r="B410" s="215" t="s">
        <v>1008</v>
      </c>
      <c r="C410" s="215"/>
      <c r="D410" s="54" t="s">
        <v>894</v>
      </c>
      <c r="E410" s="214">
        <f>G406+G411</f>
        <v>699.272104807339</v>
      </c>
      <c r="F410" s="229">
        <v>5</v>
      </c>
      <c r="G410" s="216">
        <f>E410*F410/100</f>
        <v>34.963605240367</v>
      </c>
    </row>
    <row r="411" customHeight="1" spans="1:7">
      <c r="A411" s="204" t="s">
        <v>21</v>
      </c>
      <c r="B411" s="215" t="s">
        <v>895</v>
      </c>
      <c r="C411" s="215"/>
      <c r="D411" s="215"/>
      <c r="E411" s="214"/>
      <c r="F411" s="214"/>
      <c r="G411" s="216">
        <f>SUM(G412:G414)</f>
        <v>671.96846480734</v>
      </c>
    </row>
    <row r="412" customHeight="1" spans="1:7">
      <c r="A412" s="204"/>
      <c r="B412" s="218" t="s">
        <v>1353</v>
      </c>
      <c r="C412" s="219"/>
      <c r="D412" s="54" t="s">
        <v>896</v>
      </c>
      <c r="E412" s="214">
        <f>1.04*0.91</f>
        <v>0.9464</v>
      </c>
      <c r="F412" s="214">
        <f>施工机械台时费!$E$6</f>
        <v>122.94140686079</v>
      </c>
      <c r="G412" s="216">
        <f t="shared" si="32"/>
        <v>116.351747453051</v>
      </c>
    </row>
    <row r="413" customHeight="1" spans="1:7">
      <c r="A413" s="204"/>
      <c r="B413" s="218" t="s">
        <v>1339</v>
      </c>
      <c r="C413" s="219"/>
      <c r="D413" s="54" t="s">
        <v>896</v>
      </c>
      <c r="E413" s="214">
        <f>0.52*0.91</f>
        <v>0.4732</v>
      </c>
      <c r="F413" s="214">
        <f>施工机械台时费!$E$12</f>
        <v>66.3822584762664</v>
      </c>
      <c r="G413" s="216">
        <f t="shared" si="32"/>
        <v>31.4120847109693</v>
      </c>
    </row>
    <row r="414" customHeight="1" spans="1:7">
      <c r="A414" s="204"/>
      <c r="B414" s="218" t="s">
        <v>1354</v>
      </c>
      <c r="C414" s="219"/>
      <c r="D414" s="54" t="s">
        <v>896</v>
      </c>
      <c r="E414" s="214">
        <f>7.88*0.91</f>
        <v>7.1708</v>
      </c>
      <c r="F414" s="214">
        <f>施工机械台时费!$E$32</f>
        <v>73.10267092142</v>
      </c>
      <c r="G414" s="216">
        <f t="shared" si="32"/>
        <v>524.204632643319</v>
      </c>
    </row>
    <row r="415" customHeight="1" spans="1:7">
      <c r="A415" s="204" t="s">
        <v>905</v>
      </c>
      <c r="B415" s="215" t="s">
        <v>514</v>
      </c>
      <c r="C415" s="215"/>
      <c r="D415" s="54"/>
      <c r="E415" s="220">
        <f>G405</f>
        <v>734.235710047706</v>
      </c>
      <c r="F415" s="221">
        <f>费率表!$C$4</f>
        <v>0.048</v>
      </c>
      <c r="G415" s="216">
        <f t="shared" si="32"/>
        <v>35.2433140822899</v>
      </c>
    </row>
    <row r="416" customHeight="1" spans="1:7">
      <c r="A416" s="204" t="s">
        <v>10</v>
      </c>
      <c r="B416" s="215" t="s">
        <v>770</v>
      </c>
      <c r="C416" s="215"/>
      <c r="D416" s="54"/>
      <c r="E416" s="214">
        <f>G404</f>
        <v>769.479024129996</v>
      </c>
      <c r="F416" s="222">
        <f>费率表!$C$5</f>
        <v>0.045</v>
      </c>
      <c r="G416" s="216">
        <f t="shared" si="32"/>
        <v>34.6265560858498</v>
      </c>
    </row>
    <row r="417" customHeight="1" spans="1:7">
      <c r="A417" s="204" t="s">
        <v>12</v>
      </c>
      <c r="B417" s="215" t="s">
        <v>771</v>
      </c>
      <c r="C417" s="215"/>
      <c r="D417" s="54"/>
      <c r="E417" s="214">
        <f>G404+G416</f>
        <v>804.105580215846</v>
      </c>
      <c r="F417" s="222">
        <f>费率表!$C$6</f>
        <v>0.07</v>
      </c>
      <c r="G417" s="216">
        <f t="shared" si="32"/>
        <v>56.2873906151092</v>
      </c>
    </row>
    <row r="418" customHeight="1" spans="1:7">
      <c r="A418" s="204" t="s">
        <v>15</v>
      </c>
      <c r="B418" s="218" t="s">
        <v>517</v>
      </c>
      <c r="C418" s="219"/>
      <c r="D418" s="54"/>
      <c r="E418" s="214"/>
      <c r="F418" s="230"/>
      <c r="G418" s="216">
        <f>G419</f>
        <v>552.931336941176</v>
      </c>
    </row>
    <row r="419" customHeight="1" spans="1:7">
      <c r="A419" s="204"/>
      <c r="B419" s="218" t="s">
        <v>694</v>
      </c>
      <c r="C419" s="219"/>
      <c r="D419" s="54" t="s">
        <v>695</v>
      </c>
      <c r="E419" s="214">
        <f>E412*施工机械台时费!$L$6+维修!$E$387*施工机械台时费!$L$12+维修!E414*施工机械台时费!$L$32</f>
        <v>91.2184</v>
      </c>
      <c r="F419" s="214">
        <f>主要材料预算!$N$13</f>
        <v>6.0616206482593</v>
      </c>
      <c r="G419" s="216">
        <f t="shared" ref="G419:G421" si="33">E419*F419</f>
        <v>552.931336941176</v>
      </c>
    </row>
    <row r="420" customHeight="1" spans="1:7">
      <c r="A420" s="204" t="s">
        <v>906</v>
      </c>
      <c r="B420" s="215" t="s">
        <v>772</v>
      </c>
      <c r="C420" s="215"/>
      <c r="D420" s="54"/>
      <c r="E420" s="214">
        <f>G404+G416+G417+G418</f>
        <v>1413.32430777213</v>
      </c>
      <c r="F420" s="222">
        <f>费率表!$C$7</f>
        <v>0.09</v>
      </c>
      <c r="G420" s="216">
        <f t="shared" si="33"/>
        <v>127.199187699492</v>
      </c>
    </row>
    <row r="421" customHeight="1" spans="1:7">
      <c r="A421" s="204"/>
      <c r="B421" s="215" t="s">
        <v>907</v>
      </c>
      <c r="C421" s="215"/>
      <c r="D421" s="54"/>
      <c r="E421" s="214">
        <f>G404+G416+G417+G418+G420</f>
        <v>1540.52349547162</v>
      </c>
      <c r="F421" s="222">
        <f>费率表!$B$19</f>
        <v>0.03</v>
      </c>
      <c r="G421" s="216">
        <f t="shared" si="33"/>
        <v>46.2157048641487</v>
      </c>
    </row>
    <row r="422" customHeight="1" spans="1:7">
      <c r="A422" s="223"/>
      <c r="B422" s="224" t="s">
        <v>39</v>
      </c>
      <c r="C422" s="224"/>
      <c r="D422" s="224"/>
      <c r="E422" s="225"/>
      <c r="F422" s="224"/>
      <c r="G422" s="226">
        <f>G404+G416+G417+G418+G420+G421</f>
        <v>1586.73920033577</v>
      </c>
    </row>
    <row r="424" customHeight="1" spans="1:7">
      <c r="A424" s="198" t="s">
        <v>868</v>
      </c>
      <c r="B424" s="198"/>
      <c r="C424" s="198"/>
      <c r="D424" s="198"/>
      <c r="E424" s="198"/>
      <c r="F424" s="198"/>
      <c r="G424" s="198"/>
    </row>
    <row r="425" customHeight="1" spans="1:7">
      <c r="A425" s="199" t="s">
        <v>869</v>
      </c>
      <c r="B425" s="200"/>
      <c r="C425" s="200"/>
      <c r="D425" s="200" t="s">
        <v>870</v>
      </c>
      <c r="E425" s="201" t="s">
        <v>1361</v>
      </c>
      <c r="F425" s="202"/>
      <c r="G425" s="203"/>
    </row>
    <row r="426" customHeight="1" spans="1:7">
      <c r="A426" s="204" t="s">
        <v>507</v>
      </c>
      <c r="B426" s="205"/>
      <c r="C426" s="206" t="s">
        <v>1362</v>
      </c>
      <c r="D426" s="206"/>
      <c r="E426" s="206"/>
      <c r="F426" s="54" t="s">
        <v>873</v>
      </c>
      <c r="G426" s="207" t="s">
        <v>874</v>
      </c>
    </row>
    <row r="427" customHeight="1" spans="1:7">
      <c r="A427" s="208" t="s">
        <v>1352</v>
      </c>
      <c r="B427" s="206"/>
      <c r="C427" s="206"/>
      <c r="D427" s="206"/>
      <c r="E427" s="206"/>
      <c r="F427" s="206"/>
      <c r="G427" s="209"/>
    </row>
    <row r="428" customHeight="1" spans="1:7">
      <c r="A428" s="210" t="s">
        <v>1098</v>
      </c>
      <c r="B428" s="211"/>
      <c r="C428" s="212"/>
      <c r="D428" s="212"/>
      <c r="E428" s="212"/>
      <c r="F428" s="212"/>
      <c r="G428" s="213"/>
    </row>
    <row r="429" customHeight="1" spans="1:7">
      <c r="A429" s="204" t="s">
        <v>34</v>
      </c>
      <c r="B429" s="54" t="s">
        <v>761</v>
      </c>
      <c r="C429" s="54"/>
      <c r="D429" s="54" t="s">
        <v>60</v>
      </c>
      <c r="E429" s="214" t="s">
        <v>877</v>
      </c>
      <c r="F429" s="54" t="s">
        <v>878</v>
      </c>
      <c r="G429" s="207" t="s">
        <v>879</v>
      </c>
    </row>
    <row r="430" customHeight="1" spans="1:7">
      <c r="A430" s="204" t="s">
        <v>8</v>
      </c>
      <c r="B430" s="215" t="s">
        <v>880</v>
      </c>
      <c r="C430" s="215"/>
      <c r="D430" s="54"/>
      <c r="E430" s="214"/>
      <c r="F430" s="214"/>
      <c r="G430" s="216">
        <f>G431+G441</f>
        <v>871.140925074963</v>
      </c>
    </row>
    <row r="431" customHeight="1" spans="1:7">
      <c r="A431" s="204" t="s">
        <v>881</v>
      </c>
      <c r="B431" s="215" t="s">
        <v>882</v>
      </c>
      <c r="C431" s="215"/>
      <c r="D431" s="54"/>
      <c r="E431" s="214"/>
      <c r="F431" s="214"/>
      <c r="G431" s="216">
        <f>G432+G435+G437</f>
        <v>831.241340720384</v>
      </c>
    </row>
    <row r="432" customHeight="1" spans="1:7">
      <c r="A432" s="204" t="s">
        <v>17</v>
      </c>
      <c r="B432" s="215" t="s">
        <v>510</v>
      </c>
      <c r="C432" s="215"/>
      <c r="D432" s="54"/>
      <c r="E432" s="214"/>
      <c r="F432" s="214"/>
      <c r="G432" s="216">
        <f>SUM(G433:G434)</f>
        <v>27.30364</v>
      </c>
    </row>
    <row r="433" customHeight="1" spans="1:7">
      <c r="A433" s="204"/>
      <c r="B433" s="215" t="s">
        <v>704</v>
      </c>
      <c r="C433" s="215"/>
      <c r="D433" s="54" t="s">
        <v>705</v>
      </c>
      <c r="E433" s="214"/>
      <c r="F433" s="214"/>
      <c r="G433" s="216"/>
    </row>
    <row r="434" customHeight="1" spans="1:7">
      <c r="A434" s="204"/>
      <c r="B434" s="215" t="s">
        <v>706</v>
      </c>
      <c r="C434" s="215"/>
      <c r="D434" s="54" t="s">
        <v>705</v>
      </c>
      <c r="E434" s="217">
        <f>5.2*0.91</f>
        <v>4.732</v>
      </c>
      <c r="F434" s="214">
        <f>主要材料预算!$D$20</f>
        <v>5.77</v>
      </c>
      <c r="G434" s="216">
        <f>E434*F434</f>
        <v>27.30364</v>
      </c>
    </row>
    <row r="435" customHeight="1" spans="1:7">
      <c r="A435" s="204" t="s">
        <v>19</v>
      </c>
      <c r="B435" s="218" t="s">
        <v>511</v>
      </c>
      <c r="C435" s="219"/>
      <c r="D435" s="54"/>
      <c r="E435" s="214"/>
      <c r="F435" s="214"/>
      <c r="G435" s="216">
        <f>G436</f>
        <v>36.175495937616</v>
      </c>
    </row>
    <row r="436" customHeight="1" spans="1:7">
      <c r="A436" s="204"/>
      <c r="B436" s="215" t="s">
        <v>1008</v>
      </c>
      <c r="C436" s="215"/>
      <c r="D436" s="54" t="s">
        <v>894</v>
      </c>
      <c r="E436" s="214">
        <f>G432+G437</f>
        <v>795.065844782768</v>
      </c>
      <c r="F436" s="229">
        <f>5*0.91</f>
        <v>4.55</v>
      </c>
      <c r="G436" s="216">
        <f>E436*F436/100</f>
        <v>36.175495937616</v>
      </c>
    </row>
    <row r="437" customHeight="1" spans="1:7">
      <c r="A437" s="204" t="s">
        <v>21</v>
      </c>
      <c r="B437" s="215" t="s">
        <v>895</v>
      </c>
      <c r="C437" s="215"/>
      <c r="D437" s="215"/>
      <c r="E437" s="214"/>
      <c r="F437" s="214"/>
      <c r="G437" s="216">
        <f>SUM(G438:G440)</f>
        <v>767.762204782768</v>
      </c>
    </row>
    <row r="438" customHeight="1" spans="1:7">
      <c r="A438" s="204"/>
      <c r="B438" s="218" t="s">
        <v>1353</v>
      </c>
      <c r="C438" s="219"/>
      <c r="D438" s="54" t="s">
        <v>896</v>
      </c>
      <c r="E438" s="214">
        <f>1.04*0.91</f>
        <v>0.9464</v>
      </c>
      <c r="F438" s="214">
        <f>施工机械台时费!$E$6</f>
        <v>122.94140686079</v>
      </c>
      <c r="G438" s="216">
        <f t="shared" ref="G438:G443" si="34">E438*F438</f>
        <v>116.351747453051</v>
      </c>
    </row>
    <row r="439" customHeight="1" spans="1:7">
      <c r="A439" s="204"/>
      <c r="B439" s="218" t="s">
        <v>1339</v>
      </c>
      <c r="C439" s="219"/>
      <c r="D439" s="54" t="s">
        <v>896</v>
      </c>
      <c r="E439" s="214">
        <f>0.52*0.91</f>
        <v>0.4732</v>
      </c>
      <c r="F439" s="214">
        <f>施工机械台时费!$E$12</f>
        <v>66.3822584762664</v>
      </c>
      <c r="G439" s="216">
        <f t="shared" si="34"/>
        <v>31.4120847109693</v>
      </c>
    </row>
    <row r="440" customHeight="1" spans="1:7">
      <c r="A440" s="204"/>
      <c r="B440" s="218" t="s">
        <v>1354</v>
      </c>
      <c r="C440" s="219"/>
      <c r="D440" s="54" t="s">
        <v>896</v>
      </c>
      <c r="E440" s="214">
        <f>9.32*0.91</f>
        <v>8.4812</v>
      </c>
      <c r="F440" s="214">
        <f>施工机械台时费!$E$32</f>
        <v>73.10267092142</v>
      </c>
      <c r="G440" s="216">
        <f t="shared" si="34"/>
        <v>619.998372618748</v>
      </c>
    </row>
    <row r="441" customHeight="1" spans="1:7">
      <c r="A441" s="204" t="s">
        <v>905</v>
      </c>
      <c r="B441" s="215" t="s">
        <v>514</v>
      </c>
      <c r="C441" s="215"/>
      <c r="D441" s="54"/>
      <c r="E441" s="220">
        <f>G431</f>
        <v>831.241340720384</v>
      </c>
      <c r="F441" s="221">
        <f>费率表!$C$4</f>
        <v>0.048</v>
      </c>
      <c r="G441" s="216">
        <f t="shared" si="34"/>
        <v>39.8995843545785</v>
      </c>
    </row>
    <row r="442" customHeight="1" spans="1:7">
      <c r="A442" s="204" t="s">
        <v>10</v>
      </c>
      <c r="B442" s="215" t="s">
        <v>770</v>
      </c>
      <c r="C442" s="215"/>
      <c r="D442" s="54"/>
      <c r="E442" s="214">
        <f>G430</f>
        <v>871.140925074963</v>
      </c>
      <c r="F442" s="222">
        <f>费率表!$C$5</f>
        <v>0.045</v>
      </c>
      <c r="G442" s="216">
        <f t="shared" si="34"/>
        <v>39.2013416283733</v>
      </c>
    </row>
    <row r="443" customHeight="1" spans="1:7">
      <c r="A443" s="204" t="s">
        <v>12</v>
      </c>
      <c r="B443" s="215" t="s">
        <v>771</v>
      </c>
      <c r="C443" s="215"/>
      <c r="D443" s="54"/>
      <c r="E443" s="214">
        <f>G430+G442</f>
        <v>910.342266703336</v>
      </c>
      <c r="F443" s="222">
        <f>费率表!$C$6</f>
        <v>0.07</v>
      </c>
      <c r="G443" s="216">
        <f t="shared" si="34"/>
        <v>63.7239586692335</v>
      </c>
    </row>
    <row r="444" customHeight="1" spans="1:7">
      <c r="A444" s="204" t="s">
        <v>15</v>
      </c>
      <c r="B444" s="218" t="s">
        <v>517</v>
      </c>
      <c r="C444" s="219"/>
      <c r="D444" s="54"/>
      <c r="E444" s="214"/>
      <c r="F444" s="230"/>
      <c r="G444" s="216">
        <f>G445</f>
        <v>633.951443455462</v>
      </c>
    </row>
    <row r="445" customHeight="1" spans="1:7">
      <c r="A445" s="204"/>
      <c r="B445" s="218" t="s">
        <v>694</v>
      </c>
      <c r="C445" s="219"/>
      <c r="D445" s="54" t="s">
        <v>695</v>
      </c>
      <c r="E445" s="214">
        <f>E438*施工机械台时费!$L$6+维修!$E$387*施工机械台时费!$L$12+维修!E440*施工机械台时费!$L$32</f>
        <v>104.58448</v>
      </c>
      <c r="F445" s="214">
        <f>主要材料预算!$N$13</f>
        <v>6.0616206482593</v>
      </c>
      <c r="G445" s="216">
        <f t="shared" ref="G445:G447" si="35">E445*F445</f>
        <v>633.951443455462</v>
      </c>
    </row>
    <row r="446" customHeight="1" spans="1:7">
      <c r="A446" s="204" t="s">
        <v>906</v>
      </c>
      <c r="B446" s="215" t="s">
        <v>772</v>
      </c>
      <c r="C446" s="215"/>
      <c r="D446" s="54"/>
      <c r="E446" s="214">
        <f>G430+G442+G443+G444</f>
        <v>1608.01766882803</v>
      </c>
      <c r="F446" s="222">
        <f>费率表!$C$7</f>
        <v>0.09</v>
      </c>
      <c r="G446" s="216">
        <f t="shared" si="35"/>
        <v>144.721590194523</v>
      </c>
    </row>
    <row r="447" customHeight="1" spans="1:7">
      <c r="A447" s="204"/>
      <c r="B447" s="215" t="s">
        <v>907</v>
      </c>
      <c r="C447" s="215"/>
      <c r="D447" s="54"/>
      <c r="E447" s="214">
        <f>G430+G442+G443+G444+G446</f>
        <v>1752.73925902255</v>
      </c>
      <c r="F447" s="222">
        <f>费率表!$B$19</f>
        <v>0.03</v>
      </c>
      <c r="G447" s="216">
        <f t="shared" si="35"/>
        <v>52.5821777706766</v>
      </c>
    </row>
    <row r="448" customHeight="1" spans="1:7">
      <c r="A448" s="223"/>
      <c r="B448" s="224" t="s">
        <v>39</v>
      </c>
      <c r="C448" s="224"/>
      <c r="D448" s="224"/>
      <c r="E448" s="225"/>
      <c r="F448" s="224"/>
      <c r="G448" s="226">
        <f>G430+G442+G443+G444+G446+G447</f>
        <v>1805.32143679323</v>
      </c>
    </row>
    <row r="450" customHeight="1" spans="1:7">
      <c r="A450" s="198" t="s">
        <v>868</v>
      </c>
      <c r="B450" s="198"/>
      <c r="C450" s="198"/>
      <c r="D450" s="198"/>
      <c r="E450" s="198"/>
      <c r="F450" s="198"/>
      <c r="G450" s="198"/>
    </row>
    <row r="451" customHeight="1" spans="1:7">
      <c r="A451" s="199" t="s">
        <v>869</v>
      </c>
      <c r="B451" s="200"/>
      <c r="C451" s="200"/>
      <c r="D451" s="200" t="s">
        <v>870</v>
      </c>
      <c r="E451" s="201" t="s">
        <v>1363</v>
      </c>
      <c r="F451" s="202"/>
      <c r="G451" s="203"/>
    </row>
    <row r="452" customHeight="1" spans="1:7">
      <c r="A452" s="204" t="s">
        <v>507</v>
      </c>
      <c r="B452" s="205"/>
      <c r="C452" s="206" t="s">
        <v>1364</v>
      </c>
      <c r="D452" s="206"/>
      <c r="E452" s="206"/>
      <c r="F452" s="54" t="s">
        <v>873</v>
      </c>
      <c r="G452" s="207" t="s">
        <v>874</v>
      </c>
    </row>
    <row r="453" customHeight="1" spans="1:7">
      <c r="A453" s="208" t="s">
        <v>1352</v>
      </c>
      <c r="B453" s="206"/>
      <c r="C453" s="206"/>
      <c r="D453" s="206"/>
      <c r="E453" s="206"/>
      <c r="F453" s="206"/>
      <c r="G453" s="209"/>
    </row>
    <row r="454" customHeight="1" spans="1:7">
      <c r="A454" s="210" t="s">
        <v>1098</v>
      </c>
      <c r="B454" s="211"/>
      <c r="C454" s="212"/>
      <c r="D454" s="212"/>
      <c r="E454" s="212"/>
      <c r="F454" s="212"/>
      <c r="G454" s="213"/>
    </row>
    <row r="455" customHeight="1" spans="1:7">
      <c r="A455" s="204" t="s">
        <v>34</v>
      </c>
      <c r="B455" s="54" t="s">
        <v>761</v>
      </c>
      <c r="C455" s="54"/>
      <c r="D455" s="54" t="s">
        <v>60</v>
      </c>
      <c r="E455" s="214" t="s">
        <v>877</v>
      </c>
      <c r="F455" s="54" t="s">
        <v>878</v>
      </c>
      <c r="G455" s="207" t="s">
        <v>879</v>
      </c>
    </row>
    <row r="456" customHeight="1" spans="1:7">
      <c r="A456" s="204" t="s">
        <v>8</v>
      </c>
      <c r="B456" s="215" t="s">
        <v>880</v>
      </c>
      <c r="C456" s="215"/>
      <c r="D456" s="54"/>
      <c r="E456" s="214"/>
      <c r="F456" s="214"/>
      <c r="G456" s="216">
        <f>G457+G467</f>
        <v>1000.88273714469</v>
      </c>
    </row>
    <row r="457" customHeight="1" spans="1:7">
      <c r="A457" s="204" t="s">
        <v>881</v>
      </c>
      <c r="B457" s="215" t="s">
        <v>882</v>
      </c>
      <c r="C457" s="215"/>
      <c r="D457" s="54"/>
      <c r="E457" s="214"/>
      <c r="F457" s="214"/>
      <c r="G457" s="216">
        <f>G458+G461+G463</f>
        <v>955.040779718213</v>
      </c>
    </row>
    <row r="458" customHeight="1" spans="1:7">
      <c r="A458" s="204" t="s">
        <v>17</v>
      </c>
      <c r="B458" s="215" t="s">
        <v>510</v>
      </c>
      <c r="C458" s="215"/>
      <c r="D458" s="54"/>
      <c r="E458" s="214"/>
      <c r="F458" s="214"/>
      <c r="G458" s="216">
        <f>SUM(G459:G460)</f>
        <v>27.30364</v>
      </c>
    </row>
    <row r="459" customHeight="1" spans="1:7">
      <c r="A459" s="204"/>
      <c r="B459" s="215" t="s">
        <v>704</v>
      </c>
      <c r="C459" s="215"/>
      <c r="D459" s="54" t="s">
        <v>705</v>
      </c>
      <c r="E459" s="214"/>
      <c r="F459" s="214"/>
      <c r="G459" s="216"/>
    </row>
    <row r="460" customHeight="1" spans="1:7">
      <c r="A460" s="204"/>
      <c r="B460" s="215" t="s">
        <v>706</v>
      </c>
      <c r="C460" s="215"/>
      <c r="D460" s="54" t="s">
        <v>705</v>
      </c>
      <c r="E460" s="217">
        <f>5.2*0.91</f>
        <v>4.732</v>
      </c>
      <c r="F460" s="214">
        <f>主要材料预算!$D$20</f>
        <v>5.77</v>
      </c>
      <c r="G460" s="216">
        <f t="shared" ref="G460:G469" si="36">E460*F460</f>
        <v>27.30364</v>
      </c>
    </row>
    <row r="461" customHeight="1" spans="1:7">
      <c r="A461" s="204" t="s">
        <v>19</v>
      </c>
      <c r="B461" s="218" t="s">
        <v>511</v>
      </c>
      <c r="C461" s="219"/>
      <c r="D461" s="54"/>
      <c r="E461" s="214"/>
      <c r="F461" s="214"/>
      <c r="G461" s="216">
        <f>G462</f>
        <v>41.5632285769284</v>
      </c>
    </row>
    <row r="462" customHeight="1" spans="1:7">
      <c r="A462" s="204"/>
      <c r="B462" s="215" t="s">
        <v>1008</v>
      </c>
      <c r="C462" s="215"/>
      <c r="D462" s="54" t="s">
        <v>894</v>
      </c>
      <c r="E462" s="214">
        <f>G458+G463</f>
        <v>913.477551141284</v>
      </c>
      <c r="F462" s="229">
        <f>5*0.91</f>
        <v>4.55</v>
      </c>
      <c r="G462" s="216">
        <f>E462*F462/100</f>
        <v>41.5632285769284</v>
      </c>
    </row>
    <row r="463" customHeight="1" spans="1:7">
      <c r="A463" s="204" t="s">
        <v>21</v>
      </c>
      <c r="B463" s="215" t="s">
        <v>895</v>
      </c>
      <c r="C463" s="215"/>
      <c r="D463" s="215"/>
      <c r="E463" s="214"/>
      <c r="F463" s="214"/>
      <c r="G463" s="216">
        <f>SUM(G464:G466)</f>
        <v>886.173911141285</v>
      </c>
    </row>
    <row r="464" customHeight="1" spans="1:7">
      <c r="A464" s="204"/>
      <c r="B464" s="218" t="s">
        <v>1353</v>
      </c>
      <c r="C464" s="219"/>
      <c r="D464" s="54" t="s">
        <v>896</v>
      </c>
      <c r="E464" s="214">
        <f>1.04*0.91</f>
        <v>0.9464</v>
      </c>
      <c r="F464" s="214">
        <f>施工机械台时费!$E$6</f>
        <v>122.94140686079</v>
      </c>
      <c r="G464" s="216">
        <f t="shared" si="36"/>
        <v>116.351747453051</v>
      </c>
    </row>
    <row r="465" customHeight="1" spans="1:30">
      <c r="A465" s="204"/>
      <c r="B465" s="218" t="s">
        <v>1339</v>
      </c>
      <c r="C465" s="219"/>
      <c r="D465" s="54" t="s">
        <v>896</v>
      </c>
      <c r="E465" s="214">
        <f>0.52*0.91</f>
        <v>0.4732</v>
      </c>
      <c r="F465" s="214">
        <f>施工机械台时费!$E$12</f>
        <v>66.3822584762664</v>
      </c>
      <c r="G465" s="216">
        <f t="shared" si="36"/>
        <v>31.4120847109693</v>
      </c>
    </row>
    <row r="466" customHeight="1" spans="1:30">
      <c r="A466" s="204"/>
      <c r="B466" s="218" t="s">
        <v>1354</v>
      </c>
      <c r="C466" s="219"/>
      <c r="D466" s="54" t="s">
        <v>896</v>
      </c>
      <c r="E466" s="214">
        <f>11.1*0.91</f>
        <v>10.101</v>
      </c>
      <c r="F466" s="214">
        <f>施工机械台时费!$E$32</f>
        <v>73.10267092142</v>
      </c>
      <c r="G466" s="216">
        <f t="shared" si="36"/>
        <v>738.410078977264</v>
      </c>
    </row>
    <row r="467" customHeight="1" spans="1:30">
      <c r="A467" s="204" t="s">
        <v>905</v>
      </c>
      <c r="B467" s="215" t="s">
        <v>514</v>
      </c>
      <c r="C467" s="215"/>
      <c r="D467" s="54"/>
      <c r="E467" s="220">
        <f>G457</f>
        <v>955.040779718213</v>
      </c>
      <c r="F467" s="221">
        <f>费率表!$C$4</f>
        <v>0.048</v>
      </c>
      <c r="G467" s="216">
        <f t="shared" si="36"/>
        <v>45.8419574264742</v>
      </c>
    </row>
    <row r="468" customHeight="1" spans="1:30">
      <c r="A468" s="204" t="s">
        <v>10</v>
      </c>
      <c r="B468" s="215" t="s">
        <v>770</v>
      </c>
      <c r="C468" s="215"/>
      <c r="D468" s="54"/>
      <c r="E468" s="214">
        <f>G456</f>
        <v>1000.88273714469</v>
      </c>
      <c r="F468" s="222">
        <f>费率表!$C$5</f>
        <v>0.045</v>
      </c>
      <c r="G468" s="216">
        <f t="shared" si="36"/>
        <v>45.0397231715109</v>
      </c>
    </row>
    <row r="469" customHeight="1" spans="1:30">
      <c r="A469" s="204" t="s">
        <v>12</v>
      </c>
      <c r="B469" s="215" t="s">
        <v>771</v>
      </c>
      <c r="C469" s="215"/>
      <c r="D469" s="54"/>
      <c r="E469" s="214">
        <f>G456+G468</f>
        <v>1045.9224603162</v>
      </c>
      <c r="F469" s="222">
        <f>费率表!$C$6</f>
        <v>0.07</v>
      </c>
      <c r="G469" s="216">
        <f t="shared" si="36"/>
        <v>73.2145722221339</v>
      </c>
    </row>
    <row r="470" customHeight="1" spans="1:30">
      <c r="A470" s="204" t="s">
        <v>15</v>
      </c>
      <c r="B470" s="218" t="s">
        <v>517</v>
      </c>
      <c r="C470" s="219"/>
      <c r="D470" s="54"/>
      <c r="E470" s="214"/>
      <c r="F470" s="230"/>
      <c r="G470" s="216">
        <f>G471</f>
        <v>734.101297341176</v>
      </c>
    </row>
    <row r="471" customHeight="1" spans="1:30">
      <c r="A471" s="204"/>
      <c r="B471" s="218" t="s">
        <v>694</v>
      </c>
      <c r="C471" s="219"/>
      <c r="D471" s="54" t="s">
        <v>695</v>
      </c>
      <c r="E471" s="214">
        <f>E464*施工机械台时费!$L$6+维修!$E$387*施工机械台时费!$L$12+维修!E466*施工机械台时费!$L$32</f>
        <v>121.10644</v>
      </c>
      <c r="F471" s="214">
        <f>主要材料预算!$N$13</f>
        <v>6.0616206482593</v>
      </c>
      <c r="G471" s="216">
        <f t="shared" ref="G471:G473" si="37">E471*F471</f>
        <v>734.101297341176</v>
      </c>
    </row>
    <row r="472" customHeight="1" spans="1:30">
      <c r="A472" s="204" t="s">
        <v>906</v>
      </c>
      <c r="B472" s="215" t="s">
        <v>772</v>
      </c>
      <c r="C472" s="215"/>
      <c r="D472" s="54"/>
      <c r="E472" s="214">
        <f>G456+G468+G469+G470</f>
        <v>1853.23832987951</v>
      </c>
      <c r="F472" s="222">
        <f>费率表!$C$7</f>
        <v>0.09</v>
      </c>
      <c r="G472" s="216">
        <f t="shared" si="37"/>
        <v>166.791449689156</v>
      </c>
    </row>
    <row r="473" customHeight="1" spans="1:30">
      <c r="A473" s="204"/>
      <c r="B473" s="215" t="s">
        <v>907</v>
      </c>
      <c r="C473" s="215"/>
      <c r="D473" s="54"/>
      <c r="E473" s="214">
        <f>G456+G468+G469+G470+G472</f>
        <v>2020.02977956867</v>
      </c>
      <c r="F473" s="222">
        <f>费率表!$B$19</f>
        <v>0.03</v>
      </c>
      <c r="G473" s="216">
        <f t="shared" si="37"/>
        <v>60.60089338706</v>
      </c>
    </row>
    <row r="474" customHeight="1" spans="1:30">
      <c r="A474" s="223"/>
      <c r="B474" s="224" t="s">
        <v>39</v>
      </c>
      <c r="C474" s="224"/>
      <c r="D474" s="224"/>
      <c r="E474" s="225"/>
      <c r="F474" s="224"/>
      <c r="G474" s="226">
        <f>G456+G468+G469+G470+G472+G473</f>
        <v>2080.63067295573</v>
      </c>
    </row>
    <row r="476" s="91" customFormat="1" customHeight="1" spans="1:30">
      <c r="A476" s="198" t="s">
        <v>868</v>
      </c>
      <c r="B476" s="198"/>
      <c r="C476" s="198"/>
      <c r="D476" s="198"/>
      <c r="E476" s="198"/>
      <c r="F476" s="198"/>
      <c r="G476" s="198"/>
      <c r="S476" s="231"/>
      <c r="T476" s="231"/>
      <c r="U476" s="231"/>
      <c r="V476" s="231"/>
      <c r="W476" s="231"/>
      <c r="X476" s="231"/>
      <c r="Y476" s="231"/>
      <c r="Z476" s="231"/>
      <c r="AA476" s="231"/>
      <c r="AB476" s="231"/>
      <c r="AC476" s="231"/>
      <c r="AD476" s="231"/>
    </row>
    <row r="477" customHeight="1" spans="1:30">
      <c r="A477" s="199" t="s">
        <v>869</v>
      </c>
      <c r="B477" s="200"/>
      <c r="C477" s="200"/>
      <c r="D477" s="200" t="s">
        <v>870</v>
      </c>
      <c r="E477" s="201" t="s">
        <v>1365</v>
      </c>
      <c r="F477" s="202"/>
      <c r="G477" s="203"/>
    </row>
    <row r="478" customHeight="1" spans="1:30">
      <c r="A478" s="204" t="s">
        <v>507</v>
      </c>
      <c r="B478" s="205"/>
      <c r="C478" s="206" t="s">
        <v>1366</v>
      </c>
      <c r="D478" s="206"/>
      <c r="E478" s="206"/>
      <c r="F478" s="54" t="s">
        <v>873</v>
      </c>
      <c r="G478" s="207" t="s">
        <v>874</v>
      </c>
    </row>
    <row r="479" customHeight="1" spans="1:30">
      <c r="A479" s="208" t="s">
        <v>1352</v>
      </c>
      <c r="B479" s="206"/>
      <c r="C479" s="206"/>
      <c r="D479" s="206"/>
      <c r="E479" s="206"/>
      <c r="F479" s="206"/>
      <c r="G479" s="209"/>
    </row>
    <row r="480" customHeight="1" spans="1:30">
      <c r="A480" s="210" t="s">
        <v>1098</v>
      </c>
      <c r="B480" s="211"/>
      <c r="C480" s="212"/>
      <c r="D480" s="212"/>
      <c r="E480" s="212"/>
      <c r="F480" s="212"/>
      <c r="G480" s="213"/>
    </row>
    <row r="481" customHeight="1" spans="1:7">
      <c r="A481" s="204" t="s">
        <v>34</v>
      </c>
      <c r="B481" s="54" t="s">
        <v>761</v>
      </c>
      <c r="C481" s="54"/>
      <c r="D481" s="54" t="s">
        <v>60</v>
      </c>
      <c r="E481" s="214" t="s">
        <v>877</v>
      </c>
      <c r="F481" s="54" t="s">
        <v>878</v>
      </c>
      <c r="G481" s="207" t="s">
        <v>879</v>
      </c>
    </row>
    <row r="482" customHeight="1" spans="1:7">
      <c r="A482" s="204" t="s">
        <v>8</v>
      </c>
      <c r="B482" s="215" t="s">
        <v>880</v>
      </c>
      <c r="C482" s="215"/>
      <c r="D482" s="54"/>
      <c r="E482" s="214"/>
      <c r="F482" s="214"/>
      <c r="G482" s="216">
        <f>G483+G493</f>
        <v>1088.34912730405</v>
      </c>
    </row>
    <row r="483" customHeight="1" spans="1:7">
      <c r="A483" s="204" t="s">
        <v>881</v>
      </c>
      <c r="B483" s="215" t="s">
        <v>882</v>
      </c>
      <c r="C483" s="215"/>
      <c r="D483" s="54"/>
      <c r="E483" s="214"/>
      <c r="F483" s="214"/>
      <c r="G483" s="216">
        <f>G484+G487+G489</f>
        <v>1038.50107567181</v>
      </c>
    </row>
    <row r="484" customHeight="1" spans="1:7">
      <c r="A484" s="204" t="s">
        <v>17</v>
      </c>
      <c r="B484" s="215" t="s">
        <v>510</v>
      </c>
      <c r="C484" s="215"/>
      <c r="D484" s="54"/>
      <c r="E484" s="214"/>
      <c r="F484" s="214"/>
      <c r="G484" s="216">
        <f>SUM(G485:G486)</f>
        <v>27.30364</v>
      </c>
    </row>
    <row r="485" customHeight="1" spans="1:7">
      <c r="A485" s="204"/>
      <c r="B485" s="215" t="s">
        <v>704</v>
      </c>
      <c r="C485" s="215"/>
      <c r="D485" s="54" t="s">
        <v>705</v>
      </c>
      <c r="E485" s="214"/>
      <c r="F485" s="214"/>
      <c r="G485" s="216"/>
    </row>
    <row r="486" customHeight="1" spans="1:7">
      <c r="A486" s="204"/>
      <c r="B486" s="215" t="s">
        <v>706</v>
      </c>
      <c r="C486" s="215"/>
      <c r="D486" s="54" t="s">
        <v>705</v>
      </c>
      <c r="E486" s="217">
        <f>5.2*0.91</f>
        <v>4.732</v>
      </c>
      <c r="F486" s="214">
        <f>主要材料预算!$D$20</f>
        <v>5.77</v>
      </c>
      <c r="G486" s="216">
        <f t="shared" ref="G486:G495" si="38">E486*F486</f>
        <v>27.30364</v>
      </c>
    </row>
    <row r="487" customHeight="1" spans="1:7">
      <c r="A487" s="204" t="s">
        <v>19</v>
      </c>
      <c r="B487" s="218" t="s">
        <v>511</v>
      </c>
      <c r="C487" s="219"/>
      <c r="D487" s="54"/>
      <c r="E487" s="214"/>
      <c r="F487" s="214"/>
      <c r="G487" s="216">
        <f>G488</f>
        <v>45.1954078843301</v>
      </c>
    </row>
    <row r="488" customHeight="1" spans="1:7">
      <c r="A488" s="204"/>
      <c r="B488" s="215" t="s">
        <v>1008</v>
      </c>
      <c r="C488" s="215"/>
      <c r="D488" s="54" t="s">
        <v>894</v>
      </c>
      <c r="E488" s="214">
        <f>G484+G489</f>
        <v>993.305667787475</v>
      </c>
      <c r="F488" s="229">
        <f>5*0.91</f>
        <v>4.55</v>
      </c>
      <c r="G488" s="216">
        <f>E488*F488/100</f>
        <v>45.1954078843301</v>
      </c>
    </row>
    <row r="489" customHeight="1" spans="1:7">
      <c r="A489" s="204" t="s">
        <v>21</v>
      </c>
      <c r="B489" s="215" t="s">
        <v>895</v>
      </c>
      <c r="C489" s="215"/>
      <c r="D489" s="215"/>
      <c r="E489" s="214"/>
      <c r="F489" s="214"/>
      <c r="G489" s="216">
        <f>SUM(G490:G492)</f>
        <v>966.002027787475</v>
      </c>
    </row>
    <row r="490" customHeight="1" spans="1:7">
      <c r="A490" s="204"/>
      <c r="B490" s="218" t="s">
        <v>1353</v>
      </c>
      <c r="C490" s="219"/>
      <c r="D490" s="54" t="s">
        <v>896</v>
      </c>
      <c r="E490" s="214">
        <f>1.04*0.91</f>
        <v>0.9464</v>
      </c>
      <c r="F490" s="214">
        <f>施工机械台时费!$E$6</f>
        <v>122.94140686079</v>
      </c>
      <c r="G490" s="216">
        <f t="shared" si="38"/>
        <v>116.351747453051</v>
      </c>
    </row>
    <row r="491" customHeight="1" spans="1:7">
      <c r="A491" s="204"/>
      <c r="B491" s="218" t="s">
        <v>1339</v>
      </c>
      <c r="C491" s="219"/>
      <c r="D491" s="54" t="s">
        <v>896</v>
      </c>
      <c r="E491" s="214">
        <f>0.52*0.91</f>
        <v>0.4732</v>
      </c>
      <c r="F491" s="214">
        <f>施工机械台时费!$E$12</f>
        <v>66.3822584762664</v>
      </c>
      <c r="G491" s="216">
        <f t="shared" si="38"/>
        <v>31.4120847109693</v>
      </c>
    </row>
    <row r="492" customHeight="1" spans="1:7">
      <c r="A492" s="204"/>
      <c r="B492" s="218" t="s">
        <v>1354</v>
      </c>
      <c r="C492" s="219"/>
      <c r="D492" s="54" t="s">
        <v>896</v>
      </c>
      <c r="E492" s="214">
        <f>12.3*0.91</f>
        <v>11.193</v>
      </c>
      <c r="F492" s="214">
        <f>施工机械台时费!$E$32</f>
        <v>73.10267092142</v>
      </c>
      <c r="G492" s="216">
        <f t="shared" si="38"/>
        <v>818.238195623454</v>
      </c>
    </row>
    <row r="493" customHeight="1" spans="1:7">
      <c r="A493" s="204" t="s">
        <v>905</v>
      </c>
      <c r="B493" s="215" t="s">
        <v>514</v>
      </c>
      <c r="C493" s="215"/>
      <c r="D493" s="54"/>
      <c r="E493" s="220">
        <f>G483</f>
        <v>1038.50107567181</v>
      </c>
      <c r="F493" s="221">
        <f>费率表!$C$4</f>
        <v>0.048</v>
      </c>
      <c r="G493" s="216">
        <f t="shared" si="38"/>
        <v>49.8480516322467</v>
      </c>
    </row>
    <row r="494" customHeight="1" spans="1:7">
      <c r="A494" s="204" t="s">
        <v>10</v>
      </c>
      <c r="B494" s="215" t="s">
        <v>770</v>
      </c>
      <c r="C494" s="215"/>
      <c r="D494" s="54"/>
      <c r="E494" s="214">
        <f>G482</f>
        <v>1088.34912730405</v>
      </c>
      <c r="F494" s="222">
        <f>费率表!$C$5</f>
        <v>0.045</v>
      </c>
      <c r="G494" s="216">
        <f t="shared" si="38"/>
        <v>48.9757107286823</v>
      </c>
    </row>
    <row r="495" customHeight="1" spans="1:7">
      <c r="A495" s="204" t="s">
        <v>12</v>
      </c>
      <c r="B495" s="215" t="s">
        <v>771</v>
      </c>
      <c r="C495" s="215"/>
      <c r="D495" s="54"/>
      <c r="E495" s="214">
        <f>G482+G494</f>
        <v>1137.32483803273</v>
      </c>
      <c r="F495" s="222">
        <f>费率表!$C$6</f>
        <v>0.07</v>
      </c>
      <c r="G495" s="216">
        <f t="shared" si="38"/>
        <v>79.6127386622914</v>
      </c>
    </row>
    <row r="496" customHeight="1" spans="1:7">
      <c r="A496" s="204" t="s">
        <v>15</v>
      </c>
      <c r="B496" s="218" t="s">
        <v>517</v>
      </c>
      <c r="C496" s="219"/>
      <c r="D496" s="54"/>
      <c r="E496" s="214"/>
      <c r="F496" s="230"/>
      <c r="G496" s="216">
        <f>G497</f>
        <v>801.618052769747</v>
      </c>
    </row>
    <row r="497" customHeight="1" spans="1:7">
      <c r="A497" s="204"/>
      <c r="B497" s="218" t="s">
        <v>694</v>
      </c>
      <c r="C497" s="219"/>
      <c r="D497" s="54" t="s">
        <v>695</v>
      </c>
      <c r="E497" s="214">
        <f>E490*施工机械台时费!$L$6+维修!$E$387*施工机械台时费!$L$12+维修!E492*施工机械台时费!$L$32</f>
        <v>132.24484</v>
      </c>
      <c r="F497" s="214">
        <f>主要材料预算!$N$13</f>
        <v>6.0616206482593</v>
      </c>
      <c r="G497" s="216">
        <f t="shared" ref="G497:G499" si="39">E497*F497</f>
        <v>801.618052769747</v>
      </c>
    </row>
    <row r="498" customHeight="1" spans="1:7">
      <c r="A498" s="204" t="s">
        <v>906</v>
      </c>
      <c r="B498" s="215" t="s">
        <v>772</v>
      </c>
      <c r="C498" s="215"/>
      <c r="D498" s="54"/>
      <c r="E498" s="214">
        <f>G482+G494+G495+G496</f>
        <v>2018.55562946477</v>
      </c>
      <c r="F498" s="222">
        <f>费率表!$C$7</f>
        <v>0.09</v>
      </c>
      <c r="G498" s="216">
        <f t="shared" si="39"/>
        <v>181.670006651829</v>
      </c>
    </row>
    <row r="499" customHeight="1" spans="1:7">
      <c r="A499" s="204"/>
      <c r="B499" s="215" t="s">
        <v>907</v>
      </c>
      <c r="C499" s="215"/>
      <c r="D499" s="54"/>
      <c r="E499" s="214">
        <f>G482+G494+G495+G496+G498</f>
        <v>2200.2256361166</v>
      </c>
      <c r="F499" s="222">
        <f>费率表!$B$19</f>
        <v>0.03</v>
      </c>
      <c r="G499" s="216">
        <f t="shared" si="39"/>
        <v>66.006769083498</v>
      </c>
    </row>
    <row r="500" customHeight="1" spans="1:7">
      <c r="A500" s="223"/>
      <c r="B500" s="224" t="s">
        <v>39</v>
      </c>
      <c r="C500" s="224"/>
      <c r="D500" s="224"/>
      <c r="E500" s="225"/>
      <c r="F500" s="224"/>
      <c r="G500" s="226">
        <f>G482+G494+G495+G496+G498+G499</f>
        <v>2266.2324052001</v>
      </c>
    </row>
    <row r="501" customHeight="1" spans="1:7">
      <c r="A501" s="234"/>
      <c r="B501" s="234"/>
      <c r="C501" s="234"/>
      <c r="D501" s="234"/>
      <c r="E501" s="235"/>
      <c r="F501" s="234"/>
      <c r="G501" s="235"/>
    </row>
    <row r="502" customHeight="1" spans="1:7">
      <c r="A502" s="198" t="s">
        <v>868</v>
      </c>
      <c r="B502" s="198"/>
      <c r="C502" s="198"/>
      <c r="D502" s="198"/>
      <c r="E502" s="198"/>
      <c r="F502" s="198"/>
      <c r="G502" s="198"/>
    </row>
    <row r="503" customHeight="1" spans="1:7">
      <c r="A503" s="199" t="s">
        <v>869</v>
      </c>
      <c r="B503" s="200"/>
      <c r="C503" s="200"/>
      <c r="D503" s="200" t="s">
        <v>870</v>
      </c>
      <c r="E503" s="201" t="s">
        <v>1367</v>
      </c>
      <c r="F503" s="202"/>
      <c r="G503" s="203"/>
    </row>
    <row r="504" customHeight="1" spans="1:7">
      <c r="A504" s="204" t="s">
        <v>507</v>
      </c>
      <c r="B504" s="205"/>
      <c r="C504" s="206" t="s">
        <v>1366</v>
      </c>
      <c r="D504" s="206"/>
      <c r="E504" s="206"/>
      <c r="F504" s="54" t="s">
        <v>873</v>
      </c>
      <c r="G504" s="207" t="s">
        <v>874</v>
      </c>
    </row>
    <row r="505" customHeight="1" spans="1:7">
      <c r="A505" s="208" t="s">
        <v>1368</v>
      </c>
      <c r="B505" s="206"/>
      <c r="C505" s="206"/>
      <c r="D505" s="206"/>
      <c r="E505" s="206"/>
      <c r="F505" s="206"/>
      <c r="G505" s="209"/>
    </row>
    <row r="506" customHeight="1" spans="1:7">
      <c r="A506" s="210" t="s">
        <v>1098</v>
      </c>
      <c r="B506" s="211"/>
      <c r="C506" s="212"/>
      <c r="D506" s="212"/>
      <c r="E506" s="212"/>
      <c r="F506" s="212"/>
      <c r="G506" s="213"/>
    </row>
    <row r="507" customHeight="1" spans="1:7">
      <c r="A507" s="204" t="s">
        <v>34</v>
      </c>
      <c r="B507" s="54" t="s">
        <v>761</v>
      </c>
      <c r="C507" s="54"/>
      <c r="D507" s="54" t="s">
        <v>60</v>
      </c>
      <c r="E507" s="214" t="s">
        <v>877</v>
      </c>
      <c r="F507" s="54" t="s">
        <v>878</v>
      </c>
      <c r="G507" s="207" t="s">
        <v>879</v>
      </c>
    </row>
    <row r="508" customHeight="1" spans="1:7">
      <c r="A508" s="204" t="s">
        <v>8</v>
      </c>
      <c r="B508" s="215" t="s">
        <v>880</v>
      </c>
      <c r="C508" s="215"/>
      <c r="D508" s="54"/>
      <c r="E508" s="214"/>
      <c r="F508" s="214"/>
      <c r="G508" s="216">
        <f>G509+G519</f>
        <v>1201.13577673993</v>
      </c>
    </row>
    <row r="509" customHeight="1" spans="1:7">
      <c r="A509" s="204" t="s">
        <v>881</v>
      </c>
      <c r="B509" s="215" t="s">
        <v>882</v>
      </c>
      <c r="C509" s="215"/>
      <c r="D509" s="54"/>
      <c r="E509" s="214"/>
      <c r="F509" s="214"/>
      <c r="G509" s="216">
        <f>G510+G513+G515</f>
        <v>1146.12192437016</v>
      </c>
    </row>
    <row r="510" customHeight="1" spans="1:7">
      <c r="A510" s="204" t="s">
        <v>17</v>
      </c>
      <c r="B510" s="215" t="s">
        <v>510</v>
      </c>
      <c r="C510" s="215"/>
      <c r="D510" s="54"/>
      <c r="E510" s="214"/>
      <c r="F510" s="214"/>
      <c r="G510" s="216">
        <f>SUM(G511:G512)</f>
        <v>30.004</v>
      </c>
    </row>
    <row r="511" customHeight="1" spans="1:7">
      <c r="A511" s="204"/>
      <c r="B511" s="215" t="s">
        <v>704</v>
      </c>
      <c r="C511" s="215"/>
      <c r="D511" s="54" t="s">
        <v>705</v>
      </c>
      <c r="E511" s="214"/>
      <c r="F511" s="214"/>
      <c r="G511" s="216"/>
    </row>
    <row r="512" customHeight="1" spans="1:7">
      <c r="A512" s="204"/>
      <c r="B512" s="215" t="s">
        <v>706</v>
      </c>
      <c r="C512" s="215"/>
      <c r="D512" s="54" t="s">
        <v>705</v>
      </c>
      <c r="E512" s="217">
        <f>5.2</f>
        <v>5.2</v>
      </c>
      <c r="F512" s="214">
        <f>主要材料预算!$D$20</f>
        <v>5.77</v>
      </c>
      <c r="G512" s="216">
        <f t="shared" ref="G512:G521" si="40">E512*F512</f>
        <v>30.004</v>
      </c>
    </row>
    <row r="513" customHeight="1" spans="1:7">
      <c r="A513" s="204" t="s">
        <v>19</v>
      </c>
      <c r="B513" s="218" t="s">
        <v>511</v>
      </c>
      <c r="C513" s="219"/>
      <c r="D513" s="54"/>
      <c r="E513" s="214"/>
      <c r="F513" s="214"/>
      <c r="G513" s="216">
        <f>G514</f>
        <v>54.5772344938173</v>
      </c>
    </row>
    <row r="514" customHeight="1" spans="1:7">
      <c r="A514" s="204"/>
      <c r="B514" s="215" t="s">
        <v>1008</v>
      </c>
      <c r="C514" s="215"/>
      <c r="D514" s="54" t="s">
        <v>894</v>
      </c>
      <c r="E514" s="214">
        <f>G510+G515</f>
        <v>1091.54468987635</v>
      </c>
      <c r="F514" s="229">
        <v>5</v>
      </c>
      <c r="G514" s="216">
        <f>E514*F514/100</f>
        <v>54.5772344938173</v>
      </c>
    </row>
    <row r="515" customHeight="1" spans="1:7">
      <c r="A515" s="204" t="s">
        <v>21</v>
      </c>
      <c r="B515" s="215" t="s">
        <v>895</v>
      </c>
      <c r="C515" s="215"/>
      <c r="D515" s="215"/>
      <c r="E515" s="214"/>
      <c r="F515" s="214"/>
      <c r="G515" s="216">
        <f>SUM(G516:G518)</f>
        <v>1061.54068987635</v>
      </c>
    </row>
    <row r="516" customHeight="1" spans="1:7">
      <c r="A516" s="204"/>
      <c r="B516" s="218" t="s">
        <v>1353</v>
      </c>
      <c r="C516" s="219"/>
      <c r="D516" s="54" t="s">
        <v>896</v>
      </c>
      <c r="E516" s="214">
        <f>1.04</f>
        <v>1.04</v>
      </c>
      <c r="F516" s="214">
        <f>施工机械台时费!$E$6</f>
        <v>122.94140686079</v>
      </c>
      <c r="G516" s="216">
        <f t="shared" si="40"/>
        <v>127.859063135221</v>
      </c>
    </row>
    <row r="517" customHeight="1" spans="1:7">
      <c r="A517" s="204"/>
      <c r="B517" s="218" t="s">
        <v>1339</v>
      </c>
      <c r="C517" s="219"/>
      <c r="D517" s="54" t="s">
        <v>896</v>
      </c>
      <c r="E517" s="214">
        <f>0.52</f>
        <v>0.52</v>
      </c>
      <c r="F517" s="214">
        <f>施工机械台时费!$E$12</f>
        <v>66.3822584762664</v>
      </c>
      <c r="G517" s="216">
        <f t="shared" si="40"/>
        <v>34.5187744076586</v>
      </c>
    </row>
    <row r="518" customHeight="1" spans="1:7">
      <c r="A518" s="204"/>
      <c r="B518" s="218" t="s">
        <v>1354</v>
      </c>
      <c r="C518" s="219"/>
      <c r="D518" s="54" t="s">
        <v>896</v>
      </c>
      <c r="E518" s="214">
        <f>12.3</f>
        <v>12.3</v>
      </c>
      <c r="F518" s="214">
        <f>施工机械台时费!$E$32</f>
        <v>73.10267092142</v>
      </c>
      <c r="G518" s="216">
        <f t="shared" si="40"/>
        <v>899.162852333466</v>
      </c>
    </row>
    <row r="519" customHeight="1" spans="1:7">
      <c r="A519" s="204" t="s">
        <v>905</v>
      </c>
      <c r="B519" s="215" t="s">
        <v>514</v>
      </c>
      <c r="C519" s="215"/>
      <c r="D519" s="54"/>
      <c r="E519" s="220">
        <f>G509</f>
        <v>1146.12192437016</v>
      </c>
      <c r="F519" s="221">
        <f>费率表!$C$4</f>
        <v>0.048</v>
      </c>
      <c r="G519" s="216">
        <f t="shared" si="40"/>
        <v>55.0138523697678</v>
      </c>
    </row>
    <row r="520" customHeight="1" spans="1:7">
      <c r="A520" s="204" t="s">
        <v>10</v>
      </c>
      <c r="B520" s="215" t="s">
        <v>770</v>
      </c>
      <c r="C520" s="215"/>
      <c r="D520" s="54"/>
      <c r="E520" s="214">
        <f>G508</f>
        <v>1201.13577673993</v>
      </c>
      <c r="F520" s="222">
        <f>费率表!$C$5</f>
        <v>0.045</v>
      </c>
      <c r="G520" s="216">
        <f t="shared" si="40"/>
        <v>54.0511099532969</v>
      </c>
    </row>
    <row r="521" customHeight="1" spans="1:7">
      <c r="A521" s="204" t="s">
        <v>12</v>
      </c>
      <c r="B521" s="215" t="s">
        <v>771</v>
      </c>
      <c r="C521" s="215"/>
      <c r="D521" s="54"/>
      <c r="E521" s="214">
        <f>G508+G520</f>
        <v>1255.18688669323</v>
      </c>
      <c r="F521" s="222">
        <f>费率表!$C$6</f>
        <v>0.07</v>
      </c>
      <c r="G521" s="216">
        <f t="shared" si="40"/>
        <v>87.863082068526</v>
      </c>
    </row>
    <row r="522" customHeight="1" spans="1:7">
      <c r="A522" s="204" t="s">
        <v>15</v>
      </c>
      <c r="B522" s="218" t="s">
        <v>517</v>
      </c>
      <c r="C522" s="219"/>
      <c r="D522" s="54"/>
      <c r="E522" s="214"/>
      <c r="F522" s="230"/>
      <c r="G522" s="216">
        <f>G523</f>
        <v>878.516014778391</v>
      </c>
    </row>
    <row r="523" customHeight="1" spans="1:7">
      <c r="A523" s="204"/>
      <c r="B523" s="218" t="s">
        <v>694</v>
      </c>
      <c r="C523" s="219"/>
      <c r="D523" s="54" t="s">
        <v>695</v>
      </c>
      <c r="E523" s="214">
        <f>E516*施工机械台时费!$L$6+维修!$E$387*施工机械台时费!$L$12+维修!E518*施工机械台时费!$L$32</f>
        <v>144.93088</v>
      </c>
      <c r="F523" s="214">
        <f>主要材料预算!$N$13</f>
        <v>6.0616206482593</v>
      </c>
      <c r="G523" s="216">
        <f t="shared" ref="G523:G525" si="41">E523*F523</f>
        <v>878.516014778391</v>
      </c>
    </row>
    <row r="524" customHeight="1" spans="1:7">
      <c r="A524" s="204" t="s">
        <v>906</v>
      </c>
      <c r="B524" s="215" t="s">
        <v>772</v>
      </c>
      <c r="C524" s="215"/>
      <c r="D524" s="54"/>
      <c r="E524" s="214">
        <f>G508+G520+G521+G522</f>
        <v>2221.56598354014</v>
      </c>
      <c r="F524" s="222">
        <f>费率表!$C$7</f>
        <v>0.09</v>
      </c>
      <c r="G524" s="216">
        <f t="shared" si="41"/>
        <v>199.940938518613</v>
      </c>
    </row>
    <row r="525" customHeight="1" spans="1:7">
      <c r="A525" s="204"/>
      <c r="B525" s="215" t="s">
        <v>907</v>
      </c>
      <c r="C525" s="215"/>
      <c r="D525" s="54"/>
      <c r="E525" s="214">
        <f>G508+G520+G521+G522+G524</f>
        <v>2421.50692205876</v>
      </c>
      <c r="F525" s="222">
        <f>费率表!$B$19</f>
        <v>0.03</v>
      </c>
      <c r="G525" s="216">
        <f t="shared" si="41"/>
        <v>72.6452076617627</v>
      </c>
    </row>
    <row r="526" customHeight="1" spans="1:7">
      <c r="A526" s="223"/>
      <c r="B526" s="224" t="s">
        <v>39</v>
      </c>
      <c r="C526" s="224"/>
      <c r="D526" s="224"/>
      <c r="E526" s="225"/>
      <c r="F526" s="224"/>
      <c r="G526" s="226">
        <f>G508+G520+G521+G522+G524+G525</f>
        <v>2494.15212972052</v>
      </c>
    </row>
    <row r="528" customHeight="1" spans="1:7">
      <c r="A528" s="198" t="s">
        <v>868</v>
      </c>
      <c r="B528" s="198"/>
      <c r="C528" s="198"/>
      <c r="D528" s="198"/>
      <c r="E528" s="198"/>
      <c r="F528" s="198"/>
      <c r="G528" s="198"/>
    </row>
    <row r="529" customHeight="1" spans="1:7">
      <c r="A529" s="199" t="s">
        <v>869</v>
      </c>
      <c r="B529" s="200"/>
      <c r="C529" s="200"/>
      <c r="D529" s="200" t="s">
        <v>870</v>
      </c>
      <c r="E529" s="201" t="s">
        <v>1369</v>
      </c>
      <c r="F529" s="202"/>
      <c r="G529" s="203"/>
    </row>
    <row r="530" customHeight="1" spans="1:7">
      <c r="A530" s="204" t="s">
        <v>507</v>
      </c>
      <c r="B530" s="205"/>
      <c r="C530" s="206" t="s">
        <v>1370</v>
      </c>
      <c r="D530" s="206"/>
      <c r="E530" s="206"/>
      <c r="F530" s="54" t="s">
        <v>873</v>
      </c>
      <c r="G530" s="207" t="s">
        <v>874</v>
      </c>
    </row>
    <row r="531" customHeight="1" spans="1:7">
      <c r="A531" s="208" t="s">
        <v>1352</v>
      </c>
      <c r="B531" s="206"/>
      <c r="C531" s="206"/>
      <c r="D531" s="206"/>
      <c r="E531" s="206"/>
      <c r="F531" s="206"/>
      <c r="G531" s="209"/>
    </row>
    <row r="532" customHeight="1" spans="1:7">
      <c r="A532" s="210" t="s">
        <v>1098</v>
      </c>
      <c r="B532" s="211"/>
      <c r="C532" s="212"/>
      <c r="D532" s="212"/>
      <c r="E532" s="212"/>
      <c r="F532" s="212"/>
      <c r="G532" s="213"/>
    </row>
    <row r="533" customHeight="1" spans="1:7">
      <c r="A533" s="204" t="s">
        <v>34</v>
      </c>
      <c r="B533" s="54" t="s">
        <v>761</v>
      </c>
      <c r="C533" s="54"/>
      <c r="D533" s="54" t="s">
        <v>60</v>
      </c>
      <c r="E533" s="214" t="s">
        <v>877</v>
      </c>
      <c r="F533" s="54" t="s">
        <v>878</v>
      </c>
      <c r="G533" s="207" t="s">
        <v>879</v>
      </c>
    </row>
    <row r="534" customHeight="1" spans="1:7">
      <c r="A534" s="204" t="s">
        <v>8</v>
      </c>
      <c r="B534" s="215" t="s">
        <v>880</v>
      </c>
      <c r="C534" s="215"/>
      <c r="D534" s="54"/>
      <c r="E534" s="214"/>
      <c r="F534" s="214"/>
      <c r="G534" s="216">
        <f>G535+G545</f>
        <v>1191.12213574131</v>
      </c>
    </row>
    <row r="535" customHeight="1" spans="1:7">
      <c r="A535" s="204" t="s">
        <v>881</v>
      </c>
      <c r="B535" s="215" t="s">
        <v>882</v>
      </c>
      <c r="C535" s="215"/>
      <c r="D535" s="54"/>
      <c r="E535" s="214"/>
      <c r="F535" s="214"/>
      <c r="G535" s="216">
        <f>G536+G539+G541</f>
        <v>1136.56692341728</v>
      </c>
    </row>
    <row r="536" customHeight="1" spans="1:7">
      <c r="A536" s="204" t="s">
        <v>17</v>
      </c>
      <c r="B536" s="215" t="s">
        <v>510</v>
      </c>
      <c r="C536" s="215"/>
      <c r="D536" s="54"/>
      <c r="E536" s="214"/>
      <c r="F536" s="214"/>
      <c r="G536" s="216">
        <f>SUM(G537:G538)</f>
        <v>27.30364</v>
      </c>
    </row>
    <row r="537" customHeight="1" spans="1:7">
      <c r="A537" s="204"/>
      <c r="B537" s="215" t="s">
        <v>704</v>
      </c>
      <c r="C537" s="215"/>
      <c r="D537" s="54" t="s">
        <v>705</v>
      </c>
      <c r="E537" s="214"/>
      <c r="F537" s="214"/>
      <c r="G537" s="216"/>
    </row>
    <row r="538" customHeight="1" spans="1:7">
      <c r="A538" s="204"/>
      <c r="B538" s="215" t="s">
        <v>706</v>
      </c>
      <c r="C538" s="215"/>
      <c r="D538" s="54" t="s">
        <v>705</v>
      </c>
      <c r="E538" s="217">
        <f>5.2*0.91</f>
        <v>4.732</v>
      </c>
      <c r="F538" s="214">
        <f>主要材料预算!$D$20</f>
        <v>5.77</v>
      </c>
      <c r="G538" s="216">
        <f t="shared" ref="G538:G547" si="42">E538*F538</f>
        <v>27.30364</v>
      </c>
    </row>
    <row r="539" customHeight="1" spans="1:7">
      <c r="A539" s="204" t="s">
        <v>19</v>
      </c>
      <c r="B539" s="218" t="s">
        <v>511</v>
      </c>
      <c r="C539" s="219"/>
      <c r="D539" s="54"/>
      <c r="E539" s="214"/>
      <c r="F539" s="214"/>
      <c r="G539" s="216">
        <f>G540</f>
        <v>49.4632185705271</v>
      </c>
    </row>
    <row r="540" customHeight="1" spans="1:7">
      <c r="A540" s="204"/>
      <c r="B540" s="215" t="s">
        <v>1008</v>
      </c>
      <c r="C540" s="215"/>
      <c r="D540" s="54" t="s">
        <v>894</v>
      </c>
      <c r="E540" s="214">
        <f>G536+G541</f>
        <v>1087.10370484675</v>
      </c>
      <c r="F540" s="229">
        <f>5*0.91</f>
        <v>4.55</v>
      </c>
      <c r="G540" s="216">
        <f>E540*F540/100</f>
        <v>49.4632185705271</v>
      </c>
    </row>
    <row r="541" customHeight="1" spans="1:7">
      <c r="A541" s="204" t="s">
        <v>21</v>
      </c>
      <c r="B541" s="215" t="s">
        <v>895</v>
      </c>
      <c r="C541" s="215"/>
      <c r="D541" s="215"/>
      <c r="E541" s="214"/>
      <c r="F541" s="214"/>
      <c r="G541" s="216">
        <f>SUM(G542:G544)</f>
        <v>1059.80006484675</v>
      </c>
    </row>
    <row r="542" customHeight="1" spans="1:7">
      <c r="A542" s="204"/>
      <c r="B542" s="218" t="s">
        <v>1353</v>
      </c>
      <c r="C542" s="219"/>
      <c r="D542" s="54" t="s">
        <v>896</v>
      </c>
      <c r="E542" s="214">
        <f>1.04*0.91</f>
        <v>0.9464</v>
      </c>
      <c r="F542" s="214">
        <f>施工机械台时费!$E$6</f>
        <v>122.94140686079</v>
      </c>
      <c r="G542" s="216">
        <f t="shared" si="42"/>
        <v>116.351747453051</v>
      </c>
    </row>
    <row r="543" customHeight="1" spans="1:7">
      <c r="A543" s="204"/>
      <c r="B543" s="218" t="s">
        <v>1339</v>
      </c>
      <c r="C543" s="219"/>
      <c r="D543" s="54" t="s">
        <v>896</v>
      </c>
      <c r="E543" s="214">
        <f>0.52*0.91</f>
        <v>0.4732</v>
      </c>
      <c r="F543" s="214">
        <f>施工机械台时费!$E$12</f>
        <v>66.3822584762664</v>
      </c>
      <c r="G543" s="216">
        <f t="shared" si="42"/>
        <v>31.4120847109693</v>
      </c>
    </row>
    <row r="544" customHeight="1" spans="1:7">
      <c r="A544" s="204"/>
      <c r="B544" s="218" t="s">
        <v>1354</v>
      </c>
      <c r="C544" s="219"/>
      <c r="D544" s="54" t="s">
        <v>896</v>
      </c>
      <c r="E544" s="214">
        <f>12.3*0.91+1.41*1*0.91</f>
        <v>12.4761</v>
      </c>
      <c r="F544" s="214">
        <f>施工机械台时费!$E$32</f>
        <v>73.10267092142</v>
      </c>
      <c r="G544" s="216">
        <f t="shared" si="42"/>
        <v>912.036232682728</v>
      </c>
    </row>
    <row r="545" customHeight="1" spans="1:7">
      <c r="A545" s="204" t="s">
        <v>905</v>
      </c>
      <c r="B545" s="215" t="s">
        <v>514</v>
      </c>
      <c r="C545" s="215"/>
      <c r="D545" s="54"/>
      <c r="E545" s="220">
        <f>G535</f>
        <v>1136.56692341728</v>
      </c>
      <c r="F545" s="221">
        <f>费率表!$C$4</f>
        <v>0.048</v>
      </c>
      <c r="G545" s="216">
        <f t="shared" si="42"/>
        <v>54.5552123240293</v>
      </c>
    </row>
    <row r="546" customHeight="1" spans="1:7">
      <c r="A546" s="204" t="s">
        <v>10</v>
      </c>
      <c r="B546" s="215" t="s">
        <v>770</v>
      </c>
      <c r="C546" s="215"/>
      <c r="D546" s="54"/>
      <c r="E546" s="214">
        <f>G534</f>
        <v>1191.12213574131</v>
      </c>
      <c r="F546" s="222">
        <f>费率表!$C$5</f>
        <v>0.045</v>
      </c>
      <c r="G546" s="216">
        <f t="shared" si="42"/>
        <v>53.6004961083587</v>
      </c>
    </row>
    <row r="547" customHeight="1" spans="1:7">
      <c r="A547" s="204" t="s">
        <v>12</v>
      </c>
      <c r="B547" s="215" t="s">
        <v>771</v>
      </c>
      <c r="C547" s="215"/>
      <c r="D547" s="54"/>
      <c r="E547" s="214">
        <f>G534+G546</f>
        <v>1244.72263184966</v>
      </c>
      <c r="F547" s="222">
        <f>费率表!$C$6</f>
        <v>0.07</v>
      </c>
      <c r="G547" s="216">
        <f t="shared" si="42"/>
        <v>87.1305842294765</v>
      </c>
    </row>
    <row r="548" customHeight="1" spans="1:7">
      <c r="A548" s="204" t="s">
        <v>15</v>
      </c>
      <c r="B548" s="218" t="s">
        <v>517</v>
      </c>
      <c r="C548" s="219"/>
      <c r="D548" s="54"/>
      <c r="E548" s="214"/>
      <c r="F548" s="230"/>
      <c r="G548" s="216">
        <f>G549</f>
        <v>880.950240398319</v>
      </c>
    </row>
    <row r="549" customHeight="1" spans="1:7">
      <c r="A549" s="204"/>
      <c r="B549" s="218" t="s">
        <v>694</v>
      </c>
      <c r="C549" s="219"/>
      <c r="D549" s="54" t="s">
        <v>695</v>
      </c>
      <c r="E549" s="214">
        <f>E542*施工机械台时费!$L$6+维修!$E$387*施工机械台时费!$L$12+维修!E544*施工机械台时费!$L$32</f>
        <v>145.33246</v>
      </c>
      <c r="F549" s="214">
        <f>主要材料预算!$N$13</f>
        <v>6.0616206482593</v>
      </c>
      <c r="G549" s="216">
        <f t="shared" ref="G549:G551" si="43">E549*F549</f>
        <v>880.950240398319</v>
      </c>
    </row>
    <row r="550" customHeight="1" spans="1:7">
      <c r="A550" s="204" t="s">
        <v>906</v>
      </c>
      <c r="B550" s="215" t="s">
        <v>772</v>
      </c>
      <c r="C550" s="215"/>
      <c r="D550" s="54"/>
      <c r="E550" s="214">
        <f>G534+G546+G547+G548</f>
        <v>2212.80345647746</v>
      </c>
      <c r="F550" s="222">
        <f>费率表!$C$7</f>
        <v>0.09</v>
      </c>
      <c r="G550" s="216">
        <f t="shared" si="43"/>
        <v>199.152311082972</v>
      </c>
    </row>
    <row r="551" customHeight="1" spans="1:7">
      <c r="A551" s="204"/>
      <c r="B551" s="215" t="s">
        <v>907</v>
      </c>
      <c r="C551" s="215"/>
      <c r="D551" s="54"/>
      <c r="E551" s="214">
        <f>G534+G546+G547+G548+G550</f>
        <v>2411.95576756044</v>
      </c>
      <c r="F551" s="222">
        <f>费率表!$B$19</f>
        <v>0.03</v>
      </c>
      <c r="G551" s="216">
        <f t="shared" si="43"/>
        <v>72.3586730268131</v>
      </c>
    </row>
    <row r="552" customHeight="1" spans="1:7">
      <c r="A552" s="223"/>
      <c r="B552" s="224" t="s">
        <v>39</v>
      </c>
      <c r="C552" s="224"/>
      <c r="D552" s="224"/>
      <c r="E552" s="225"/>
      <c r="F552" s="224"/>
      <c r="G552" s="226">
        <f>G534+G546+G547+G548+G550+G551</f>
        <v>2484.31444058725</v>
      </c>
    </row>
    <row r="554" customHeight="1" spans="1:7">
      <c r="A554" s="198" t="s">
        <v>868</v>
      </c>
      <c r="B554" s="198"/>
      <c r="C554" s="198"/>
      <c r="D554" s="198"/>
      <c r="E554" s="198"/>
      <c r="F554" s="198"/>
      <c r="G554" s="198"/>
    </row>
    <row r="555" customHeight="1" spans="1:7">
      <c r="A555" s="199" t="s">
        <v>869</v>
      </c>
      <c r="B555" s="200"/>
      <c r="C555" s="200"/>
      <c r="D555" s="200" t="s">
        <v>870</v>
      </c>
      <c r="E555" s="201" t="s">
        <v>1371</v>
      </c>
      <c r="F555" s="202"/>
      <c r="G555" s="203"/>
    </row>
    <row r="556" customHeight="1" spans="1:7">
      <c r="A556" s="204" t="s">
        <v>507</v>
      </c>
      <c r="B556" s="205"/>
      <c r="C556" s="206" t="s">
        <v>1366</v>
      </c>
      <c r="D556" s="206"/>
      <c r="E556" s="206"/>
      <c r="F556" s="54" t="s">
        <v>873</v>
      </c>
      <c r="G556" s="207" t="s">
        <v>874</v>
      </c>
    </row>
    <row r="557" customHeight="1" spans="1:7">
      <c r="A557" s="208" t="s">
        <v>1352</v>
      </c>
      <c r="B557" s="206"/>
      <c r="C557" s="206"/>
      <c r="D557" s="206"/>
      <c r="E557" s="206"/>
      <c r="F557" s="206"/>
      <c r="G557" s="209"/>
    </row>
    <row r="558" customHeight="1" spans="1:7">
      <c r="A558" s="210" t="s">
        <v>1098</v>
      </c>
      <c r="B558" s="211"/>
      <c r="C558" s="212"/>
      <c r="D558" s="212"/>
      <c r="E558" s="212"/>
      <c r="F558" s="212"/>
      <c r="G558" s="213"/>
    </row>
    <row r="559" customHeight="1" spans="1:7">
      <c r="A559" s="204" t="s">
        <v>34</v>
      </c>
      <c r="B559" s="54" t="s">
        <v>761</v>
      </c>
      <c r="C559" s="54"/>
      <c r="D559" s="54" t="s">
        <v>60</v>
      </c>
      <c r="E559" s="214" t="s">
        <v>877</v>
      </c>
      <c r="F559" s="54" t="s">
        <v>878</v>
      </c>
      <c r="G559" s="207" t="s">
        <v>879</v>
      </c>
    </row>
    <row r="560" customHeight="1" spans="1:7">
      <c r="A560" s="204" t="s">
        <v>8</v>
      </c>
      <c r="B560" s="215" t="s">
        <v>880</v>
      </c>
      <c r="C560" s="215"/>
      <c r="D560" s="54"/>
      <c r="E560" s="214"/>
      <c r="F560" s="214"/>
      <c r="G560" s="216">
        <f>G561+G571</f>
        <v>1396.66815261581</v>
      </c>
    </row>
    <row r="561" customHeight="1" spans="1:7">
      <c r="A561" s="204" t="s">
        <v>881</v>
      </c>
      <c r="B561" s="215" t="s">
        <v>882</v>
      </c>
      <c r="C561" s="215"/>
      <c r="D561" s="54"/>
      <c r="E561" s="214"/>
      <c r="F561" s="214"/>
      <c r="G561" s="216">
        <f>G562+G565+G567</f>
        <v>1332.69861890822</v>
      </c>
    </row>
    <row r="562" customHeight="1" spans="1:7">
      <c r="A562" s="204" t="s">
        <v>17</v>
      </c>
      <c r="B562" s="215" t="s">
        <v>510</v>
      </c>
      <c r="C562" s="215"/>
      <c r="D562" s="54"/>
      <c r="E562" s="214"/>
      <c r="F562" s="214"/>
      <c r="G562" s="216">
        <f>SUM(G563:G564)</f>
        <v>27.30364</v>
      </c>
    </row>
    <row r="563" customHeight="1" spans="1:7">
      <c r="A563" s="204"/>
      <c r="B563" s="215" t="s">
        <v>704</v>
      </c>
      <c r="C563" s="215"/>
      <c r="D563" s="54" t="s">
        <v>705</v>
      </c>
      <c r="E563" s="214"/>
      <c r="F563" s="214"/>
      <c r="G563" s="216"/>
    </row>
    <row r="564" customHeight="1" spans="1:7">
      <c r="A564" s="204"/>
      <c r="B564" s="215" t="s">
        <v>706</v>
      </c>
      <c r="C564" s="215"/>
      <c r="D564" s="54" t="s">
        <v>705</v>
      </c>
      <c r="E564" s="217">
        <f>5.2*0.91</f>
        <v>4.732</v>
      </c>
      <c r="F564" s="214">
        <f>主要材料预算!$D$20</f>
        <v>5.77</v>
      </c>
      <c r="G564" s="216">
        <f t="shared" ref="G564:G573" si="44">E564*F564</f>
        <v>27.30364</v>
      </c>
    </row>
    <row r="565" customHeight="1" spans="1:7">
      <c r="A565" s="204" t="s">
        <v>19</v>
      </c>
      <c r="B565" s="218" t="s">
        <v>511</v>
      </c>
      <c r="C565" s="219"/>
      <c r="D565" s="54"/>
      <c r="E565" s="214"/>
      <c r="F565" s="214"/>
      <c r="G565" s="216">
        <f>G566</f>
        <v>57.998839942921</v>
      </c>
    </row>
    <row r="566" customHeight="1" spans="1:7">
      <c r="A566" s="204"/>
      <c r="B566" s="215" t="s">
        <v>1008</v>
      </c>
      <c r="C566" s="215"/>
      <c r="D566" s="54" t="s">
        <v>894</v>
      </c>
      <c r="E566" s="214">
        <f>G562+G567</f>
        <v>1274.6997789653</v>
      </c>
      <c r="F566" s="214">
        <f>5*0.91</f>
        <v>4.55</v>
      </c>
      <c r="G566" s="216">
        <f>E566*F566/100</f>
        <v>57.998839942921</v>
      </c>
    </row>
    <row r="567" customHeight="1" spans="1:7">
      <c r="A567" s="204" t="s">
        <v>21</v>
      </c>
      <c r="B567" s="215" t="s">
        <v>895</v>
      </c>
      <c r="C567" s="215"/>
      <c r="D567" s="215"/>
      <c r="E567" s="214"/>
      <c r="F567" s="214"/>
      <c r="G567" s="216">
        <f>SUM(G568:G570)</f>
        <v>1247.3961389653</v>
      </c>
    </row>
    <row r="568" customHeight="1" spans="1:7">
      <c r="A568" s="204"/>
      <c r="B568" s="218" t="s">
        <v>1353</v>
      </c>
      <c r="C568" s="219"/>
      <c r="D568" s="54" t="s">
        <v>896</v>
      </c>
      <c r="E568" s="214">
        <f>1.04*0.91</f>
        <v>0.9464</v>
      </c>
      <c r="F568" s="214">
        <f>施工机械台时费!$E$6</f>
        <v>122.94140686079</v>
      </c>
      <c r="G568" s="216">
        <f t="shared" si="44"/>
        <v>116.351747453051</v>
      </c>
    </row>
    <row r="569" customHeight="1" spans="1:7">
      <c r="A569" s="204"/>
      <c r="B569" s="218" t="s">
        <v>1339</v>
      </c>
      <c r="C569" s="219"/>
      <c r="D569" s="54" t="s">
        <v>896</v>
      </c>
      <c r="E569" s="214">
        <f>0.52*0.91</f>
        <v>0.4732</v>
      </c>
      <c r="F569" s="214">
        <f>施工机械台时费!$E$12</f>
        <v>66.3822584762664</v>
      </c>
      <c r="G569" s="216">
        <f t="shared" si="44"/>
        <v>31.4120847109693</v>
      </c>
    </row>
    <row r="570" customHeight="1" spans="1:7">
      <c r="A570" s="204"/>
      <c r="B570" s="218" t="s">
        <v>1354</v>
      </c>
      <c r="C570" s="219"/>
      <c r="D570" s="54" t="s">
        <v>896</v>
      </c>
      <c r="E570" s="214">
        <f>12.3*0.91+1.41*3*0.91</f>
        <v>15.0423</v>
      </c>
      <c r="F570" s="214">
        <f>施工机械台时费!$E$32</f>
        <v>73.10267092142</v>
      </c>
      <c r="G570" s="216">
        <f t="shared" si="44"/>
        <v>1099.63230680128</v>
      </c>
    </row>
    <row r="571" customHeight="1" spans="1:7">
      <c r="A571" s="204" t="s">
        <v>905</v>
      </c>
      <c r="B571" s="215" t="s">
        <v>514</v>
      </c>
      <c r="C571" s="215"/>
      <c r="D571" s="54"/>
      <c r="E571" s="220">
        <f>G561</f>
        <v>1332.69861890822</v>
      </c>
      <c r="F571" s="221">
        <f>费率表!$C$4</f>
        <v>0.048</v>
      </c>
      <c r="G571" s="216">
        <f t="shared" si="44"/>
        <v>63.9695337075945</v>
      </c>
    </row>
    <row r="572" customHeight="1" spans="1:7">
      <c r="A572" s="204" t="s">
        <v>10</v>
      </c>
      <c r="B572" s="215" t="s">
        <v>770</v>
      </c>
      <c r="C572" s="215"/>
      <c r="D572" s="54"/>
      <c r="E572" s="214">
        <f>G560</f>
        <v>1396.66815261581</v>
      </c>
      <c r="F572" s="222">
        <f>费率表!$C$5</f>
        <v>0.045</v>
      </c>
      <c r="G572" s="216">
        <f t="shared" si="44"/>
        <v>62.8500668677116</v>
      </c>
    </row>
    <row r="573" customHeight="1" spans="1:7">
      <c r="A573" s="204" t="s">
        <v>12</v>
      </c>
      <c r="B573" s="215" t="s">
        <v>771</v>
      </c>
      <c r="C573" s="215"/>
      <c r="D573" s="54"/>
      <c r="E573" s="214">
        <f>G560+G572</f>
        <v>1459.51821948352</v>
      </c>
      <c r="F573" s="222">
        <f>费率表!$C$6</f>
        <v>0.07</v>
      </c>
      <c r="G573" s="216">
        <f t="shared" si="44"/>
        <v>102.166275363847</v>
      </c>
    </row>
    <row r="574" customHeight="1" spans="1:7">
      <c r="A574" s="204" t="s">
        <v>15</v>
      </c>
      <c r="B574" s="218" t="s">
        <v>517</v>
      </c>
      <c r="C574" s="219"/>
      <c r="D574" s="54"/>
      <c r="E574" s="214"/>
      <c r="F574" s="230"/>
      <c r="G574" s="216">
        <f>G575</f>
        <v>1039.61461565546</v>
      </c>
    </row>
    <row r="575" customHeight="1" spans="1:7">
      <c r="A575" s="204"/>
      <c r="B575" s="218" t="s">
        <v>694</v>
      </c>
      <c r="C575" s="219"/>
      <c r="D575" s="54" t="s">
        <v>695</v>
      </c>
      <c r="E575" s="214">
        <f>E568*施工机械台时费!$L$6+维修!$E$387*施工机械台时费!$L$12+维修!E570*施工机械台时费!$L$32</f>
        <v>171.5077</v>
      </c>
      <c r="F575" s="214">
        <f>主要材料预算!$N$13</f>
        <v>6.0616206482593</v>
      </c>
      <c r="G575" s="216">
        <f t="shared" ref="G575:G577" si="45">E575*F575</f>
        <v>1039.61461565546</v>
      </c>
    </row>
    <row r="576" customHeight="1" spans="1:7">
      <c r="A576" s="204" t="s">
        <v>906</v>
      </c>
      <c r="B576" s="215" t="s">
        <v>772</v>
      </c>
      <c r="C576" s="215"/>
      <c r="D576" s="54"/>
      <c r="E576" s="214">
        <f>G560+G572+G573+G574</f>
        <v>2601.29911050283</v>
      </c>
      <c r="F576" s="222">
        <f>费率表!$C$7</f>
        <v>0.09</v>
      </c>
      <c r="G576" s="216">
        <f t="shared" si="45"/>
        <v>234.116919945255</v>
      </c>
    </row>
    <row r="577" customHeight="1" spans="1:7">
      <c r="A577" s="204"/>
      <c r="B577" s="215" t="s">
        <v>907</v>
      </c>
      <c r="C577" s="215"/>
      <c r="D577" s="54"/>
      <c r="E577" s="214">
        <f>G560+G572+G573+G574+G576</f>
        <v>2835.41603044809</v>
      </c>
      <c r="F577" s="222">
        <f>费率表!$B$19</f>
        <v>0.03</v>
      </c>
      <c r="G577" s="216">
        <f t="shared" si="45"/>
        <v>85.0624809134426</v>
      </c>
    </row>
    <row r="578" customHeight="1" spans="1:7">
      <c r="A578" s="223"/>
      <c r="B578" s="224" t="s">
        <v>39</v>
      </c>
      <c r="C578" s="224"/>
      <c r="D578" s="224"/>
      <c r="E578" s="225"/>
      <c r="F578" s="224"/>
      <c r="G578" s="226">
        <f>G560+G572+G573+G574+G576+G577</f>
        <v>2920.47851136153</v>
      </c>
    </row>
    <row r="580" customHeight="1" spans="1:7">
      <c r="A580" s="198" t="s">
        <v>868</v>
      </c>
      <c r="B580" s="198"/>
      <c r="C580" s="198"/>
      <c r="D580" s="198"/>
      <c r="E580" s="198"/>
      <c r="F580" s="198"/>
      <c r="G580" s="198"/>
    </row>
    <row r="581" customHeight="1" spans="1:7">
      <c r="A581" s="199" t="s">
        <v>869</v>
      </c>
      <c r="B581" s="200"/>
      <c r="C581" s="200"/>
      <c r="D581" s="200" t="s">
        <v>870</v>
      </c>
      <c r="E581" s="201" t="s">
        <v>1372</v>
      </c>
      <c r="F581" s="202"/>
      <c r="G581" s="203"/>
    </row>
    <row r="582" customHeight="1" spans="1:7">
      <c r="A582" s="204" t="s">
        <v>507</v>
      </c>
      <c r="B582" s="205"/>
      <c r="C582" s="206" t="s">
        <v>1366</v>
      </c>
      <c r="D582" s="206"/>
      <c r="E582" s="206"/>
      <c r="F582" s="54" t="s">
        <v>873</v>
      </c>
      <c r="G582" s="207" t="s">
        <v>874</v>
      </c>
    </row>
    <row r="583" customHeight="1" spans="1:7">
      <c r="A583" s="208" t="s">
        <v>1368</v>
      </c>
      <c r="B583" s="206"/>
      <c r="C583" s="206"/>
      <c r="D583" s="206"/>
      <c r="E583" s="206"/>
      <c r="F583" s="206"/>
      <c r="G583" s="209"/>
    </row>
    <row r="584" customHeight="1" spans="1:7">
      <c r="A584" s="210" t="s">
        <v>1098</v>
      </c>
      <c r="B584" s="211"/>
      <c r="C584" s="212"/>
      <c r="D584" s="212"/>
      <c r="E584" s="212"/>
      <c r="F584" s="212"/>
      <c r="G584" s="213"/>
    </row>
    <row r="585" customHeight="1" spans="1:7">
      <c r="A585" s="204" t="s">
        <v>34</v>
      </c>
      <c r="B585" s="54" t="s">
        <v>761</v>
      </c>
      <c r="C585" s="54"/>
      <c r="D585" s="54" t="s">
        <v>60</v>
      </c>
      <c r="E585" s="214" t="s">
        <v>877</v>
      </c>
      <c r="F585" s="54" t="s">
        <v>878</v>
      </c>
      <c r="G585" s="207" t="s">
        <v>879</v>
      </c>
    </row>
    <row r="586" customHeight="1" spans="1:7">
      <c r="A586" s="204" t="s">
        <v>8</v>
      </c>
      <c r="B586" s="215" t="s">
        <v>880</v>
      </c>
      <c r="C586" s="215"/>
      <c r="D586" s="54"/>
      <c r="E586" s="214"/>
      <c r="F586" s="214"/>
      <c r="G586" s="216">
        <f>G587+G597</f>
        <v>1541.4061942565</v>
      </c>
    </row>
    <row r="587" customHeight="1" spans="1:7">
      <c r="A587" s="204" t="s">
        <v>881</v>
      </c>
      <c r="B587" s="215" t="s">
        <v>882</v>
      </c>
      <c r="C587" s="215"/>
      <c r="D587" s="54"/>
      <c r="E587" s="214"/>
      <c r="F587" s="214"/>
      <c r="G587" s="216">
        <f>G588+G591+G593</f>
        <v>1470.80743726765</v>
      </c>
    </row>
    <row r="588" customHeight="1" spans="1:7">
      <c r="A588" s="204" t="s">
        <v>17</v>
      </c>
      <c r="B588" s="215" t="s">
        <v>510</v>
      </c>
      <c r="C588" s="215"/>
      <c r="D588" s="54"/>
      <c r="E588" s="214"/>
      <c r="F588" s="214"/>
      <c r="G588" s="216">
        <f>SUM(G589:G590)</f>
        <v>30.004</v>
      </c>
    </row>
    <row r="589" customHeight="1" spans="1:7">
      <c r="A589" s="204"/>
      <c r="B589" s="215" t="s">
        <v>704</v>
      </c>
      <c r="C589" s="215"/>
      <c r="D589" s="54" t="s">
        <v>705</v>
      </c>
      <c r="E589" s="214"/>
      <c r="F589" s="214"/>
      <c r="G589" s="216"/>
    </row>
    <row r="590" customHeight="1" spans="1:7">
      <c r="A590" s="204"/>
      <c r="B590" s="215" t="s">
        <v>706</v>
      </c>
      <c r="C590" s="215"/>
      <c r="D590" s="54" t="s">
        <v>705</v>
      </c>
      <c r="E590" s="217">
        <f>5.2</f>
        <v>5.2</v>
      </c>
      <c r="F590" s="214">
        <f>主要材料预算!$D$20</f>
        <v>5.77</v>
      </c>
      <c r="G590" s="216">
        <f t="shared" ref="G590:G599" si="46">E590*F590</f>
        <v>30.004</v>
      </c>
    </row>
    <row r="591" customHeight="1" spans="1:7">
      <c r="A591" s="204" t="s">
        <v>19</v>
      </c>
      <c r="B591" s="218" t="s">
        <v>511</v>
      </c>
      <c r="C591" s="219"/>
      <c r="D591" s="54"/>
      <c r="E591" s="214"/>
      <c r="F591" s="214"/>
      <c r="G591" s="216">
        <f>G592</f>
        <v>70.0384493936976</v>
      </c>
    </row>
    <row r="592" customHeight="1" spans="1:7">
      <c r="A592" s="204"/>
      <c r="B592" s="215" t="s">
        <v>1008</v>
      </c>
      <c r="C592" s="215"/>
      <c r="D592" s="54" t="s">
        <v>894</v>
      </c>
      <c r="E592" s="214">
        <f>G588+G593</f>
        <v>1400.76898787395</v>
      </c>
      <c r="F592" s="229">
        <v>5</v>
      </c>
      <c r="G592" s="216">
        <f>E592*F592/100</f>
        <v>70.0384493936976</v>
      </c>
    </row>
    <row r="593" customHeight="1" spans="1:7">
      <c r="A593" s="204" t="s">
        <v>21</v>
      </c>
      <c r="B593" s="215" t="s">
        <v>895</v>
      </c>
      <c r="C593" s="215"/>
      <c r="D593" s="215"/>
      <c r="E593" s="214"/>
      <c r="F593" s="214"/>
      <c r="G593" s="216">
        <f>SUM(G594:G596)</f>
        <v>1370.76498787395</v>
      </c>
    </row>
    <row r="594" customHeight="1" spans="1:7">
      <c r="A594" s="204"/>
      <c r="B594" s="218" t="s">
        <v>1353</v>
      </c>
      <c r="C594" s="219"/>
      <c r="D594" s="54" t="s">
        <v>896</v>
      </c>
      <c r="E594" s="214">
        <f>1.04</f>
        <v>1.04</v>
      </c>
      <c r="F594" s="214">
        <f>施工机械台时费!$E$6</f>
        <v>122.94140686079</v>
      </c>
      <c r="G594" s="216">
        <f t="shared" si="46"/>
        <v>127.859063135221</v>
      </c>
    </row>
    <row r="595" customHeight="1" spans="1:7">
      <c r="A595" s="204"/>
      <c r="B595" s="218" t="s">
        <v>1339</v>
      </c>
      <c r="C595" s="219"/>
      <c r="D595" s="54" t="s">
        <v>896</v>
      </c>
      <c r="E595" s="214">
        <f>0.52</f>
        <v>0.52</v>
      </c>
      <c r="F595" s="214">
        <f>施工机械台时费!$E$12</f>
        <v>66.3822584762664</v>
      </c>
      <c r="G595" s="216">
        <f t="shared" si="46"/>
        <v>34.5187744076586</v>
      </c>
    </row>
    <row r="596" customHeight="1" spans="1:7">
      <c r="A596" s="204"/>
      <c r="B596" s="218" t="s">
        <v>1354</v>
      </c>
      <c r="C596" s="219"/>
      <c r="D596" s="54" t="s">
        <v>896</v>
      </c>
      <c r="E596" s="214">
        <f>12.3+1.41*3</f>
        <v>16.53</v>
      </c>
      <c r="F596" s="214">
        <f>施工机械台时费!$E$32</f>
        <v>73.10267092142</v>
      </c>
      <c r="G596" s="216">
        <f t="shared" si="46"/>
        <v>1208.38715033107</v>
      </c>
    </row>
    <row r="597" customHeight="1" spans="1:7">
      <c r="A597" s="204" t="s">
        <v>905</v>
      </c>
      <c r="B597" s="215" t="s">
        <v>514</v>
      </c>
      <c r="C597" s="215"/>
      <c r="D597" s="54"/>
      <c r="E597" s="220">
        <f>G587</f>
        <v>1470.80743726765</v>
      </c>
      <c r="F597" s="221">
        <f>费率表!$C$4</f>
        <v>0.048</v>
      </c>
      <c r="G597" s="216">
        <f t="shared" si="46"/>
        <v>70.5987569888472</v>
      </c>
    </row>
    <row r="598" customHeight="1" spans="1:7">
      <c r="A598" s="204" t="s">
        <v>10</v>
      </c>
      <c r="B598" s="215" t="s">
        <v>770</v>
      </c>
      <c r="C598" s="215"/>
      <c r="D598" s="54"/>
      <c r="E598" s="214">
        <f>G586</f>
        <v>1541.4061942565</v>
      </c>
      <c r="F598" s="222">
        <f>费率表!$C$5</f>
        <v>0.045</v>
      </c>
      <c r="G598" s="216">
        <f t="shared" si="46"/>
        <v>69.3632787415424</v>
      </c>
    </row>
    <row r="599" customHeight="1" spans="1:7">
      <c r="A599" s="204" t="s">
        <v>12</v>
      </c>
      <c r="B599" s="215" t="s">
        <v>771</v>
      </c>
      <c r="C599" s="215"/>
      <c r="D599" s="54"/>
      <c r="E599" s="214">
        <f>G586+G598</f>
        <v>1610.76947299804</v>
      </c>
      <c r="F599" s="222">
        <f>费率表!$C$6</f>
        <v>0.07</v>
      </c>
      <c r="G599" s="216">
        <f t="shared" si="46"/>
        <v>112.753863109863</v>
      </c>
    </row>
    <row r="600" customHeight="1" spans="1:7">
      <c r="A600" s="204" t="s">
        <v>15</v>
      </c>
      <c r="B600" s="218" t="s">
        <v>517</v>
      </c>
      <c r="C600" s="219"/>
      <c r="D600" s="54"/>
      <c r="E600" s="214"/>
      <c r="F600" s="230"/>
      <c r="G600" s="216">
        <f>G601</f>
        <v>1140.05069926819</v>
      </c>
    </row>
    <row r="601" customHeight="1" spans="1:7">
      <c r="A601" s="204"/>
      <c r="B601" s="218" t="s">
        <v>694</v>
      </c>
      <c r="C601" s="219"/>
      <c r="D601" s="54" t="s">
        <v>695</v>
      </c>
      <c r="E601" s="214">
        <f>E594*施工机械台时费!$L$6+维修!$E$387*施工机械台时费!$L$12+维修!E596*施工机械台时费!$L$32</f>
        <v>188.07688</v>
      </c>
      <c r="F601" s="214">
        <f>主要材料预算!$N$13</f>
        <v>6.0616206482593</v>
      </c>
      <c r="G601" s="216">
        <f t="shared" ref="G601:G603" si="47">E601*F601</f>
        <v>1140.05069926819</v>
      </c>
    </row>
    <row r="602" customHeight="1" spans="1:7">
      <c r="A602" s="204" t="s">
        <v>906</v>
      </c>
      <c r="B602" s="215" t="s">
        <v>772</v>
      </c>
      <c r="C602" s="215"/>
      <c r="D602" s="54"/>
      <c r="E602" s="214">
        <f>G586+G598+G599+G600</f>
        <v>2863.57403537609</v>
      </c>
      <c r="F602" s="222">
        <f>费率表!$C$7</f>
        <v>0.09</v>
      </c>
      <c r="G602" s="216">
        <f t="shared" si="47"/>
        <v>257.721663183848</v>
      </c>
    </row>
    <row r="603" customHeight="1" spans="1:7">
      <c r="A603" s="204"/>
      <c r="B603" s="215" t="s">
        <v>907</v>
      </c>
      <c r="C603" s="215"/>
      <c r="D603" s="54"/>
      <c r="E603" s="214">
        <f>G586+G598+G599+G600+G602</f>
        <v>3121.29569855994</v>
      </c>
      <c r="F603" s="222">
        <f>费率表!$B$19</f>
        <v>0.03</v>
      </c>
      <c r="G603" s="216">
        <f t="shared" si="47"/>
        <v>93.6388709567982</v>
      </c>
    </row>
    <row r="604" customHeight="1" spans="1:7">
      <c r="A604" s="223"/>
      <c r="B604" s="224" t="s">
        <v>39</v>
      </c>
      <c r="C604" s="224"/>
      <c r="D604" s="224"/>
      <c r="E604" s="225"/>
      <c r="F604" s="224"/>
      <c r="G604" s="226">
        <f>G586+G598+G599+G600+G602+G603</f>
        <v>3214.93456951674</v>
      </c>
    </row>
    <row r="606" customHeight="1" spans="1:7">
      <c r="A606" s="198" t="s">
        <v>868</v>
      </c>
      <c r="B606" s="198"/>
      <c r="C606" s="198"/>
      <c r="D606" s="198"/>
      <c r="E606" s="198"/>
      <c r="F606" s="198"/>
      <c r="G606" s="198"/>
    </row>
    <row r="607" customHeight="1" spans="1:7">
      <c r="A607" s="199" t="s">
        <v>869</v>
      </c>
      <c r="B607" s="200"/>
      <c r="C607" s="200"/>
      <c r="D607" s="200" t="s">
        <v>870</v>
      </c>
      <c r="E607" s="201" t="s">
        <v>1373</v>
      </c>
      <c r="F607" s="202"/>
      <c r="G607" s="203"/>
    </row>
    <row r="608" customHeight="1" spans="1:7">
      <c r="A608" s="204" t="s">
        <v>507</v>
      </c>
      <c r="B608" s="205"/>
      <c r="C608" s="206" t="s">
        <v>1366</v>
      </c>
      <c r="D608" s="206"/>
      <c r="E608" s="206"/>
      <c r="F608" s="54" t="s">
        <v>873</v>
      </c>
      <c r="G608" s="207" t="s">
        <v>874</v>
      </c>
    </row>
    <row r="609" customHeight="1" spans="1:9">
      <c r="A609" s="208" t="s">
        <v>1352</v>
      </c>
      <c r="B609" s="206"/>
      <c r="C609" s="206"/>
      <c r="D609" s="206"/>
      <c r="E609" s="206"/>
      <c r="F609" s="206"/>
      <c r="G609" s="209"/>
    </row>
    <row r="610" customHeight="1" spans="1:9">
      <c r="A610" s="210" t="s">
        <v>1098</v>
      </c>
      <c r="B610" s="211"/>
      <c r="C610" s="212"/>
      <c r="D610" s="212"/>
      <c r="E610" s="212"/>
      <c r="F610" s="212"/>
      <c r="G610" s="213"/>
    </row>
    <row r="611" customHeight="1" spans="1:9">
      <c r="A611" s="204" t="s">
        <v>34</v>
      </c>
      <c r="B611" s="54" t="s">
        <v>761</v>
      </c>
      <c r="C611" s="54"/>
      <c r="D611" s="54" t="s">
        <v>60</v>
      </c>
      <c r="E611" s="214" t="s">
        <v>877</v>
      </c>
      <c r="F611" s="54" t="s">
        <v>878</v>
      </c>
      <c r="G611" s="207" t="s">
        <v>879</v>
      </c>
    </row>
    <row r="612" customHeight="1" spans="1:9">
      <c r="A612" s="204" t="s">
        <v>8</v>
      </c>
      <c r="B612" s="215" t="s">
        <v>880</v>
      </c>
      <c r="C612" s="215"/>
      <c r="D612" s="54"/>
      <c r="E612" s="214"/>
      <c r="F612" s="214"/>
      <c r="G612" s="216">
        <f>G613+G623</f>
        <v>1602.21416949032</v>
      </c>
    </row>
    <row r="613" customHeight="1" spans="1:9">
      <c r="A613" s="204" t="s">
        <v>881</v>
      </c>
      <c r="B613" s="215" t="s">
        <v>882</v>
      </c>
      <c r="C613" s="215"/>
      <c r="D613" s="54"/>
      <c r="E613" s="214"/>
      <c r="F613" s="214"/>
      <c r="G613" s="216">
        <f>G614+G617+G619</f>
        <v>1528.83031439916</v>
      </c>
    </row>
    <row r="614" customHeight="1" spans="1:9">
      <c r="A614" s="204" t="s">
        <v>17</v>
      </c>
      <c r="B614" s="215" t="s">
        <v>510</v>
      </c>
      <c r="C614" s="215"/>
      <c r="D614" s="54"/>
      <c r="E614" s="214"/>
      <c r="F614" s="214"/>
      <c r="G614" s="216">
        <f>SUM(G615:G616)</f>
        <v>27.30364</v>
      </c>
    </row>
    <row r="615" customHeight="1" spans="1:9">
      <c r="A615" s="204"/>
      <c r="B615" s="215" t="s">
        <v>704</v>
      </c>
      <c r="C615" s="215"/>
      <c r="D615" s="54" t="s">
        <v>705</v>
      </c>
      <c r="E615" s="214"/>
      <c r="F615" s="214"/>
      <c r="G615" s="216"/>
    </row>
    <row r="616" customHeight="1" spans="1:9">
      <c r="A616" s="204"/>
      <c r="B616" s="215" t="s">
        <v>706</v>
      </c>
      <c r="C616" s="215"/>
      <c r="D616" s="54" t="s">
        <v>705</v>
      </c>
      <c r="E616" s="217">
        <f>5.2*0.91</f>
        <v>4.732</v>
      </c>
      <c r="F616" s="214">
        <f>主要材料预算!$D$20</f>
        <v>5.77</v>
      </c>
      <c r="G616" s="216">
        <f t="shared" ref="G616:G625" si="48">E616*F616</f>
        <v>27.30364</v>
      </c>
    </row>
    <row r="617" customHeight="1" spans="1:9">
      <c r="A617" s="204" t="s">
        <v>19</v>
      </c>
      <c r="B617" s="218" t="s">
        <v>511</v>
      </c>
      <c r="C617" s="219"/>
      <c r="D617" s="54"/>
      <c r="E617" s="214"/>
      <c r="F617" s="214"/>
      <c r="G617" s="216">
        <f>G618</f>
        <v>66.534461315315</v>
      </c>
    </row>
    <row r="618" customHeight="1" spans="1:9">
      <c r="A618" s="204"/>
      <c r="B618" s="215" t="s">
        <v>1008</v>
      </c>
      <c r="C618" s="215"/>
      <c r="D618" s="54" t="s">
        <v>894</v>
      </c>
      <c r="E618" s="214">
        <f>G614+G619</f>
        <v>1462.29585308385</v>
      </c>
      <c r="F618" s="229">
        <f>5*0.91</f>
        <v>4.55</v>
      </c>
      <c r="G618" s="216">
        <f>E618*F618/100</f>
        <v>66.534461315315</v>
      </c>
    </row>
    <row r="619" customHeight="1" spans="1:9">
      <c r="A619" s="204" t="s">
        <v>21</v>
      </c>
      <c r="B619" s="215" t="s">
        <v>895</v>
      </c>
      <c r="C619" s="215"/>
      <c r="D619" s="215"/>
      <c r="E619" s="214"/>
      <c r="F619" s="214"/>
      <c r="G619" s="216">
        <f>SUM(G620:G622)</f>
        <v>1434.99221308385</v>
      </c>
    </row>
    <row r="620" customHeight="1" spans="1:9">
      <c r="A620" s="204"/>
      <c r="B620" s="218" t="s">
        <v>1353</v>
      </c>
      <c r="C620" s="219"/>
      <c r="D620" s="54" t="s">
        <v>896</v>
      </c>
      <c r="E620" s="214">
        <f>1.04*0.91</f>
        <v>0.9464</v>
      </c>
      <c r="F620" s="214">
        <f>施工机械台时费!$E$6</f>
        <v>122.94140686079</v>
      </c>
      <c r="G620" s="216">
        <f t="shared" si="48"/>
        <v>116.351747453051</v>
      </c>
    </row>
    <row r="621" customHeight="1" spans="1:9">
      <c r="A621" s="204"/>
      <c r="B621" s="218" t="s">
        <v>1339</v>
      </c>
      <c r="C621" s="219"/>
      <c r="D621" s="54" t="s">
        <v>896</v>
      </c>
      <c r="E621" s="214">
        <f>0.52*0.91</f>
        <v>0.4732</v>
      </c>
      <c r="F621" s="214">
        <f>施工机械台时费!$E$12</f>
        <v>66.3822584762664</v>
      </c>
      <c r="G621" s="216">
        <f t="shared" si="48"/>
        <v>31.4120847109693</v>
      </c>
      <c r="I621" s="92">
        <f>E769*施工机械台时费!L5+施工机械台时费!L43*维修!E770</f>
        <v>195.507</v>
      </c>
    </row>
    <row r="622" customHeight="1" spans="1:9">
      <c r="A622" s="204"/>
      <c r="B622" s="218" t="s">
        <v>1354</v>
      </c>
      <c r="C622" s="219"/>
      <c r="D622" s="54" t="s">
        <v>896</v>
      </c>
      <c r="E622" s="236">
        <f>12.3*0.91+1.41*5*0.91</f>
        <v>17.6085</v>
      </c>
      <c r="F622" s="214">
        <f>施工机械台时费!$E$32</f>
        <v>73.10267092142</v>
      </c>
      <c r="G622" s="216">
        <f t="shared" si="48"/>
        <v>1287.22838091982</v>
      </c>
    </row>
    <row r="623" customHeight="1" spans="1:9">
      <c r="A623" s="204" t="s">
        <v>905</v>
      </c>
      <c r="B623" s="215" t="s">
        <v>514</v>
      </c>
      <c r="C623" s="215"/>
      <c r="D623" s="54"/>
      <c r="E623" s="220">
        <f>G613</f>
        <v>1528.83031439916</v>
      </c>
      <c r="F623" s="221">
        <f>费率表!$C$4</f>
        <v>0.048</v>
      </c>
      <c r="G623" s="216">
        <f t="shared" si="48"/>
        <v>73.3838550911597</v>
      </c>
    </row>
    <row r="624" customHeight="1" spans="1:9">
      <c r="A624" s="204" t="s">
        <v>10</v>
      </c>
      <c r="B624" s="215" t="s">
        <v>770</v>
      </c>
      <c r="C624" s="215"/>
      <c r="D624" s="54"/>
      <c r="E624" s="214">
        <f>G612</f>
        <v>1602.21416949032</v>
      </c>
      <c r="F624" s="222">
        <f>费率表!$C$5</f>
        <v>0.045</v>
      </c>
      <c r="G624" s="216">
        <f t="shared" si="48"/>
        <v>72.0996376270644</v>
      </c>
    </row>
    <row r="625" customHeight="1" spans="1:30">
      <c r="A625" s="204" t="s">
        <v>12</v>
      </c>
      <c r="B625" s="215" t="s">
        <v>771</v>
      </c>
      <c r="C625" s="215"/>
      <c r="D625" s="54"/>
      <c r="E625" s="214">
        <f>G612+G624</f>
        <v>1674.31380711738</v>
      </c>
      <c r="F625" s="222">
        <f>费率表!$C$6</f>
        <v>0.07</v>
      </c>
      <c r="G625" s="216">
        <f t="shared" si="48"/>
        <v>117.201966498217</v>
      </c>
    </row>
    <row r="626" customHeight="1" spans="1:30">
      <c r="A626" s="204" t="s">
        <v>15</v>
      </c>
      <c r="B626" s="218" t="s">
        <v>517</v>
      </c>
      <c r="C626" s="219"/>
      <c r="D626" s="54"/>
      <c r="E626" s="214"/>
      <c r="F626" s="230"/>
      <c r="G626" s="216">
        <f>G627</f>
        <v>1198.2789909126</v>
      </c>
    </row>
    <row r="627" customHeight="1" spans="1:30">
      <c r="A627" s="204"/>
      <c r="B627" s="218" t="s">
        <v>694</v>
      </c>
      <c r="C627" s="219"/>
      <c r="D627" s="54" t="s">
        <v>695</v>
      </c>
      <c r="E627" s="214">
        <f>E620*施工机械台时费!$L$6+维修!$E$387*施工机械台时费!$L$12+维修!E622*施工机械台时费!$L$32</f>
        <v>197.68294</v>
      </c>
      <c r="F627" s="214">
        <f>主要材料预算!$N$13</f>
        <v>6.0616206482593</v>
      </c>
      <c r="G627" s="216">
        <f t="shared" ref="G627:G629" si="49">E627*F627</f>
        <v>1198.2789909126</v>
      </c>
    </row>
    <row r="628" customHeight="1" spans="1:30">
      <c r="A628" s="204" t="s">
        <v>906</v>
      </c>
      <c r="B628" s="215" t="s">
        <v>772</v>
      </c>
      <c r="C628" s="215"/>
      <c r="D628" s="54"/>
      <c r="E628" s="214">
        <f>G612+G624+G625+G626</f>
        <v>2989.79476452821</v>
      </c>
      <c r="F628" s="222">
        <f>费率表!$C$7</f>
        <v>0.09</v>
      </c>
      <c r="G628" s="216">
        <f t="shared" si="49"/>
        <v>269.081528807539</v>
      </c>
    </row>
    <row r="629" customHeight="1" spans="1:30">
      <c r="A629" s="204"/>
      <c r="B629" s="215" t="s">
        <v>907</v>
      </c>
      <c r="C629" s="215"/>
      <c r="D629" s="54"/>
      <c r="E629" s="214">
        <f>G612+G624+G625+G626+G628</f>
        <v>3258.87629333574</v>
      </c>
      <c r="F629" s="222">
        <f>费率表!$B$19</f>
        <v>0.03</v>
      </c>
      <c r="G629" s="216">
        <f t="shared" si="49"/>
        <v>97.7662888000723</v>
      </c>
    </row>
    <row r="630" customHeight="1" spans="1:30">
      <c r="A630" s="223"/>
      <c r="B630" s="224" t="s">
        <v>39</v>
      </c>
      <c r="C630" s="224"/>
      <c r="D630" s="224"/>
      <c r="E630" s="225"/>
      <c r="F630" s="224"/>
      <c r="G630" s="226">
        <f>G612+G624+G625+G626+G628+G629</f>
        <v>3356.64258213582</v>
      </c>
    </row>
    <row r="631" s="91" customFormat="1" customHeight="1" spans="1:30">
      <c r="A631" s="164"/>
      <c r="B631" s="164"/>
      <c r="C631" s="164"/>
      <c r="D631" s="164"/>
      <c r="E631" s="164"/>
      <c r="F631" s="164"/>
      <c r="G631" s="164"/>
      <c r="S631" s="231"/>
      <c r="T631" s="231"/>
      <c r="U631" s="231"/>
      <c r="V631" s="231"/>
      <c r="W631" s="231"/>
      <c r="X631" s="231"/>
      <c r="Y631" s="231"/>
      <c r="Z631" s="231"/>
      <c r="AA631" s="231"/>
      <c r="AB631" s="231"/>
      <c r="AC631" s="231"/>
      <c r="AD631" s="231"/>
    </row>
    <row r="632" s="91" customFormat="1" customHeight="1" spans="1:30">
      <c r="A632" s="198" t="s">
        <v>868</v>
      </c>
      <c r="B632" s="198"/>
      <c r="C632" s="198"/>
      <c r="D632" s="198"/>
      <c r="E632" s="198"/>
      <c r="F632" s="198"/>
      <c r="G632" s="198"/>
      <c r="S632" s="231"/>
      <c r="T632" s="231"/>
      <c r="U632" s="231"/>
      <c r="V632" s="231"/>
      <c r="W632" s="231"/>
      <c r="X632" s="231"/>
      <c r="Y632" s="231"/>
      <c r="Z632" s="231"/>
      <c r="AA632" s="231"/>
      <c r="AB632" s="231"/>
      <c r="AC632" s="231"/>
      <c r="AD632" s="231"/>
    </row>
    <row r="633" s="91" customFormat="1" customHeight="1" spans="1:30">
      <c r="A633" s="199" t="s">
        <v>869</v>
      </c>
      <c r="B633" s="200"/>
      <c r="C633" s="200"/>
      <c r="D633" s="200" t="s">
        <v>870</v>
      </c>
      <c r="E633" s="201" t="s">
        <v>1275</v>
      </c>
      <c r="F633" s="202"/>
      <c r="G633" s="203"/>
      <c r="S633" s="231"/>
      <c r="T633" s="231"/>
      <c r="U633" s="231"/>
      <c r="V633" s="231"/>
      <c r="W633" s="231"/>
      <c r="X633" s="231"/>
      <c r="Y633" s="231"/>
      <c r="Z633" s="231"/>
      <c r="AA633" s="231"/>
      <c r="AB633" s="231"/>
      <c r="AC633" s="231"/>
      <c r="AD633" s="231"/>
    </row>
    <row r="634" customHeight="1" spans="1:30">
      <c r="A634" s="204" t="s">
        <v>507</v>
      </c>
      <c r="B634" s="205"/>
      <c r="C634" s="206" t="s">
        <v>1374</v>
      </c>
      <c r="D634" s="206"/>
      <c r="E634" s="206"/>
      <c r="F634" s="54" t="s">
        <v>873</v>
      </c>
      <c r="G634" s="207" t="s">
        <v>874</v>
      </c>
    </row>
    <row r="635" customHeight="1" spans="1:30">
      <c r="A635" s="208" t="s">
        <v>1277</v>
      </c>
      <c r="B635" s="206"/>
      <c r="C635" s="206"/>
      <c r="D635" s="206"/>
      <c r="E635" s="206"/>
      <c r="F635" s="206"/>
      <c r="G635" s="209"/>
    </row>
    <row r="636" customHeight="1" spans="1:30">
      <c r="A636" s="210" t="s">
        <v>1278</v>
      </c>
      <c r="B636" s="211"/>
      <c r="C636" s="212"/>
      <c r="D636" s="212"/>
      <c r="E636" s="212"/>
      <c r="F636" s="212"/>
      <c r="G636" s="213"/>
    </row>
    <row r="637" customHeight="1" spans="1:30">
      <c r="A637" s="204" t="s">
        <v>34</v>
      </c>
      <c r="B637" s="54" t="s">
        <v>761</v>
      </c>
      <c r="C637" s="54"/>
      <c r="D637" s="54" t="s">
        <v>60</v>
      </c>
      <c r="E637" s="214" t="s">
        <v>877</v>
      </c>
      <c r="F637" s="54" t="s">
        <v>878</v>
      </c>
      <c r="G637" s="207" t="s">
        <v>879</v>
      </c>
    </row>
    <row r="638" customHeight="1" spans="1:30">
      <c r="A638" s="204" t="s">
        <v>8</v>
      </c>
      <c r="B638" s="215" t="s">
        <v>880</v>
      </c>
      <c r="C638" s="215"/>
      <c r="D638" s="54"/>
      <c r="E638" s="214"/>
      <c r="F638" s="214"/>
      <c r="G638" s="216">
        <f>G639+G651</f>
        <v>396.286801038458</v>
      </c>
    </row>
    <row r="639" customHeight="1" spans="1:30">
      <c r="A639" s="204" t="s">
        <v>881</v>
      </c>
      <c r="B639" s="215" t="s">
        <v>882</v>
      </c>
      <c r="C639" s="215"/>
      <c r="D639" s="54"/>
      <c r="E639" s="214"/>
      <c r="F639" s="214"/>
      <c r="G639" s="216">
        <f>G640+G643+G645</f>
        <v>378.13626053288</v>
      </c>
    </row>
    <row r="640" customHeight="1" spans="1:30">
      <c r="A640" s="204" t="s">
        <v>17</v>
      </c>
      <c r="B640" s="215" t="s">
        <v>510</v>
      </c>
      <c r="C640" s="215"/>
      <c r="D640" s="54"/>
      <c r="E640" s="214"/>
      <c r="F640" s="214"/>
      <c r="G640" s="216">
        <f>SUM(G641:G642)</f>
        <v>115.4</v>
      </c>
    </row>
    <row r="641" customHeight="1" spans="1:7">
      <c r="A641" s="204"/>
      <c r="B641" s="215" t="s">
        <v>704</v>
      </c>
      <c r="C641" s="215"/>
      <c r="D641" s="54" t="s">
        <v>705</v>
      </c>
      <c r="E641" s="214"/>
      <c r="F641" s="214">
        <f>主要材料预算!$D$19</f>
        <v>8.1</v>
      </c>
      <c r="G641" s="216">
        <f t="shared" ref="G641:G649" si="50">E641*F641</f>
        <v>0</v>
      </c>
    </row>
    <row r="642" customHeight="1" spans="1:7">
      <c r="A642" s="204"/>
      <c r="B642" s="215" t="s">
        <v>706</v>
      </c>
      <c r="C642" s="215"/>
      <c r="D642" s="54" t="s">
        <v>705</v>
      </c>
      <c r="E642" s="214">
        <v>20</v>
      </c>
      <c r="F642" s="214">
        <f>主要材料预算!$D$20</f>
        <v>5.77</v>
      </c>
      <c r="G642" s="216">
        <f t="shared" si="50"/>
        <v>115.4</v>
      </c>
    </row>
    <row r="643" customHeight="1" spans="1:7">
      <c r="A643" s="204" t="s">
        <v>19</v>
      </c>
      <c r="B643" s="218" t="s">
        <v>511</v>
      </c>
      <c r="C643" s="219"/>
      <c r="D643" s="54"/>
      <c r="E643" s="214"/>
      <c r="F643" s="214"/>
      <c r="G643" s="216">
        <f>G644</f>
        <v>34.3760236848073</v>
      </c>
    </row>
    <row r="644" customHeight="1" spans="1:7">
      <c r="A644" s="204"/>
      <c r="B644" s="215" t="s">
        <v>1008</v>
      </c>
      <c r="C644" s="215"/>
      <c r="D644" s="54" t="s">
        <v>894</v>
      </c>
      <c r="E644" s="214">
        <f>G640+G645</f>
        <v>343.760236848073</v>
      </c>
      <c r="F644" s="229">
        <v>10</v>
      </c>
      <c r="G644" s="216">
        <f>E644*F644/100</f>
        <v>34.3760236848073</v>
      </c>
    </row>
    <row r="645" customHeight="1" spans="1:7">
      <c r="A645" s="204" t="s">
        <v>21</v>
      </c>
      <c r="B645" s="215" t="s">
        <v>895</v>
      </c>
      <c r="C645" s="215"/>
      <c r="D645" s="215"/>
      <c r="E645" s="214"/>
      <c r="F645" s="214"/>
      <c r="G645" s="216">
        <f>SUM(G646:G650)</f>
        <v>228.360236848073</v>
      </c>
    </row>
    <row r="646" customHeight="1" spans="1:7">
      <c r="A646" s="204"/>
      <c r="B646" s="218" t="s">
        <v>804</v>
      </c>
      <c r="C646" s="219"/>
      <c r="D646" s="54" t="s">
        <v>896</v>
      </c>
      <c r="E646" s="214">
        <v>1.89</v>
      </c>
      <c r="F646" s="214">
        <f>施工机械台时费!E10</f>
        <v>68.4126713203031</v>
      </c>
      <c r="G646" s="216">
        <f t="shared" si="50"/>
        <v>129.299948795373</v>
      </c>
    </row>
    <row r="647" customHeight="1" spans="1:7">
      <c r="A647" s="204"/>
      <c r="B647" s="218" t="s">
        <v>807</v>
      </c>
      <c r="C647" s="219"/>
      <c r="D647" s="54" t="s">
        <v>896</v>
      </c>
      <c r="E647" s="214">
        <v>0.5</v>
      </c>
      <c r="F647" s="214">
        <f>施工机械台时费!E13</f>
        <v>89.4423446350219</v>
      </c>
      <c r="G647" s="216">
        <f t="shared" si="50"/>
        <v>44.721172317511</v>
      </c>
    </row>
    <row r="648" customHeight="1" spans="1:7">
      <c r="A648" s="204"/>
      <c r="B648" s="218" t="s">
        <v>1279</v>
      </c>
      <c r="C648" s="219"/>
      <c r="D648" s="54" t="s">
        <v>896</v>
      </c>
      <c r="E648" s="214">
        <v>1</v>
      </c>
      <c r="F648" s="214">
        <f>施工机械台时费!E17</f>
        <v>22.5244315915437</v>
      </c>
      <c r="G648" s="216">
        <f t="shared" si="50"/>
        <v>22.5244315915437</v>
      </c>
    </row>
    <row r="649" customHeight="1" spans="1:7">
      <c r="A649" s="204"/>
      <c r="B649" s="218" t="s">
        <v>1375</v>
      </c>
      <c r="C649" s="219"/>
      <c r="D649" s="54" t="s">
        <v>896</v>
      </c>
      <c r="E649" s="214">
        <v>0.5</v>
      </c>
      <c r="F649" s="214">
        <f>施工机械台时费!E66</f>
        <v>59.1073833992095</v>
      </c>
      <c r="G649" s="216">
        <f t="shared" si="50"/>
        <v>29.5536916996047</v>
      </c>
    </row>
    <row r="650" customHeight="1" spans="1:7">
      <c r="A650" s="204"/>
      <c r="B650" s="218" t="s">
        <v>902</v>
      </c>
      <c r="C650" s="219"/>
      <c r="D650" s="54" t="s">
        <v>894</v>
      </c>
      <c r="E650" s="214">
        <v>1</v>
      </c>
      <c r="F650" s="214">
        <f>SUM(G646:G649)</f>
        <v>226.099244404032</v>
      </c>
      <c r="G650" s="216">
        <f>E650*F650/100</f>
        <v>2.26099244404032</v>
      </c>
    </row>
    <row r="651" customHeight="1" spans="1:7">
      <c r="A651" s="204" t="s">
        <v>905</v>
      </c>
      <c r="B651" s="215" t="s">
        <v>514</v>
      </c>
      <c r="C651" s="215"/>
      <c r="D651" s="54"/>
      <c r="E651" s="220">
        <f>G639</f>
        <v>378.13626053288</v>
      </c>
      <c r="F651" s="221">
        <f>费率表!$C$4</f>
        <v>0.048</v>
      </c>
      <c r="G651" s="216">
        <f t="shared" ref="G651:G653" si="51">E651*F651</f>
        <v>18.1505405055782</v>
      </c>
    </row>
    <row r="652" customHeight="1" spans="1:7">
      <c r="A652" s="204" t="s">
        <v>10</v>
      </c>
      <c r="B652" s="215" t="s">
        <v>770</v>
      </c>
      <c r="C652" s="215"/>
      <c r="D652" s="54"/>
      <c r="E652" s="214">
        <f>G638</f>
        <v>396.286801038458</v>
      </c>
      <c r="F652" s="222">
        <f>费率表!$C$5</f>
        <v>0.045</v>
      </c>
      <c r="G652" s="216">
        <f t="shared" si="51"/>
        <v>17.8329060467306</v>
      </c>
    </row>
    <row r="653" customHeight="1" spans="1:7">
      <c r="A653" s="204" t="s">
        <v>12</v>
      </c>
      <c r="B653" s="215" t="s">
        <v>771</v>
      </c>
      <c r="C653" s="215"/>
      <c r="D653" s="54"/>
      <c r="E653" s="214">
        <f>G638+G652</f>
        <v>414.119707085189</v>
      </c>
      <c r="F653" s="222">
        <f>费率表!$C$6</f>
        <v>0.07</v>
      </c>
      <c r="G653" s="216">
        <f t="shared" si="51"/>
        <v>28.9883794959632</v>
      </c>
    </row>
    <row r="654" customHeight="1" spans="1:7">
      <c r="A654" s="204" t="s">
        <v>15</v>
      </c>
      <c r="B654" s="218" t="s">
        <v>517</v>
      </c>
      <c r="C654" s="219"/>
      <c r="D654" s="54"/>
      <c r="E654" s="214"/>
      <c r="F654" s="230"/>
      <c r="G654" s="216">
        <f>G655</f>
        <v>167.973569783913</v>
      </c>
    </row>
    <row r="655" customHeight="1" spans="1:7">
      <c r="A655" s="204"/>
      <c r="B655" s="218" t="s">
        <v>694</v>
      </c>
      <c r="C655" s="219"/>
      <c r="D655" s="54" t="s">
        <v>695</v>
      </c>
      <c r="E655" s="214">
        <f>E646*施工机械台时费!L10+施工机械台时费!L13*E647+E649*施工机械台时费!L66</f>
        <v>27.711</v>
      </c>
      <c r="F655" s="214">
        <f>主要材料预算!$N$13</f>
        <v>6.0616206482593</v>
      </c>
      <c r="G655" s="216">
        <f t="shared" ref="G655:G657" si="52">E655*F655</f>
        <v>167.973569783913</v>
      </c>
    </row>
    <row r="656" customHeight="1" spans="1:7">
      <c r="A656" s="204" t="s">
        <v>906</v>
      </c>
      <c r="B656" s="215" t="s">
        <v>772</v>
      </c>
      <c r="C656" s="215"/>
      <c r="D656" s="54"/>
      <c r="E656" s="214">
        <f>G638+G652+G653+G654</f>
        <v>611.081656365065</v>
      </c>
      <c r="F656" s="222">
        <f>费率表!$C$7</f>
        <v>0.09</v>
      </c>
      <c r="G656" s="216">
        <f t="shared" si="52"/>
        <v>54.9973490728559</v>
      </c>
    </row>
    <row r="657" customHeight="1" spans="1:7">
      <c r="A657" s="204"/>
      <c r="B657" s="215" t="s">
        <v>907</v>
      </c>
      <c r="C657" s="215"/>
      <c r="D657" s="54"/>
      <c r="E657" s="214">
        <f>G638+G652+G653+G654+G656</f>
        <v>666.079005437921</v>
      </c>
      <c r="F657" s="222">
        <f>费率表!$B$19</f>
        <v>0.03</v>
      </c>
      <c r="G657" s="216">
        <f t="shared" si="52"/>
        <v>19.9823701631376</v>
      </c>
    </row>
    <row r="658" customHeight="1" spans="1:7">
      <c r="A658" s="223"/>
      <c r="B658" s="224" t="s">
        <v>39</v>
      </c>
      <c r="C658" s="224"/>
      <c r="D658" s="224"/>
      <c r="E658" s="225"/>
      <c r="F658" s="224"/>
      <c r="G658" s="226">
        <f>G638+G652+G653+G654+G656+G657</f>
        <v>686.061375601059</v>
      </c>
    </row>
    <row r="659" customHeight="1" spans="1:7">
      <c r="A659" s="164"/>
      <c r="B659" s="164"/>
      <c r="C659" s="164"/>
      <c r="D659" s="164"/>
      <c r="E659" s="164"/>
      <c r="F659" s="164"/>
      <c r="G659" s="164"/>
    </row>
    <row r="660" customHeight="1" spans="1:7">
      <c r="A660" s="198" t="s">
        <v>868</v>
      </c>
      <c r="B660" s="198"/>
      <c r="C660" s="198"/>
      <c r="D660" s="198"/>
      <c r="E660" s="198"/>
      <c r="F660" s="198"/>
      <c r="G660" s="198"/>
    </row>
    <row r="661" customHeight="1" spans="1:7">
      <c r="A661" s="199" t="s">
        <v>869</v>
      </c>
      <c r="B661" s="200"/>
      <c r="C661" s="200"/>
      <c r="D661" s="200" t="s">
        <v>870</v>
      </c>
      <c r="E661" s="201" t="s">
        <v>1376</v>
      </c>
      <c r="F661" s="202"/>
      <c r="G661" s="203"/>
    </row>
    <row r="662" customHeight="1" spans="1:7">
      <c r="A662" s="204" t="s">
        <v>507</v>
      </c>
      <c r="B662" s="205"/>
      <c r="C662" s="206" t="s">
        <v>1377</v>
      </c>
      <c r="D662" s="206"/>
      <c r="E662" s="206"/>
      <c r="F662" s="54" t="s">
        <v>873</v>
      </c>
      <c r="G662" s="207" t="s">
        <v>874</v>
      </c>
    </row>
    <row r="663" customHeight="1" spans="1:7">
      <c r="A663" s="208" t="s">
        <v>875</v>
      </c>
      <c r="B663" s="206"/>
      <c r="C663" s="206"/>
      <c r="D663" s="206"/>
      <c r="E663" s="206"/>
      <c r="F663" s="206"/>
      <c r="G663" s="209"/>
    </row>
    <row r="664" customHeight="1" spans="1:7">
      <c r="A664" s="210" t="s">
        <v>1291</v>
      </c>
      <c r="B664" s="211"/>
      <c r="C664" s="212"/>
      <c r="D664" s="212"/>
      <c r="E664" s="212"/>
      <c r="F664" s="212"/>
      <c r="G664" s="213"/>
    </row>
    <row r="665" customHeight="1" spans="1:7">
      <c r="A665" s="204" t="s">
        <v>34</v>
      </c>
      <c r="B665" s="54" t="s">
        <v>761</v>
      </c>
      <c r="C665" s="54"/>
      <c r="D665" s="54" t="s">
        <v>60</v>
      </c>
      <c r="E665" s="214" t="s">
        <v>877</v>
      </c>
      <c r="F665" s="54" t="s">
        <v>878</v>
      </c>
      <c r="G665" s="207" t="s">
        <v>879</v>
      </c>
    </row>
    <row r="666" customHeight="1" spans="1:7">
      <c r="A666" s="204" t="s">
        <v>8</v>
      </c>
      <c r="B666" s="215" t="s">
        <v>880</v>
      </c>
      <c r="C666" s="215"/>
      <c r="D666" s="54"/>
      <c r="E666" s="214"/>
      <c r="F666" s="214"/>
      <c r="G666" s="216">
        <f>G667+G675</f>
        <v>510.7770696</v>
      </c>
    </row>
    <row r="667" customHeight="1" spans="1:7">
      <c r="A667" s="204" t="s">
        <v>881</v>
      </c>
      <c r="B667" s="215" t="s">
        <v>882</v>
      </c>
      <c r="C667" s="215"/>
      <c r="D667" s="54"/>
      <c r="E667" s="214"/>
      <c r="F667" s="214"/>
      <c r="G667" s="216">
        <f>G668+G671+G673</f>
        <v>487.3827</v>
      </c>
    </row>
    <row r="668" customHeight="1" spans="1:7">
      <c r="A668" s="204" t="s">
        <v>17</v>
      </c>
      <c r="B668" s="215" t="s">
        <v>510</v>
      </c>
      <c r="C668" s="215"/>
      <c r="D668" s="54"/>
      <c r="E668" s="214"/>
      <c r="F668" s="214"/>
      <c r="G668" s="216">
        <f>SUM(G669:G670)</f>
        <v>464.174</v>
      </c>
    </row>
    <row r="669" customHeight="1" spans="1:7">
      <c r="A669" s="204"/>
      <c r="B669" s="215" t="s">
        <v>704</v>
      </c>
      <c r="C669" s="215"/>
      <c r="D669" s="54" t="s">
        <v>705</v>
      </c>
      <c r="E669" s="214">
        <v>1.6</v>
      </c>
      <c r="F669" s="214">
        <f>主要材料预算!$D$19</f>
        <v>8.1</v>
      </c>
      <c r="G669" s="216">
        <f t="shared" ref="G669:G677" si="53">E669*F669</f>
        <v>12.96</v>
      </c>
    </row>
    <row r="670" customHeight="1" spans="1:7">
      <c r="A670" s="204"/>
      <c r="B670" s="215" t="s">
        <v>706</v>
      </c>
      <c r="C670" s="215"/>
      <c r="D670" s="54" t="s">
        <v>705</v>
      </c>
      <c r="E670" s="214">
        <v>78.2</v>
      </c>
      <c r="F670" s="214">
        <f>主要材料预算!$D$20</f>
        <v>5.77</v>
      </c>
      <c r="G670" s="216">
        <f t="shared" si="53"/>
        <v>451.214</v>
      </c>
    </row>
    <row r="671" customHeight="1" spans="1:7">
      <c r="A671" s="204" t="s">
        <v>19</v>
      </c>
      <c r="B671" s="218" t="s">
        <v>511</v>
      </c>
      <c r="C671" s="219"/>
      <c r="D671" s="54"/>
      <c r="E671" s="214"/>
      <c r="F671" s="214"/>
      <c r="G671" s="216">
        <f>G672</f>
        <v>23.2087</v>
      </c>
    </row>
    <row r="672" customHeight="1" spans="1:7">
      <c r="A672" s="204"/>
      <c r="B672" s="215" t="s">
        <v>1008</v>
      </c>
      <c r="C672" s="215"/>
      <c r="D672" s="54" t="s">
        <v>894</v>
      </c>
      <c r="E672" s="214">
        <f>G668+G673</f>
        <v>464.174</v>
      </c>
      <c r="F672" s="229">
        <v>5</v>
      </c>
      <c r="G672" s="216">
        <f>E672*F672/100</f>
        <v>23.2087</v>
      </c>
    </row>
    <row r="673" customHeight="1" spans="1:7">
      <c r="A673" s="204" t="s">
        <v>21</v>
      </c>
      <c r="B673" s="215" t="s">
        <v>895</v>
      </c>
      <c r="C673" s="215"/>
      <c r="D673" s="215"/>
      <c r="E673" s="214"/>
      <c r="F673" s="214"/>
      <c r="G673" s="216">
        <f>SUM(G674:G674)</f>
        <v>0</v>
      </c>
    </row>
    <row r="674" customHeight="1" spans="1:7">
      <c r="A674" s="204"/>
      <c r="B674" s="218" t="s">
        <v>1279</v>
      </c>
      <c r="C674" s="219"/>
      <c r="D674" s="54" t="s">
        <v>896</v>
      </c>
      <c r="E674" s="214"/>
      <c r="F674" s="214">
        <f>施工机械台时费!$E$17</f>
        <v>22.5244315915437</v>
      </c>
      <c r="G674" s="216">
        <f t="shared" si="53"/>
        <v>0</v>
      </c>
    </row>
    <row r="675" customHeight="1" spans="1:7">
      <c r="A675" s="204" t="s">
        <v>905</v>
      </c>
      <c r="B675" s="215" t="s">
        <v>514</v>
      </c>
      <c r="C675" s="215"/>
      <c r="D675" s="54"/>
      <c r="E675" s="220">
        <f>G667</f>
        <v>487.3827</v>
      </c>
      <c r="F675" s="221">
        <f>费率表!$C$4</f>
        <v>0.048</v>
      </c>
      <c r="G675" s="216">
        <f t="shared" si="53"/>
        <v>23.3943696</v>
      </c>
    </row>
    <row r="676" customHeight="1" spans="1:7">
      <c r="A676" s="204" t="s">
        <v>10</v>
      </c>
      <c r="B676" s="215" t="s">
        <v>770</v>
      </c>
      <c r="C676" s="215"/>
      <c r="D676" s="54"/>
      <c r="E676" s="214">
        <f>G666</f>
        <v>510.7770696</v>
      </c>
      <c r="F676" s="222">
        <f>费率表!$C$5</f>
        <v>0.045</v>
      </c>
      <c r="G676" s="216">
        <f t="shared" si="53"/>
        <v>22.984968132</v>
      </c>
    </row>
    <row r="677" customHeight="1" spans="1:7">
      <c r="A677" s="204" t="s">
        <v>12</v>
      </c>
      <c r="B677" s="215" t="s">
        <v>771</v>
      </c>
      <c r="C677" s="215"/>
      <c r="D677" s="54"/>
      <c r="E677" s="214">
        <f>G666+G676</f>
        <v>533.762037732</v>
      </c>
      <c r="F677" s="222">
        <f>费率表!$C$6</f>
        <v>0.07</v>
      </c>
      <c r="G677" s="216">
        <f t="shared" si="53"/>
        <v>37.36334264124</v>
      </c>
    </row>
    <row r="678" customHeight="1" spans="1:7">
      <c r="A678" s="204" t="s">
        <v>15</v>
      </c>
      <c r="B678" s="218" t="s">
        <v>517</v>
      </c>
      <c r="C678" s="219"/>
      <c r="D678" s="54"/>
      <c r="E678" s="214"/>
      <c r="F678" s="230"/>
      <c r="G678" s="216">
        <f>G679</f>
        <v>0</v>
      </c>
    </row>
    <row r="679" customHeight="1" spans="1:7">
      <c r="A679" s="204"/>
      <c r="B679" s="218" t="s">
        <v>694</v>
      </c>
      <c r="C679" s="219"/>
      <c r="D679" s="54" t="s">
        <v>695</v>
      </c>
      <c r="E679" s="214"/>
      <c r="F679" s="214">
        <f>主要材料预算!$N$13</f>
        <v>6.0616206482593</v>
      </c>
      <c r="G679" s="216">
        <f t="shared" ref="G679:G681" si="54">E679*F679</f>
        <v>0</v>
      </c>
    </row>
    <row r="680" customHeight="1" spans="1:7">
      <c r="A680" s="204" t="s">
        <v>906</v>
      </c>
      <c r="B680" s="215" t="s">
        <v>772</v>
      </c>
      <c r="C680" s="215"/>
      <c r="D680" s="54"/>
      <c r="E680" s="214">
        <f>G666+G676+G677+G678</f>
        <v>571.12538037324</v>
      </c>
      <c r="F680" s="222">
        <f>费率表!$C$7</f>
        <v>0.09</v>
      </c>
      <c r="G680" s="216">
        <f t="shared" si="54"/>
        <v>51.4012842335916</v>
      </c>
    </row>
    <row r="681" customHeight="1" spans="1:7">
      <c r="A681" s="204"/>
      <c r="B681" s="215" t="s">
        <v>907</v>
      </c>
      <c r="C681" s="215"/>
      <c r="D681" s="54"/>
      <c r="E681" s="214">
        <f>G666+G676+G677+G678+G680</f>
        <v>622.526664606832</v>
      </c>
      <c r="F681" s="222">
        <f>费率表!$B$19</f>
        <v>0.03</v>
      </c>
      <c r="G681" s="216">
        <f t="shared" si="54"/>
        <v>18.6757999382049</v>
      </c>
    </row>
    <row r="682" customHeight="1" spans="1:7">
      <c r="A682" s="223"/>
      <c r="B682" s="224" t="s">
        <v>39</v>
      </c>
      <c r="C682" s="224"/>
      <c r="D682" s="224"/>
      <c r="E682" s="225"/>
      <c r="F682" s="224"/>
      <c r="G682" s="226">
        <f>G666+G676+G677+G678+G680+G681</f>
        <v>641.202464545036</v>
      </c>
    </row>
    <row r="685" customHeight="1" spans="1:7">
      <c r="A685" s="198" t="s">
        <v>868</v>
      </c>
      <c r="B685" s="198"/>
      <c r="C685" s="198"/>
      <c r="D685" s="198"/>
      <c r="E685" s="198"/>
      <c r="F685" s="198"/>
      <c r="G685" s="198"/>
    </row>
    <row r="686" customHeight="1" spans="1:7">
      <c r="A686" s="199" t="s">
        <v>869</v>
      </c>
      <c r="B686" s="200"/>
      <c r="C686" s="200"/>
      <c r="D686" s="200" t="s">
        <v>870</v>
      </c>
      <c r="E686" s="201" t="s">
        <v>1378</v>
      </c>
      <c r="F686" s="202"/>
      <c r="G686" s="203"/>
    </row>
    <row r="687" customHeight="1" spans="1:7">
      <c r="A687" s="204" t="s">
        <v>507</v>
      </c>
      <c r="B687" s="205"/>
      <c r="C687" s="206" t="s">
        <v>1377</v>
      </c>
      <c r="D687" s="206"/>
      <c r="E687" s="206"/>
      <c r="F687" s="54" t="s">
        <v>873</v>
      </c>
      <c r="G687" s="207" t="s">
        <v>874</v>
      </c>
    </row>
    <row r="688" customHeight="1" spans="1:7">
      <c r="A688" s="208" t="s">
        <v>875</v>
      </c>
      <c r="B688" s="206"/>
      <c r="C688" s="206"/>
      <c r="D688" s="206"/>
      <c r="E688" s="206"/>
      <c r="F688" s="206"/>
      <c r="G688" s="209"/>
    </row>
    <row r="689" customHeight="1" spans="1:7">
      <c r="A689" s="210" t="s">
        <v>1291</v>
      </c>
      <c r="B689" s="211"/>
      <c r="C689" s="212"/>
      <c r="D689" s="212"/>
      <c r="E689" s="212"/>
      <c r="F689" s="212"/>
      <c r="G689" s="213"/>
    </row>
    <row r="690" customHeight="1" spans="1:7">
      <c r="A690" s="204" t="s">
        <v>34</v>
      </c>
      <c r="B690" s="54" t="s">
        <v>761</v>
      </c>
      <c r="C690" s="54"/>
      <c r="D690" s="54" t="s">
        <v>60</v>
      </c>
      <c r="E690" s="214" t="s">
        <v>877</v>
      </c>
      <c r="F690" s="54" t="s">
        <v>878</v>
      </c>
      <c r="G690" s="207" t="s">
        <v>879</v>
      </c>
    </row>
    <row r="691" customHeight="1" spans="1:7">
      <c r="A691" s="204" t="s">
        <v>8</v>
      </c>
      <c r="B691" s="215" t="s">
        <v>880</v>
      </c>
      <c r="C691" s="215"/>
      <c r="D691" s="54"/>
      <c r="E691" s="214"/>
      <c r="F691" s="214"/>
      <c r="G691" s="216">
        <f>G692+G700</f>
        <v>1835.40097233602</v>
      </c>
    </row>
    <row r="692" customHeight="1" spans="1:7">
      <c r="A692" s="204" t="s">
        <v>881</v>
      </c>
      <c r="B692" s="215" t="s">
        <v>882</v>
      </c>
      <c r="C692" s="215"/>
      <c r="D692" s="54"/>
      <c r="E692" s="214"/>
      <c r="F692" s="214"/>
      <c r="G692" s="216">
        <f>G693+G696+G698</f>
        <v>1751.33680566414</v>
      </c>
    </row>
    <row r="693" customHeight="1" spans="1:7">
      <c r="A693" s="204" t="s">
        <v>17</v>
      </c>
      <c r="B693" s="215" t="s">
        <v>510</v>
      </c>
      <c r="C693" s="215"/>
      <c r="D693" s="54"/>
      <c r="E693" s="214"/>
      <c r="F693" s="214"/>
      <c r="G693" s="216">
        <f>SUM(G694:G695)</f>
        <v>1343.588</v>
      </c>
    </row>
    <row r="694" customHeight="1" spans="1:7">
      <c r="A694" s="204"/>
      <c r="B694" s="215" t="s">
        <v>704</v>
      </c>
      <c r="C694" s="215"/>
      <c r="D694" s="54" t="s">
        <v>705</v>
      </c>
      <c r="E694" s="214">
        <v>4.6</v>
      </c>
      <c r="F694" s="214">
        <f>主要材料预算!$D$19</f>
        <v>8.1</v>
      </c>
      <c r="G694" s="216">
        <f t="shared" ref="G694:G702" si="55">E694*F694</f>
        <v>37.26</v>
      </c>
    </row>
    <row r="695" customHeight="1" spans="1:7">
      <c r="A695" s="204"/>
      <c r="B695" s="215" t="s">
        <v>706</v>
      </c>
      <c r="C695" s="215"/>
      <c r="D695" s="54" t="s">
        <v>705</v>
      </c>
      <c r="E695" s="214">
        <v>226.4</v>
      </c>
      <c r="F695" s="214">
        <f>主要材料预算!$D$20</f>
        <v>5.77</v>
      </c>
      <c r="G695" s="216">
        <f t="shared" si="55"/>
        <v>1306.328</v>
      </c>
    </row>
    <row r="696" customHeight="1" spans="1:7">
      <c r="A696" s="204" t="s">
        <v>19</v>
      </c>
      <c r="B696" s="218" t="s">
        <v>511</v>
      </c>
      <c r="C696" s="219"/>
      <c r="D696" s="54"/>
      <c r="E696" s="214"/>
      <c r="F696" s="214"/>
      <c r="G696" s="216">
        <f>G697</f>
        <v>83.3969907459114</v>
      </c>
    </row>
    <row r="697" customHeight="1" spans="1:7">
      <c r="A697" s="204"/>
      <c r="B697" s="215" t="s">
        <v>1008</v>
      </c>
      <c r="C697" s="215"/>
      <c r="D697" s="54" t="s">
        <v>894</v>
      </c>
      <c r="E697" s="214">
        <f>G693+G698</f>
        <v>1667.93981491823</v>
      </c>
      <c r="F697" s="229">
        <v>5</v>
      </c>
      <c r="G697" s="216">
        <f>E697*F697/100</f>
        <v>83.3969907459114</v>
      </c>
    </row>
    <row r="698" customHeight="1" spans="1:7">
      <c r="A698" s="204" t="s">
        <v>21</v>
      </c>
      <c r="B698" s="215" t="s">
        <v>895</v>
      </c>
      <c r="C698" s="215"/>
      <c r="D698" s="215"/>
      <c r="E698" s="214"/>
      <c r="F698" s="214"/>
      <c r="G698" s="216">
        <f>SUM(G699:G699)</f>
        <v>324.351814918229</v>
      </c>
    </row>
    <row r="699" customHeight="1" spans="1:7">
      <c r="A699" s="204"/>
      <c r="B699" s="218" t="s">
        <v>1279</v>
      </c>
      <c r="C699" s="219"/>
      <c r="D699" s="54" t="s">
        <v>896</v>
      </c>
      <c r="E699" s="214">
        <f>14.4</f>
        <v>14.4</v>
      </c>
      <c r="F699" s="214">
        <f>施工机械台时费!$E$17</f>
        <v>22.5244315915437</v>
      </c>
      <c r="G699" s="216">
        <f t="shared" si="55"/>
        <v>324.351814918229</v>
      </c>
    </row>
    <row r="700" customHeight="1" spans="1:7">
      <c r="A700" s="204" t="s">
        <v>905</v>
      </c>
      <c r="B700" s="215" t="s">
        <v>514</v>
      </c>
      <c r="C700" s="215"/>
      <c r="D700" s="54"/>
      <c r="E700" s="220">
        <f>G692</f>
        <v>1751.33680566414</v>
      </c>
      <c r="F700" s="221">
        <f>费率表!$C$4</f>
        <v>0.048</v>
      </c>
      <c r="G700" s="216">
        <f t="shared" si="55"/>
        <v>84.0641666718787</v>
      </c>
    </row>
    <row r="701" customHeight="1" spans="1:7">
      <c r="A701" s="204" t="s">
        <v>10</v>
      </c>
      <c r="B701" s="215" t="s">
        <v>770</v>
      </c>
      <c r="C701" s="215"/>
      <c r="D701" s="54"/>
      <c r="E701" s="214">
        <f>G691</f>
        <v>1835.40097233602</v>
      </c>
      <c r="F701" s="222">
        <f>费率表!$C$5</f>
        <v>0.045</v>
      </c>
      <c r="G701" s="216">
        <f t="shared" si="55"/>
        <v>82.5930437551208</v>
      </c>
    </row>
    <row r="702" customHeight="1" spans="1:7">
      <c r="A702" s="204" t="s">
        <v>12</v>
      </c>
      <c r="B702" s="215" t="s">
        <v>771</v>
      </c>
      <c r="C702" s="215"/>
      <c r="D702" s="54"/>
      <c r="E702" s="214">
        <f>G691+G701</f>
        <v>1917.99401609114</v>
      </c>
      <c r="F702" s="222">
        <f>费率表!$C$6</f>
        <v>0.07</v>
      </c>
      <c r="G702" s="216">
        <f t="shared" si="55"/>
        <v>134.25958112638</v>
      </c>
    </row>
    <row r="703" customHeight="1" spans="1:7">
      <c r="A703" s="204" t="s">
        <v>15</v>
      </c>
      <c r="B703" s="218" t="s">
        <v>517</v>
      </c>
      <c r="C703" s="219"/>
      <c r="D703" s="54"/>
      <c r="E703" s="214"/>
      <c r="F703" s="230"/>
      <c r="G703" s="216">
        <f>G704</f>
        <v>0</v>
      </c>
    </row>
    <row r="704" customHeight="1" spans="1:7">
      <c r="A704" s="204"/>
      <c r="B704" s="218" t="s">
        <v>694</v>
      </c>
      <c r="C704" s="219"/>
      <c r="D704" s="54" t="s">
        <v>695</v>
      </c>
      <c r="E704" s="214"/>
      <c r="F704" s="214">
        <f>主要材料预算!$N$13</f>
        <v>6.0616206482593</v>
      </c>
      <c r="G704" s="216">
        <f t="shared" ref="G704:G706" si="56">E704*F704</f>
        <v>0</v>
      </c>
    </row>
    <row r="705" customHeight="1" spans="1:7">
      <c r="A705" s="204" t="s">
        <v>906</v>
      </c>
      <c r="B705" s="215" t="s">
        <v>772</v>
      </c>
      <c r="C705" s="215"/>
      <c r="D705" s="54"/>
      <c r="E705" s="214">
        <f>G691+G701+G702+G703</f>
        <v>2052.25359721752</v>
      </c>
      <c r="F705" s="222">
        <f>费率表!$C$7</f>
        <v>0.09</v>
      </c>
      <c r="G705" s="216">
        <f t="shared" si="56"/>
        <v>184.702823749577</v>
      </c>
    </row>
    <row r="706" customHeight="1" spans="1:7">
      <c r="A706" s="204"/>
      <c r="B706" s="215" t="s">
        <v>907</v>
      </c>
      <c r="C706" s="215"/>
      <c r="D706" s="54"/>
      <c r="E706" s="214">
        <f>G691+G701+G702+G703+G705</f>
        <v>2236.9564209671</v>
      </c>
      <c r="F706" s="222">
        <f>费率表!$B$19</f>
        <v>0.03</v>
      </c>
      <c r="G706" s="216">
        <f t="shared" si="56"/>
        <v>67.1086926290129</v>
      </c>
    </row>
    <row r="707" customHeight="1" spans="1:7">
      <c r="A707" s="223"/>
      <c r="B707" s="224" t="s">
        <v>39</v>
      </c>
      <c r="C707" s="224"/>
      <c r="D707" s="224"/>
      <c r="E707" s="225"/>
      <c r="F707" s="224"/>
      <c r="G707" s="226">
        <f>G691+G701+G702+G703+G705+G706</f>
        <v>2304.06511359611</v>
      </c>
    </row>
    <row r="709" customHeight="1" spans="1:7">
      <c r="A709" s="198" t="s">
        <v>868</v>
      </c>
      <c r="B709" s="198"/>
      <c r="C709" s="198"/>
      <c r="D709" s="198"/>
      <c r="E709" s="198"/>
      <c r="F709" s="198"/>
      <c r="G709" s="198"/>
    </row>
    <row r="710" customHeight="1" spans="1:7">
      <c r="A710" s="199" t="s">
        <v>869</v>
      </c>
      <c r="B710" s="200"/>
      <c r="C710" s="200"/>
      <c r="D710" s="200" t="s">
        <v>870</v>
      </c>
      <c r="E710" s="201" t="s">
        <v>1284</v>
      </c>
      <c r="F710" s="202"/>
      <c r="G710" s="203"/>
    </row>
    <row r="711" customHeight="1" spans="1:7">
      <c r="A711" s="204" t="s">
        <v>507</v>
      </c>
      <c r="B711" s="205"/>
      <c r="C711" s="206" t="s">
        <v>1379</v>
      </c>
      <c r="D711" s="206"/>
      <c r="E711" s="206"/>
      <c r="F711" s="54" t="s">
        <v>873</v>
      </c>
      <c r="G711" s="207" t="s">
        <v>874</v>
      </c>
    </row>
    <row r="712" customHeight="1" spans="1:7">
      <c r="A712" s="208" t="s">
        <v>1282</v>
      </c>
      <c r="B712" s="206"/>
      <c r="C712" s="206"/>
      <c r="D712" s="206"/>
      <c r="E712" s="206"/>
      <c r="F712" s="206"/>
      <c r="G712" s="209"/>
    </row>
    <row r="713" customHeight="1" spans="1:7">
      <c r="A713" s="210" t="s">
        <v>1283</v>
      </c>
      <c r="B713" s="211"/>
      <c r="C713" s="212"/>
      <c r="D713" s="212"/>
      <c r="E713" s="212"/>
      <c r="F713" s="212"/>
      <c r="G713" s="213"/>
    </row>
    <row r="714" customHeight="1" spans="1:7">
      <c r="A714" s="204" t="s">
        <v>34</v>
      </c>
      <c r="B714" s="54" t="s">
        <v>761</v>
      </c>
      <c r="C714" s="54"/>
      <c r="D714" s="54" t="s">
        <v>60</v>
      </c>
      <c r="E714" s="214" t="s">
        <v>877</v>
      </c>
      <c r="F714" s="54" t="s">
        <v>878</v>
      </c>
      <c r="G714" s="207" t="s">
        <v>879</v>
      </c>
    </row>
    <row r="715" customHeight="1" spans="1:7">
      <c r="A715" s="204" t="s">
        <v>8</v>
      </c>
      <c r="B715" s="215" t="s">
        <v>880</v>
      </c>
      <c r="C715" s="215"/>
      <c r="D715" s="54"/>
      <c r="E715" s="214"/>
      <c r="F715" s="214"/>
      <c r="G715" s="216">
        <f>G716+G722</f>
        <v>106.0334436</v>
      </c>
    </row>
    <row r="716" customHeight="1" spans="1:7">
      <c r="A716" s="204" t="s">
        <v>881</v>
      </c>
      <c r="B716" s="215" t="s">
        <v>882</v>
      </c>
      <c r="C716" s="215"/>
      <c r="D716" s="54"/>
      <c r="E716" s="214"/>
      <c r="F716" s="214"/>
      <c r="G716" s="216">
        <f>G717+G720</f>
        <v>101.17695</v>
      </c>
    </row>
    <row r="717" customHeight="1" spans="1:7">
      <c r="A717" s="204" t="s">
        <v>17</v>
      </c>
      <c r="B717" s="215" t="s">
        <v>510</v>
      </c>
      <c r="C717" s="215"/>
      <c r="D717" s="54"/>
      <c r="E717" s="214"/>
      <c r="F717" s="214"/>
      <c r="G717" s="216">
        <f>SUM(G718:G719)</f>
        <v>96.359</v>
      </c>
    </row>
    <row r="718" customHeight="1" spans="1:7">
      <c r="A718" s="204"/>
      <c r="B718" s="215" t="s">
        <v>704</v>
      </c>
      <c r="C718" s="215"/>
      <c r="D718" s="54" t="s">
        <v>705</v>
      </c>
      <c r="E718" s="214"/>
      <c r="F718" s="214">
        <f>主要材料预算!$D$19</f>
        <v>8.1</v>
      </c>
      <c r="G718" s="216">
        <f t="shared" ref="G718:G726" si="57">E718*F718</f>
        <v>0</v>
      </c>
    </row>
    <row r="719" customHeight="1" spans="1:7">
      <c r="A719" s="204"/>
      <c r="B719" s="215" t="s">
        <v>706</v>
      </c>
      <c r="C719" s="215"/>
      <c r="D719" s="54" t="s">
        <v>705</v>
      </c>
      <c r="E719" s="214">
        <v>16.7</v>
      </c>
      <c r="F719" s="214">
        <f>主要材料预算!$D$20</f>
        <v>5.77</v>
      </c>
      <c r="G719" s="216">
        <f t="shared" si="57"/>
        <v>96.359</v>
      </c>
    </row>
    <row r="720" customHeight="1" spans="1:7">
      <c r="A720" s="204" t="s">
        <v>19</v>
      </c>
      <c r="B720" s="218" t="s">
        <v>511</v>
      </c>
      <c r="C720" s="219"/>
      <c r="D720" s="54"/>
      <c r="E720" s="214"/>
      <c r="F720" s="214"/>
      <c r="G720" s="216">
        <f>G721</f>
        <v>4.81795</v>
      </c>
    </row>
    <row r="721" customHeight="1" spans="1:7">
      <c r="A721" s="204"/>
      <c r="B721" s="215" t="s">
        <v>1008</v>
      </c>
      <c r="C721" s="215"/>
      <c r="D721" s="54" t="s">
        <v>894</v>
      </c>
      <c r="E721" s="214">
        <f>G717</f>
        <v>96.359</v>
      </c>
      <c r="F721" s="229">
        <v>5</v>
      </c>
      <c r="G721" s="216">
        <f>E721*F721/100</f>
        <v>4.81795</v>
      </c>
    </row>
    <row r="722" customHeight="1" spans="1:7">
      <c r="A722" s="204" t="s">
        <v>905</v>
      </c>
      <c r="B722" s="215" t="s">
        <v>514</v>
      </c>
      <c r="C722" s="215"/>
      <c r="D722" s="54"/>
      <c r="E722" s="220">
        <f>G716</f>
        <v>101.17695</v>
      </c>
      <c r="F722" s="221">
        <f>费率表!$C$4</f>
        <v>0.048</v>
      </c>
      <c r="G722" s="216">
        <f t="shared" si="57"/>
        <v>4.8564936</v>
      </c>
    </row>
    <row r="723" customHeight="1" spans="1:7">
      <c r="A723" s="204" t="s">
        <v>10</v>
      </c>
      <c r="B723" s="215" t="s">
        <v>770</v>
      </c>
      <c r="C723" s="215"/>
      <c r="D723" s="54"/>
      <c r="E723" s="214">
        <f>G715</f>
        <v>106.0334436</v>
      </c>
      <c r="F723" s="222">
        <f>费率表!$C$5</f>
        <v>0.045</v>
      </c>
      <c r="G723" s="216">
        <f t="shared" si="57"/>
        <v>4.771504962</v>
      </c>
    </row>
    <row r="724" customHeight="1" spans="1:7">
      <c r="A724" s="204" t="s">
        <v>12</v>
      </c>
      <c r="B724" s="215" t="s">
        <v>771</v>
      </c>
      <c r="C724" s="215"/>
      <c r="D724" s="54"/>
      <c r="E724" s="214">
        <f>G715+G723</f>
        <v>110.804948562</v>
      </c>
      <c r="F724" s="222">
        <f>费率表!$C$6</f>
        <v>0.07</v>
      </c>
      <c r="G724" s="216">
        <f t="shared" si="57"/>
        <v>7.75634639934</v>
      </c>
    </row>
    <row r="725" customHeight="1" spans="1:7">
      <c r="A725" s="204" t="s">
        <v>906</v>
      </c>
      <c r="B725" s="215" t="s">
        <v>772</v>
      </c>
      <c r="C725" s="215"/>
      <c r="D725" s="54"/>
      <c r="E725" s="214">
        <f>G715+G723+G724</f>
        <v>118.56129496134</v>
      </c>
      <c r="F725" s="222">
        <f>费率表!$C$7</f>
        <v>0.09</v>
      </c>
      <c r="G725" s="216">
        <f t="shared" si="57"/>
        <v>10.6705165465206</v>
      </c>
    </row>
    <row r="726" customHeight="1" spans="1:7">
      <c r="A726" s="204"/>
      <c r="B726" s="215" t="s">
        <v>907</v>
      </c>
      <c r="C726" s="215"/>
      <c r="D726" s="54"/>
      <c r="E726" s="214">
        <f>G715+G723+G724+G725</f>
        <v>129.231811507861</v>
      </c>
      <c r="F726" s="222">
        <f>费率表!$B$19</f>
        <v>0.03</v>
      </c>
      <c r="G726" s="216">
        <f t="shared" si="57"/>
        <v>3.87695434523582</v>
      </c>
    </row>
    <row r="727" customHeight="1" spans="1:7">
      <c r="A727" s="223"/>
      <c r="B727" s="224" t="s">
        <v>39</v>
      </c>
      <c r="C727" s="224"/>
      <c r="D727" s="224"/>
      <c r="E727" s="225"/>
      <c r="F727" s="224"/>
      <c r="G727" s="226">
        <f>G715+G723+G724+G725+G726</f>
        <v>133.108765853096</v>
      </c>
    </row>
    <row r="732" customHeight="1" spans="1:7">
      <c r="A732" s="237" t="s">
        <v>868</v>
      </c>
      <c r="B732" s="237"/>
      <c r="C732" s="237"/>
      <c r="D732" s="237"/>
      <c r="E732" s="237"/>
      <c r="F732" s="237"/>
      <c r="G732" s="237"/>
    </row>
    <row r="733" customHeight="1" spans="1:7">
      <c r="A733" s="238" t="s">
        <v>869</v>
      </c>
      <c r="B733" s="239"/>
      <c r="C733" s="239"/>
      <c r="D733" s="239" t="s">
        <v>870</v>
      </c>
      <c r="E733" s="240" t="s">
        <v>1380</v>
      </c>
      <c r="F733" s="240"/>
      <c r="G733" s="241"/>
    </row>
    <row r="734" customHeight="1" spans="1:7">
      <c r="A734" s="242" t="s">
        <v>507</v>
      </c>
      <c r="B734" s="243"/>
      <c r="C734" s="244" t="s">
        <v>1381</v>
      </c>
      <c r="D734" s="244"/>
      <c r="E734" s="244"/>
      <c r="F734" s="245" t="s">
        <v>873</v>
      </c>
      <c r="G734" s="246" t="s">
        <v>874</v>
      </c>
    </row>
    <row r="735" customHeight="1" spans="1:7">
      <c r="A735" s="247" t="s">
        <v>1382</v>
      </c>
      <c r="B735" s="248"/>
      <c r="C735" s="249"/>
      <c r="D735" s="249"/>
      <c r="E735" s="249"/>
      <c r="F735" s="249"/>
      <c r="G735" s="250"/>
    </row>
    <row r="736" customHeight="1" spans="1:7">
      <c r="A736" s="242" t="s">
        <v>34</v>
      </c>
      <c r="B736" s="245" t="s">
        <v>761</v>
      </c>
      <c r="C736" s="245"/>
      <c r="D736" s="245" t="s">
        <v>60</v>
      </c>
      <c r="E736" s="251" t="s">
        <v>877</v>
      </c>
      <c r="F736" s="245" t="s">
        <v>878</v>
      </c>
      <c r="G736" s="246" t="s">
        <v>879</v>
      </c>
    </row>
    <row r="737" customHeight="1" spans="1:7">
      <c r="A737" s="242" t="s">
        <v>8</v>
      </c>
      <c r="B737" s="252" t="s">
        <v>880</v>
      </c>
      <c r="C737" s="252"/>
      <c r="D737" s="245"/>
      <c r="E737" s="251"/>
      <c r="F737" s="251"/>
      <c r="G737" s="253">
        <f>G738+G747</f>
        <v>2317.12928485824</v>
      </c>
    </row>
    <row r="738" customHeight="1" spans="1:7">
      <c r="A738" s="242" t="s">
        <v>881</v>
      </c>
      <c r="B738" s="252" t="s">
        <v>882</v>
      </c>
      <c r="C738" s="252"/>
      <c r="D738" s="245"/>
      <c r="E738" s="251"/>
      <c r="F738" s="251"/>
      <c r="G738" s="253">
        <f>G739+G742+G744</f>
        <v>2211.00122600977</v>
      </c>
    </row>
    <row r="739" customHeight="1" spans="1:7">
      <c r="A739" s="242" t="s">
        <v>17</v>
      </c>
      <c r="B739" s="252" t="s">
        <v>510</v>
      </c>
      <c r="C739" s="252"/>
      <c r="D739" s="245"/>
      <c r="E739" s="251"/>
      <c r="F739" s="251"/>
      <c r="G739" s="253">
        <f>SUM(G740:G741)</f>
        <v>535.977</v>
      </c>
    </row>
    <row r="740" customHeight="1" spans="1:7">
      <c r="A740" s="242"/>
      <c r="B740" s="252" t="s">
        <v>704</v>
      </c>
      <c r="C740" s="252"/>
      <c r="D740" s="245" t="s">
        <v>705</v>
      </c>
      <c r="E740" s="251">
        <v>2.7</v>
      </c>
      <c r="F740" s="251">
        <f>主要材料预算!$D$19</f>
        <v>8.1</v>
      </c>
      <c r="G740" s="253">
        <f t="shared" ref="G740:G749" si="58">E740*F740</f>
        <v>21.87</v>
      </c>
    </row>
    <row r="741" customHeight="1" spans="1:7">
      <c r="A741" s="242"/>
      <c r="B741" s="252" t="s">
        <v>706</v>
      </c>
      <c r="C741" s="252"/>
      <c r="D741" s="245" t="s">
        <v>705</v>
      </c>
      <c r="E741" s="254">
        <v>89.1</v>
      </c>
      <c r="F741" s="251">
        <f>主要材料预算!$D$20</f>
        <v>5.77</v>
      </c>
      <c r="G741" s="253">
        <f t="shared" si="58"/>
        <v>514.107</v>
      </c>
    </row>
    <row r="742" customHeight="1" spans="1:7">
      <c r="A742" s="242" t="s">
        <v>19</v>
      </c>
      <c r="B742" s="255" t="s">
        <v>511</v>
      </c>
      <c r="C742" s="256"/>
      <c r="D742" s="245"/>
      <c r="E742" s="251"/>
      <c r="F742" s="251"/>
      <c r="G742" s="253">
        <f>G743</f>
        <v>105.285772667132</v>
      </c>
    </row>
    <row r="743" customHeight="1" spans="1:7">
      <c r="A743" s="242"/>
      <c r="B743" s="252" t="s">
        <v>1008</v>
      </c>
      <c r="C743" s="252"/>
      <c r="D743" s="245" t="s">
        <v>894</v>
      </c>
      <c r="E743" s="251">
        <f>G739+G744</f>
        <v>2105.71545334264</v>
      </c>
      <c r="F743" s="257">
        <v>5</v>
      </c>
      <c r="G743" s="253">
        <f>E743*F743/100</f>
        <v>105.285772667132</v>
      </c>
    </row>
    <row r="744" customHeight="1" spans="1:7">
      <c r="A744" s="242" t="s">
        <v>21</v>
      </c>
      <c r="B744" s="252" t="s">
        <v>895</v>
      </c>
      <c r="C744" s="252"/>
      <c r="D744" s="252"/>
      <c r="E744" s="251"/>
      <c r="F744" s="251"/>
      <c r="G744" s="253">
        <f>SUM(G745:G746)</f>
        <v>1569.73845334264</v>
      </c>
    </row>
    <row r="745" ht="18" customHeight="1" spans="1:7">
      <c r="A745" s="242"/>
      <c r="B745" s="258" t="s">
        <v>1383</v>
      </c>
      <c r="C745" s="258"/>
      <c r="D745" s="245" t="s">
        <v>896</v>
      </c>
      <c r="E745" s="251">
        <v>11.85</v>
      </c>
      <c r="F745" s="251">
        <f>施工机械台时费!$E$5</f>
        <v>98.885849621061</v>
      </c>
      <c r="G745" s="253">
        <f t="shared" si="58"/>
        <v>1171.79731800957</v>
      </c>
    </row>
    <row r="746" ht="18" customHeight="1" spans="1:7">
      <c r="A746" s="242"/>
      <c r="B746" s="255" t="s">
        <v>1384</v>
      </c>
      <c r="C746" s="256"/>
      <c r="D746" s="245"/>
      <c r="E746" s="251">
        <v>3.56</v>
      </c>
      <c r="F746" s="251">
        <f>施工机械台时费!$E$43</f>
        <v>111.781217790187</v>
      </c>
      <c r="G746" s="253">
        <f t="shared" si="58"/>
        <v>397.941135333067</v>
      </c>
    </row>
    <row r="747" ht="18" customHeight="1" spans="1:7">
      <c r="A747" s="242" t="s">
        <v>905</v>
      </c>
      <c r="B747" s="252" t="s">
        <v>514</v>
      </c>
      <c r="C747" s="252"/>
      <c r="D747" s="245"/>
      <c r="E747" s="259">
        <f>G738</f>
        <v>2211.00122600977</v>
      </c>
      <c r="F747" s="260">
        <f>费率表!$J$4</f>
        <v>0.048</v>
      </c>
      <c r="G747" s="253">
        <f t="shared" si="58"/>
        <v>106.128058848469</v>
      </c>
    </row>
    <row r="748" ht="18" customHeight="1" spans="1:7">
      <c r="A748" s="242" t="s">
        <v>10</v>
      </c>
      <c r="B748" s="252" t="s">
        <v>770</v>
      </c>
      <c r="C748" s="252"/>
      <c r="D748" s="245"/>
      <c r="E748" s="251">
        <f>G737</f>
        <v>2317.12928485824</v>
      </c>
      <c r="F748" s="261">
        <f>费率表!$J$5</f>
        <v>0.075</v>
      </c>
      <c r="G748" s="253">
        <f t="shared" si="58"/>
        <v>173.784696364368</v>
      </c>
    </row>
    <row r="749" ht="18" customHeight="1" spans="1:7">
      <c r="A749" s="242" t="s">
        <v>12</v>
      </c>
      <c r="B749" s="252" t="s">
        <v>771</v>
      </c>
      <c r="C749" s="252"/>
      <c r="D749" s="245"/>
      <c r="E749" s="251">
        <f>G737+G748</f>
        <v>2490.91398122261</v>
      </c>
      <c r="F749" s="261">
        <f>费率表!$J$6</f>
        <v>0.07</v>
      </c>
      <c r="G749" s="253">
        <f t="shared" si="58"/>
        <v>174.363978685583</v>
      </c>
    </row>
    <row r="750" ht="18" customHeight="1" spans="1:7">
      <c r="A750" s="242" t="s">
        <v>15</v>
      </c>
      <c r="B750" s="255" t="s">
        <v>517</v>
      </c>
      <c r="C750" s="256"/>
      <c r="D750" s="245"/>
      <c r="E750" s="251"/>
      <c r="F750" s="262"/>
      <c r="G750" s="253">
        <f>G751</f>
        <v>921.917946014405</v>
      </c>
    </row>
    <row r="751" ht="18" customHeight="1" spans="1:7">
      <c r="A751" s="242" t="s">
        <v>17</v>
      </c>
      <c r="B751" s="255" t="s">
        <v>694</v>
      </c>
      <c r="C751" s="256"/>
      <c r="D751" s="245"/>
      <c r="E751" s="251">
        <f>E746*施工机械台时费!$L$43+E745*施工机械台时费!$L$5</f>
        <v>152.091</v>
      </c>
      <c r="F751" s="251">
        <f>主要材料预算!$N$13</f>
        <v>6.0616206482593</v>
      </c>
      <c r="G751" s="253">
        <f t="shared" ref="G751:G753" si="59">E751*F751</f>
        <v>921.917946014405</v>
      </c>
    </row>
    <row r="752" ht="18" customHeight="1" spans="1:7">
      <c r="A752" s="242" t="s">
        <v>906</v>
      </c>
      <c r="B752" s="252" t="s">
        <v>772</v>
      </c>
      <c r="C752" s="252"/>
      <c r="D752" s="245"/>
      <c r="E752" s="251">
        <f>G737+G748+G749+G750</f>
        <v>3587.1959059226</v>
      </c>
      <c r="F752" s="261">
        <f>费率表!$J$7</f>
        <v>0.09</v>
      </c>
      <c r="G752" s="253">
        <f t="shared" si="59"/>
        <v>322.847631533034</v>
      </c>
    </row>
    <row r="753" ht="18" customHeight="1" spans="1:7">
      <c r="A753" s="242"/>
      <c r="B753" s="252" t="s">
        <v>907</v>
      </c>
      <c r="C753" s="252"/>
      <c r="D753" s="245"/>
      <c r="E753" s="251">
        <f>G737+G748+G749+G750+G752</f>
        <v>3910.04353745563</v>
      </c>
      <c r="F753" s="261">
        <f>费率表!$B$19</f>
        <v>0.03</v>
      </c>
      <c r="G753" s="253">
        <f t="shared" si="59"/>
        <v>117.301306123669</v>
      </c>
    </row>
    <row r="754" ht="18" customHeight="1" spans="1:7">
      <c r="A754" s="263"/>
      <c r="B754" s="264" t="s">
        <v>39</v>
      </c>
      <c r="C754" s="264"/>
      <c r="D754" s="264"/>
      <c r="E754" s="265"/>
      <c r="F754" s="264"/>
      <c r="G754" s="266">
        <f>G737+G748+G749+G750+G752+G753</f>
        <v>4027.3448435793</v>
      </c>
    </row>
    <row r="755" ht="18" customHeight="1"/>
    <row r="756" ht="18" customHeight="1" spans="1:7">
      <c r="A756" s="237" t="s">
        <v>868</v>
      </c>
      <c r="B756" s="237"/>
      <c r="C756" s="237"/>
      <c r="D756" s="237"/>
      <c r="E756" s="237"/>
      <c r="F756" s="237"/>
      <c r="G756" s="237"/>
    </row>
    <row r="757" ht="18" customHeight="1" spans="1:7">
      <c r="A757" s="238" t="s">
        <v>869</v>
      </c>
      <c r="B757" s="239"/>
      <c r="C757" s="239"/>
      <c r="D757" s="239" t="s">
        <v>870</v>
      </c>
      <c r="E757" s="240" t="s">
        <v>1385</v>
      </c>
      <c r="F757" s="240"/>
      <c r="G757" s="241"/>
    </row>
    <row r="758" ht="18" customHeight="1" spans="1:7">
      <c r="A758" s="242" t="s">
        <v>507</v>
      </c>
      <c r="B758" s="243"/>
      <c r="C758" s="244" t="s">
        <v>1386</v>
      </c>
      <c r="D758" s="244"/>
      <c r="E758" s="244"/>
      <c r="F758" s="245" t="s">
        <v>873</v>
      </c>
      <c r="G758" s="246" t="s">
        <v>874</v>
      </c>
    </row>
    <row r="759" ht="18" customHeight="1" spans="1:7">
      <c r="A759" s="247" t="s">
        <v>1387</v>
      </c>
      <c r="B759" s="248"/>
      <c r="C759" s="249"/>
      <c r="D759" s="249"/>
      <c r="E759" s="249"/>
      <c r="F759" s="249"/>
      <c r="G759" s="250"/>
    </row>
    <row r="760" ht="18" customHeight="1" spans="1:7">
      <c r="A760" s="242" t="s">
        <v>34</v>
      </c>
      <c r="B760" s="245" t="s">
        <v>761</v>
      </c>
      <c r="C760" s="245"/>
      <c r="D760" s="245" t="s">
        <v>60</v>
      </c>
      <c r="E760" s="251" t="s">
        <v>877</v>
      </c>
      <c r="F760" s="245" t="s">
        <v>878</v>
      </c>
      <c r="G760" s="246" t="s">
        <v>879</v>
      </c>
    </row>
    <row r="761" ht="18" customHeight="1" spans="1:7">
      <c r="A761" s="242" t="s">
        <v>8</v>
      </c>
      <c r="B761" s="252" t="s">
        <v>880</v>
      </c>
      <c r="C761" s="252"/>
      <c r="D761" s="245"/>
      <c r="E761" s="251"/>
      <c r="F761" s="251"/>
      <c r="G761" s="253">
        <f>G762+G771</f>
        <v>2997.95013228415</v>
      </c>
    </row>
    <row r="762" ht="18" customHeight="1" spans="1:7">
      <c r="A762" s="242" t="s">
        <v>881</v>
      </c>
      <c r="B762" s="252" t="s">
        <v>882</v>
      </c>
      <c r="C762" s="252"/>
      <c r="D762" s="245"/>
      <c r="E762" s="251"/>
      <c r="F762" s="251"/>
      <c r="G762" s="253">
        <f>G763+G766+G768</f>
        <v>2860.63943920243</v>
      </c>
    </row>
    <row r="763" ht="18" customHeight="1" spans="1:7">
      <c r="A763" s="242" t="s">
        <v>17</v>
      </c>
      <c r="B763" s="252" t="s">
        <v>510</v>
      </c>
      <c r="C763" s="252"/>
      <c r="D763" s="245"/>
      <c r="E763" s="251"/>
      <c r="F763" s="251"/>
      <c r="G763" s="253">
        <f>SUM(G764:G765)</f>
        <v>706.558</v>
      </c>
    </row>
    <row r="764" ht="18" customHeight="1" spans="1:7">
      <c r="A764" s="242"/>
      <c r="B764" s="252" t="s">
        <v>704</v>
      </c>
      <c r="C764" s="252"/>
      <c r="D764" s="245" t="s">
        <v>705</v>
      </c>
      <c r="E764" s="251">
        <v>3.6</v>
      </c>
      <c r="F764" s="251">
        <f>主要材料预算!$D$19</f>
        <v>8.1</v>
      </c>
      <c r="G764" s="253">
        <f t="shared" ref="G764:G773" si="60">E764*F764</f>
        <v>29.16</v>
      </c>
    </row>
    <row r="765" ht="18" customHeight="1" spans="1:7">
      <c r="A765" s="242"/>
      <c r="B765" s="252" t="s">
        <v>706</v>
      </c>
      <c r="C765" s="252"/>
      <c r="D765" s="245" t="s">
        <v>705</v>
      </c>
      <c r="E765" s="254">
        <v>117.4</v>
      </c>
      <c r="F765" s="251">
        <f>主要材料预算!$D$20</f>
        <v>5.77</v>
      </c>
      <c r="G765" s="253">
        <f t="shared" si="60"/>
        <v>677.398</v>
      </c>
    </row>
    <row r="766" ht="18" customHeight="1" spans="1:7">
      <c r="A766" s="242" t="s">
        <v>19</v>
      </c>
      <c r="B766" s="255" t="s">
        <v>511</v>
      </c>
      <c r="C766" s="256"/>
      <c r="D766" s="245"/>
      <c r="E766" s="251"/>
      <c r="F766" s="251"/>
      <c r="G766" s="253">
        <f>G767</f>
        <v>136.220925676306</v>
      </c>
    </row>
    <row r="767" ht="18" customHeight="1" spans="1:7">
      <c r="A767" s="242"/>
      <c r="B767" s="252" t="s">
        <v>1008</v>
      </c>
      <c r="C767" s="252"/>
      <c r="D767" s="245" t="s">
        <v>894</v>
      </c>
      <c r="E767" s="251">
        <f>G763+G768</f>
        <v>2724.41851352613</v>
      </c>
      <c r="F767" s="257">
        <v>5</v>
      </c>
      <c r="G767" s="253">
        <f>E767*F767/100</f>
        <v>136.220925676306</v>
      </c>
    </row>
    <row r="768" ht="18" customHeight="1" spans="1:7">
      <c r="A768" s="242" t="s">
        <v>21</v>
      </c>
      <c r="B768" s="252" t="s">
        <v>895</v>
      </c>
      <c r="C768" s="252"/>
      <c r="D768" s="252"/>
      <c r="E768" s="251"/>
      <c r="F768" s="251"/>
      <c r="G768" s="253">
        <f>SUM(G769:G770)</f>
        <v>2017.86051352613</v>
      </c>
    </row>
    <row r="769" ht="18" customHeight="1" spans="1:7">
      <c r="A769" s="242"/>
      <c r="B769" s="258" t="s">
        <v>1383</v>
      </c>
      <c r="C769" s="258"/>
      <c r="D769" s="245" t="s">
        <v>896</v>
      </c>
      <c r="E769" s="251">
        <v>15.24</v>
      </c>
      <c r="F769" s="251">
        <f>施工机械台时费!$E$5</f>
        <v>98.885849621061</v>
      </c>
      <c r="G769" s="253">
        <f t="shared" si="60"/>
        <v>1507.02034822497</v>
      </c>
    </row>
    <row r="770" ht="18" customHeight="1" spans="1:7">
      <c r="A770" s="242"/>
      <c r="B770" s="255" t="s">
        <v>1384</v>
      </c>
      <c r="C770" s="256"/>
      <c r="D770" s="245"/>
      <c r="E770" s="251">
        <v>4.57</v>
      </c>
      <c r="F770" s="251">
        <f>施工机械台时费!$E$43</f>
        <v>111.781217790187</v>
      </c>
      <c r="G770" s="253">
        <f t="shared" si="60"/>
        <v>510.840165301157</v>
      </c>
    </row>
    <row r="771" ht="18" customHeight="1" spans="1:7">
      <c r="A771" s="242" t="s">
        <v>905</v>
      </c>
      <c r="B771" s="252" t="s">
        <v>514</v>
      </c>
      <c r="C771" s="252"/>
      <c r="D771" s="245"/>
      <c r="E771" s="259">
        <f>G762</f>
        <v>2860.63943920243</v>
      </c>
      <c r="F771" s="260">
        <f>费率表!$J$4</f>
        <v>0.048</v>
      </c>
      <c r="G771" s="253">
        <f t="shared" si="60"/>
        <v>137.310693081717</v>
      </c>
    </row>
    <row r="772" ht="18" customHeight="1" spans="1:7">
      <c r="A772" s="242" t="s">
        <v>10</v>
      </c>
      <c r="B772" s="252" t="s">
        <v>770</v>
      </c>
      <c r="C772" s="252"/>
      <c r="D772" s="245"/>
      <c r="E772" s="251">
        <f>G761</f>
        <v>2997.95013228415</v>
      </c>
      <c r="F772" s="261">
        <f>费率表!$J$5</f>
        <v>0.075</v>
      </c>
      <c r="G772" s="253">
        <f t="shared" si="60"/>
        <v>224.846259921311</v>
      </c>
    </row>
    <row r="773" ht="18" customHeight="1" spans="1:7">
      <c r="A773" s="242" t="s">
        <v>12</v>
      </c>
      <c r="B773" s="252" t="s">
        <v>771</v>
      </c>
      <c r="C773" s="252"/>
      <c r="D773" s="245"/>
      <c r="E773" s="251">
        <f>G761+G772</f>
        <v>3222.79639220546</v>
      </c>
      <c r="F773" s="261">
        <f>费率表!$J$6</f>
        <v>0.07</v>
      </c>
      <c r="G773" s="253">
        <f t="shared" si="60"/>
        <v>225.595747454382</v>
      </c>
    </row>
    <row r="774" ht="18" customHeight="1" spans="1:7">
      <c r="A774" s="242" t="s">
        <v>15</v>
      </c>
      <c r="B774" s="255" t="s">
        <v>517</v>
      </c>
      <c r="C774" s="256"/>
      <c r="D774" s="245"/>
      <c r="E774" s="251"/>
      <c r="F774" s="262"/>
      <c r="G774" s="253">
        <f>G775</f>
        <v>1185.08926807923</v>
      </c>
    </row>
    <row r="775" ht="18" customHeight="1" spans="1:7">
      <c r="A775" s="242" t="s">
        <v>17</v>
      </c>
      <c r="B775" s="255" t="s">
        <v>694</v>
      </c>
      <c r="C775" s="256"/>
      <c r="D775" s="245"/>
      <c r="E775" s="251">
        <f>E770*施工机械台时费!$L$43+E769*施工机械台时费!$L$5</f>
        <v>195.507</v>
      </c>
      <c r="F775" s="251">
        <f>主要材料预算!$N$13</f>
        <v>6.0616206482593</v>
      </c>
      <c r="G775" s="253">
        <f t="shared" ref="G775:G777" si="61">E775*F775</f>
        <v>1185.08926807923</v>
      </c>
    </row>
    <row r="776" ht="18" customHeight="1" spans="1:7">
      <c r="A776" s="242" t="s">
        <v>906</v>
      </c>
      <c r="B776" s="252" t="s">
        <v>772</v>
      </c>
      <c r="C776" s="252"/>
      <c r="D776" s="245"/>
      <c r="E776" s="251">
        <f>G761+G772+G773+G774</f>
        <v>4633.48140773907</v>
      </c>
      <c r="F776" s="261">
        <f>费率表!$J$7</f>
        <v>0.09</v>
      </c>
      <c r="G776" s="253">
        <f t="shared" si="61"/>
        <v>417.013326696517</v>
      </c>
    </row>
    <row r="777" ht="18" customHeight="1" spans="1:7">
      <c r="A777" s="242"/>
      <c r="B777" s="252" t="s">
        <v>907</v>
      </c>
      <c r="C777" s="252"/>
      <c r="D777" s="245"/>
      <c r="E777" s="251">
        <f>G761+G772+G773+G774+G776</f>
        <v>5050.49473443559</v>
      </c>
      <c r="F777" s="261">
        <f>费率表!$B$19</f>
        <v>0.03</v>
      </c>
      <c r="G777" s="253">
        <f t="shared" si="61"/>
        <v>151.514842033068</v>
      </c>
    </row>
    <row r="778" ht="18" customHeight="1" spans="1:7">
      <c r="A778" s="263"/>
      <c r="B778" s="264" t="s">
        <v>39</v>
      </c>
      <c r="C778" s="264"/>
      <c r="D778" s="264"/>
      <c r="E778" s="265"/>
      <c r="F778" s="264"/>
      <c r="G778" s="266">
        <f>G761+G772+G773+G774+G776+G777</f>
        <v>5202.00957646866</v>
      </c>
    </row>
    <row r="779" customHeight="1" spans="1:7">
      <c r="A779" s="91"/>
      <c r="B779" s="91"/>
      <c r="C779" s="91"/>
      <c r="D779" s="91"/>
      <c r="E779" s="91"/>
      <c r="F779" s="91"/>
      <c r="G779" s="91"/>
    </row>
    <row r="780" customHeight="1" spans="1:7">
      <c r="A780" s="164" t="s">
        <v>868</v>
      </c>
      <c r="B780" s="164"/>
      <c r="C780" s="164"/>
      <c r="D780" s="164"/>
      <c r="E780" s="164"/>
      <c r="F780" s="164"/>
      <c r="G780" s="164"/>
    </row>
    <row r="781" customHeight="1" spans="1:7">
      <c r="A781" s="165" t="s">
        <v>869</v>
      </c>
      <c r="B781" s="129"/>
      <c r="C781" s="129"/>
      <c r="D781" s="129" t="s">
        <v>870</v>
      </c>
      <c r="E781" s="130" t="s">
        <v>1388</v>
      </c>
      <c r="F781" s="131"/>
      <c r="G781" s="132"/>
    </row>
    <row r="782" customHeight="1" spans="1:7">
      <c r="A782" s="144" t="s">
        <v>507</v>
      </c>
      <c r="B782" s="166"/>
      <c r="C782" s="167" t="s">
        <v>1389</v>
      </c>
      <c r="D782" s="167"/>
      <c r="E782" s="167"/>
      <c r="F782" s="61" t="s">
        <v>873</v>
      </c>
      <c r="G782" s="138" t="s">
        <v>70</v>
      </c>
    </row>
    <row r="783" customHeight="1" spans="1:7">
      <c r="A783" s="168" t="s">
        <v>875</v>
      </c>
      <c r="B783" s="167"/>
      <c r="C783" s="167"/>
      <c r="D783" s="167"/>
      <c r="E783" s="167"/>
      <c r="F783" s="167"/>
      <c r="G783" s="169"/>
    </row>
    <row r="784" customHeight="1" spans="1:7">
      <c r="A784" s="141" t="s">
        <v>1390</v>
      </c>
      <c r="B784" s="142"/>
      <c r="C784" s="170"/>
      <c r="D784" s="170"/>
      <c r="E784" s="170"/>
      <c r="F784" s="170"/>
      <c r="G784" s="171"/>
    </row>
    <row r="785" customHeight="1" spans="1:7">
      <c r="A785" s="144" t="s">
        <v>34</v>
      </c>
      <c r="B785" s="61" t="s">
        <v>761</v>
      </c>
      <c r="C785" s="61"/>
      <c r="D785" s="61" t="s">
        <v>60</v>
      </c>
      <c r="E785" s="147" t="s">
        <v>877</v>
      </c>
      <c r="F785" s="61" t="s">
        <v>878</v>
      </c>
      <c r="G785" s="138" t="s">
        <v>879</v>
      </c>
    </row>
    <row r="786" customHeight="1" spans="1:7">
      <c r="A786" s="144" t="s">
        <v>8</v>
      </c>
      <c r="B786" s="153" t="s">
        <v>880</v>
      </c>
      <c r="C786" s="153"/>
      <c r="D786" s="61"/>
      <c r="E786" s="147"/>
      <c r="F786" s="147"/>
      <c r="G786" s="150">
        <f>G787+G794</f>
        <v>184.94056</v>
      </c>
    </row>
    <row r="787" customHeight="1" spans="1:7">
      <c r="A787" s="144" t="s">
        <v>881</v>
      </c>
      <c r="B787" s="153" t="s">
        <v>882</v>
      </c>
      <c r="C787" s="153"/>
      <c r="D787" s="61"/>
      <c r="E787" s="147"/>
      <c r="F787" s="147"/>
      <c r="G787" s="150">
        <f>G788+G791</f>
        <v>176.47</v>
      </c>
    </row>
    <row r="788" customHeight="1" spans="1:7">
      <c r="A788" s="144" t="s">
        <v>17</v>
      </c>
      <c r="B788" s="153" t="s">
        <v>510</v>
      </c>
      <c r="C788" s="153"/>
      <c r="D788" s="61"/>
      <c r="E788" s="147"/>
      <c r="F788" s="147"/>
      <c r="G788" s="150">
        <f>SUM(G789:G790)</f>
        <v>90.566</v>
      </c>
    </row>
    <row r="789" customHeight="1" spans="1:7">
      <c r="A789" s="144"/>
      <c r="B789" s="153" t="s">
        <v>704</v>
      </c>
      <c r="C789" s="153"/>
      <c r="D789" s="61" t="s">
        <v>705</v>
      </c>
      <c r="E789" s="147">
        <v>4.2</v>
      </c>
      <c r="F789" s="147">
        <f>主要材料预算!$D$19</f>
        <v>8.1</v>
      </c>
      <c r="G789" s="150">
        <f t="shared" ref="G789:G796" si="62">E789*F789</f>
        <v>34.02</v>
      </c>
    </row>
    <row r="790" customHeight="1" spans="1:7">
      <c r="A790" s="144"/>
      <c r="B790" s="153" t="s">
        <v>706</v>
      </c>
      <c r="C790" s="153"/>
      <c r="D790" s="61" t="s">
        <v>705</v>
      </c>
      <c r="E790" s="147">
        <v>9.8</v>
      </c>
      <c r="F790" s="147">
        <f>主要材料预算!$D$20</f>
        <v>5.77</v>
      </c>
      <c r="G790" s="150">
        <f t="shared" si="62"/>
        <v>56.546</v>
      </c>
    </row>
    <row r="791" customHeight="1" spans="1:7">
      <c r="A791" s="144" t="s">
        <v>19</v>
      </c>
      <c r="B791" s="148" t="s">
        <v>511</v>
      </c>
      <c r="C791" s="149"/>
      <c r="D791" s="61"/>
      <c r="E791" s="147"/>
      <c r="F791" s="147"/>
      <c r="G791" s="150">
        <f>SUM(G792:G793)</f>
        <v>85.904</v>
      </c>
    </row>
    <row r="792" customHeight="1" spans="1:7">
      <c r="A792" s="144"/>
      <c r="B792" s="148" t="s">
        <v>688</v>
      </c>
      <c r="C792" s="149"/>
      <c r="D792" s="61" t="s">
        <v>70</v>
      </c>
      <c r="E792" s="147">
        <v>1.18</v>
      </c>
      <c r="F792" s="147">
        <f>主要材料预算!$M$10</f>
        <v>70</v>
      </c>
      <c r="G792" s="150">
        <f t="shared" si="62"/>
        <v>82.6</v>
      </c>
    </row>
    <row r="793" customHeight="1" spans="1:7">
      <c r="A793" s="144"/>
      <c r="B793" s="148" t="s">
        <v>893</v>
      </c>
      <c r="C793" s="149"/>
      <c r="D793" s="61" t="s">
        <v>894</v>
      </c>
      <c r="E793" s="147">
        <f>G792</f>
        <v>82.6</v>
      </c>
      <c r="F793" s="156">
        <v>0.04</v>
      </c>
      <c r="G793" s="150">
        <f t="shared" si="62"/>
        <v>3.304</v>
      </c>
    </row>
    <row r="794" customHeight="1" spans="1:7">
      <c r="A794" s="144" t="s">
        <v>905</v>
      </c>
      <c r="B794" s="153" t="s">
        <v>514</v>
      </c>
      <c r="C794" s="153"/>
      <c r="D794" s="61"/>
      <c r="E794" s="154">
        <f>G787</f>
        <v>176.47</v>
      </c>
      <c r="F794" s="155">
        <f>费率表!$F$4</f>
        <v>0.048</v>
      </c>
      <c r="G794" s="150">
        <f t="shared" si="62"/>
        <v>8.47056</v>
      </c>
    </row>
    <row r="795" customHeight="1" spans="1:7">
      <c r="A795" s="144" t="s">
        <v>10</v>
      </c>
      <c r="B795" s="153" t="s">
        <v>770</v>
      </c>
      <c r="C795" s="153"/>
      <c r="D795" s="61"/>
      <c r="E795" s="147">
        <f>G786</f>
        <v>184.94056</v>
      </c>
      <c r="F795" s="156">
        <f>费率表!$E$5</f>
        <v>0.085</v>
      </c>
      <c r="G795" s="150">
        <f t="shared" si="62"/>
        <v>15.7199476</v>
      </c>
    </row>
    <row r="796" customHeight="1" spans="1:7">
      <c r="A796" s="144" t="s">
        <v>12</v>
      </c>
      <c r="B796" s="153" t="s">
        <v>771</v>
      </c>
      <c r="C796" s="153"/>
      <c r="D796" s="61"/>
      <c r="E796" s="147">
        <f>G786+G795</f>
        <v>200.6605076</v>
      </c>
      <c r="F796" s="156">
        <f>费率表!$E$6</f>
        <v>0.07</v>
      </c>
      <c r="G796" s="150">
        <f t="shared" si="62"/>
        <v>14.046235532</v>
      </c>
    </row>
    <row r="797" customHeight="1" spans="1:7">
      <c r="A797" s="144" t="s">
        <v>15</v>
      </c>
      <c r="B797" s="148" t="s">
        <v>517</v>
      </c>
      <c r="C797" s="149"/>
      <c r="D797" s="61"/>
      <c r="E797" s="147"/>
      <c r="F797" s="157"/>
      <c r="G797" s="150">
        <f>SUM(G798:G798)</f>
        <v>56.7735996</v>
      </c>
    </row>
    <row r="798" customHeight="1" spans="1:7">
      <c r="A798" s="144"/>
      <c r="B798" s="148" t="s">
        <v>688</v>
      </c>
      <c r="C798" s="149"/>
      <c r="D798" s="61" t="s">
        <v>70</v>
      </c>
      <c r="E798" s="147">
        <f>E792</f>
        <v>1.18</v>
      </c>
      <c r="F798" s="147">
        <f>主要材料预算!$N$10</f>
        <v>48.11322</v>
      </c>
      <c r="G798" s="150">
        <f t="shared" ref="G798:G800" si="63">E798*F798</f>
        <v>56.7735996</v>
      </c>
    </row>
    <row r="799" customHeight="1" spans="1:7">
      <c r="A799" s="144" t="s">
        <v>906</v>
      </c>
      <c r="B799" s="153" t="s">
        <v>772</v>
      </c>
      <c r="C799" s="153"/>
      <c r="D799" s="61"/>
      <c r="E799" s="147">
        <f>G786+G795+G796+G797</f>
        <v>271.480342732</v>
      </c>
      <c r="F799" s="156">
        <f>费率表!$E$7</f>
        <v>0.09</v>
      </c>
      <c r="G799" s="150">
        <f t="shared" si="63"/>
        <v>24.43323084588</v>
      </c>
    </row>
    <row r="800" customHeight="1" spans="1:7">
      <c r="A800" s="144"/>
      <c r="B800" s="153" t="s">
        <v>907</v>
      </c>
      <c r="C800" s="153"/>
      <c r="D800" s="61"/>
      <c r="E800" s="147">
        <f>G786+G795+G796+G797+G799</f>
        <v>295.91357357788</v>
      </c>
      <c r="F800" s="156">
        <f>费率表!$B$19</f>
        <v>0.03</v>
      </c>
      <c r="G800" s="150">
        <f t="shared" si="63"/>
        <v>8.8774072073364</v>
      </c>
    </row>
    <row r="801" customHeight="1" spans="1:7">
      <c r="A801" s="158"/>
      <c r="B801" s="161" t="s">
        <v>39</v>
      </c>
      <c r="C801" s="161"/>
      <c r="D801" s="161"/>
      <c r="E801" s="162"/>
      <c r="F801" s="161"/>
      <c r="G801" s="163">
        <f>G786+G795+G796+G797+G799+G800</f>
        <v>304.790980785216</v>
      </c>
    </row>
    <row r="802" customHeight="1" spans="1:7">
      <c r="A802" s="91"/>
      <c r="B802" s="91"/>
      <c r="C802" s="91"/>
      <c r="D802" s="91"/>
      <c r="E802" s="91"/>
      <c r="F802" s="91"/>
      <c r="G802" s="91"/>
    </row>
    <row r="803" customHeight="1" spans="1:7">
      <c r="A803" s="164" t="s">
        <v>868</v>
      </c>
      <c r="B803" s="164"/>
      <c r="C803" s="164"/>
      <c r="D803" s="164"/>
      <c r="E803" s="164"/>
      <c r="F803" s="164"/>
      <c r="G803" s="164"/>
    </row>
    <row r="804" customHeight="1" spans="1:7">
      <c r="A804" s="165" t="s">
        <v>869</v>
      </c>
      <c r="B804" s="129"/>
      <c r="C804" s="129"/>
      <c r="D804" s="129" t="s">
        <v>870</v>
      </c>
      <c r="E804" s="130" t="s">
        <v>1391</v>
      </c>
      <c r="F804" s="131"/>
      <c r="G804" s="132"/>
    </row>
    <row r="805" customHeight="1" spans="1:7">
      <c r="A805" s="144" t="s">
        <v>507</v>
      </c>
      <c r="B805" s="166"/>
      <c r="C805" s="167" t="s">
        <v>1389</v>
      </c>
      <c r="D805" s="167"/>
      <c r="E805" s="167"/>
      <c r="F805" s="61" t="s">
        <v>873</v>
      </c>
      <c r="G805" s="138" t="s">
        <v>70</v>
      </c>
    </row>
    <row r="806" customHeight="1" spans="1:7">
      <c r="A806" s="168" t="s">
        <v>875</v>
      </c>
      <c r="B806" s="167"/>
      <c r="C806" s="167"/>
      <c r="D806" s="167"/>
      <c r="E806" s="167"/>
      <c r="F806" s="167"/>
      <c r="G806" s="169"/>
    </row>
    <row r="807" customHeight="1" spans="1:7">
      <c r="A807" s="141" t="s">
        <v>1390</v>
      </c>
      <c r="B807" s="142"/>
      <c r="C807" s="170"/>
      <c r="D807" s="170"/>
      <c r="E807" s="170"/>
      <c r="F807" s="170"/>
      <c r="G807" s="171"/>
    </row>
    <row r="808" customHeight="1" spans="1:7">
      <c r="A808" s="144" t="s">
        <v>34</v>
      </c>
      <c r="B808" s="61" t="s">
        <v>761</v>
      </c>
      <c r="C808" s="61"/>
      <c r="D808" s="61" t="s">
        <v>60</v>
      </c>
      <c r="E808" s="147" t="s">
        <v>877</v>
      </c>
      <c r="F808" s="61" t="s">
        <v>878</v>
      </c>
      <c r="G808" s="138" t="s">
        <v>879</v>
      </c>
    </row>
    <row r="809" customHeight="1" spans="1:7">
      <c r="A809" s="144" t="s">
        <v>8</v>
      </c>
      <c r="B809" s="153" t="s">
        <v>880</v>
      </c>
      <c r="C809" s="153"/>
      <c r="D809" s="61"/>
      <c r="E809" s="147"/>
      <c r="F809" s="147"/>
      <c r="G809" s="150">
        <f>G810+G817</f>
        <v>184.94056</v>
      </c>
    </row>
    <row r="810" customHeight="1" spans="1:7">
      <c r="A810" s="144" t="s">
        <v>881</v>
      </c>
      <c r="B810" s="153" t="s">
        <v>882</v>
      </c>
      <c r="C810" s="153"/>
      <c r="D810" s="61"/>
      <c r="E810" s="147"/>
      <c r="F810" s="147"/>
      <c r="G810" s="150">
        <f>G811+G814</f>
        <v>176.47</v>
      </c>
    </row>
    <row r="811" customHeight="1" spans="1:7">
      <c r="A811" s="144" t="s">
        <v>17</v>
      </c>
      <c r="B811" s="153" t="s">
        <v>510</v>
      </c>
      <c r="C811" s="153"/>
      <c r="D811" s="61"/>
      <c r="E811" s="147"/>
      <c r="F811" s="147"/>
      <c r="G811" s="150">
        <f>SUM(G812:G813)</f>
        <v>90.566</v>
      </c>
    </row>
    <row r="812" customHeight="1" spans="1:7">
      <c r="A812" s="144"/>
      <c r="B812" s="153" t="s">
        <v>704</v>
      </c>
      <c r="C812" s="153"/>
      <c r="D812" s="61" t="s">
        <v>705</v>
      </c>
      <c r="E812" s="147">
        <v>4.2</v>
      </c>
      <c r="F812" s="147">
        <f>主要材料预算!$D$19</f>
        <v>8.1</v>
      </c>
      <c r="G812" s="150">
        <f t="shared" ref="G812:G819" si="64">E812*F812</f>
        <v>34.02</v>
      </c>
    </row>
    <row r="813" customHeight="1" spans="1:7">
      <c r="A813" s="144"/>
      <c r="B813" s="153" t="s">
        <v>706</v>
      </c>
      <c r="C813" s="153"/>
      <c r="D813" s="61" t="s">
        <v>705</v>
      </c>
      <c r="E813" s="147">
        <v>9.8</v>
      </c>
      <c r="F813" s="147">
        <f>主要材料预算!$D$20</f>
        <v>5.77</v>
      </c>
      <c r="G813" s="150">
        <f t="shared" si="64"/>
        <v>56.546</v>
      </c>
    </row>
    <row r="814" customHeight="1" spans="1:7">
      <c r="A814" s="144" t="s">
        <v>19</v>
      </c>
      <c r="B814" s="148" t="s">
        <v>511</v>
      </c>
      <c r="C814" s="149"/>
      <c r="D814" s="61"/>
      <c r="E814" s="147"/>
      <c r="F814" s="147"/>
      <c r="G814" s="150">
        <f>SUM(G815:G816)</f>
        <v>85.904</v>
      </c>
    </row>
    <row r="815" customHeight="1" spans="1:7">
      <c r="A815" s="144"/>
      <c r="B815" s="148" t="s">
        <v>692</v>
      </c>
      <c r="C815" s="149"/>
      <c r="D815" s="61" t="s">
        <v>70</v>
      </c>
      <c r="E815" s="147">
        <v>1.18</v>
      </c>
      <c r="F815" s="147">
        <f>主要材料预算!$AD$11</f>
        <v>70</v>
      </c>
      <c r="G815" s="150">
        <f t="shared" si="64"/>
        <v>82.6</v>
      </c>
    </row>
    <row r="816" customHeight="1" spans="1:7">
      <c r="A816" s="144"/>
      <c r="B816" s="148" t="s">
        <v>893</v>
      </c>
      <c r="C816" s="149"/>
      <c r="D816" s="61" t="s">
        <v>894</v>
      </c>
      <c r="E816" s="147">
        <f>G815</f>
        <v>82.6</v>
      </c>
      <c r="F816" s="156">
        <v>0.04</v>
      </c>
      <c r="G816" s="150">
        <f t="shared" si="64"/>
        <v>3.304</v>
      </c>
    </row>
    <row r="817" customHeight="1" spans="1:7">
      <c r="A817" s="144" t="s">
        <v>905</v>
      </c>
      <c r="B817" s="153" t="s">
        <v>514</v>
      </c>
      <c r="C817" s="153"/>
      <c r="D817" s="61"/>
      <c r="E817" s="154">
        <f>G810</f>
        <v>176.47</v>
      </c>
      <c r="F817" s="155">
        <f>费率表!$F$4</f>
        <v>0.048</v>
      </c>
      <c r="G817" s="150">
        <f t="shared" si="64"/>
        <v>8.47056</v>
      </c>
    </row>
    <row r="818" customHeight="1" spans="1:7">
      <c r="A818" s="144" t="s">
        <v>10</v>
      </c>
      <c r="B818" s="153" t="s">
        <v>770</v>
      </c>
      <c r="C818" s="153"/>
      <c r="D818" s="61"/>
      <c r="E818" s="147">
        <f>G809</f>
        <v>184.94056</v>
      </c>
      <c r="F818" s="156">
        <f>费率表!$E$5</f>
        <v>0.085</v>
      </c>
      <c r="G818" s="150">
        <f t="shared" si="64"/>
        <v>15.7199476</v>
      </c>
    </row>
    <row r="819" customHeight="1" spans="1:7">
      <c r="A819" s="144" t="s">
        <v>12</v>
      </c>
      <c r="B819" s="153" t="s">
        <v>771</v>
      </c>
      <c r="C819" s="153"/>
      <c r="D819" s="61"/>
      <c r="E819" s="147">
        <f>G809+G818</f>
        <v>200.6605076</v>
      </c>
      <c r="F819" s="156">
        <f>费率表!$E$6</f>
        <v>0.07</v>
      </c>
      <c r="G819" s="150">
        <f t="shared" si="64"/>
        <v>14.046235532</v>
      </c>
    </row>
    <row r="820" customHeight="1" spans="1:7">
      <c r="A820" s="144" t="s">
        <v>15</v>
      </c>
      <c r="B820" s="148" t="s">
        <v>517</v>
      </c>
      <c r="C820" s="149"/>
      <c r="D820" s="61"/>
      <c r="E820" s="147"/>
      <c r="F820" s="157"/>
      <c r="G820" s="150">
        <f>SUM(G821:G821)</f>
        <v>56.7735996</v>
      </c>
    </row>
    <row r="821" customHeight="1" spans="1:7">
      <c r="A821" s="144"/>
      <c r="B821" s="148" t="s">
        <v>688</v>
      </c>
      <c r="C821" s="149"/>
      <c r="D821" s="61" t="s">
        <v>70</v>
      </c>
      <c r="E821" s="147">
        <f>E815</f>
        <v>1.18</v>
      </c>
      <c r="F821" s="147">
        <f>主要材料预算!$N$10</f>
        <v>48.11322</v>
      </c>
      <c r="G821" s="150">
        <f t="shared" ref="G821:G823" si="65">E821*F821</f>
        <v>56.7735996</v>
      </c>
    </row>
    <row r="822" customHeight="1" spans="1:7">
      <c r="A822" s="144" t="s">
        <v>906</v>
      </c>
      <c r="B822" s="153" t="s">
        <v>772</v>
      </c>
      <c r="C822" s="153"/>
      <c r="D822" s="61"/>
      <c r="E822" s="147">
        <f>G809+G818+G819+G820</f>
        <v>271.480342732</v>
      </c>
      <c r="F822" s="156">
        <f>费率表!$E$7</f>
        <v>0.09</v>
      </c>
      <c r="G822" s="150">
        <f t="shared" si="65"/>
        <v>24.43323084588</v>
      </c>
    </row>
    <row r="823" customHeight="1" spans="1:7">
      <c r="A823" s="144"/>
      <c r="B823" s="153" t="s">
        <v>907</v>
      </c>
      <c r="C823" s="153"/>
      <c r="D823" s="61"/>
      <c r="E823" s="147">
        <f>G809+G818+G819+G820+G822</f>
        <v>295.91357357788</v>
      </c>
      <c r="F823" s="156">
        <f>费率表!$B$19</f>
        <v>0.03</v>
      </c>
      <c r="G823" s="150">
        <f t="shared" si="65"/>
        <v>8.8774072073364</v>
      </c>
    </row>
    <row r="824" customHeight="1" spans="1:7">
      <c r="A824" s="158"/>
      <c r="B824" s="161" t="s">
        <v>39</v>
      </c>
      <c r="C824" s="161"/>
      <c r="D824" s="161"/>
      <c r="E824" s="162"/>
      <c r="F824" s="161"/>
      <c r="G824" s="163">
        <f>G809+G818+G819+G820+G822+G823</f>
        <v>304.790980785216</v>
      </c>
    </row>
    <row r="825" customHeight="1" spans="1:7">
      <c r="A825" s="91"/>
      <c r="B825" s="91"/>
      <c r="C825" s="91"/>
      <c r="D825" s="91"/>
      <c r="E825" s="91"/>
      <c r="F825" s="91"/>
      <c r="G825" s="91"/>
    </row>
    <row r="826" customHeight="1" spans="1:7">
      <c r="A826" s="91"/>
      <c r="B826" s="91"/>
      <c r="C826" s="91"/>
      <c r="D826" s="91"/>
      <c r="E826" s="91"/>
      <c r="F826" s="91"/>
      <c r="G826" s="91"/>
    </row>
    <row r="827" customHeight="1" spans="1:7">
      <c r="A827" s="91"/>
      <c r="B827" s="91"/>
      <c r="C827" s="91"/>
      <c r="D827" s="91"/>
      <c r="E827" s="91"/>
      <c r="F827" s="91"/>
      <c r="G827" s="91"/>
    </row>
    <row r="828" customHeight="1" spans="1:7">
      <c r="A828" s="164" t="s">
        <v>868</v>
      </c>
      <c r="B828" s="164"/>
      <c r="C828" s="164"/>
      <c r="D828" s="164"/>
      <c r="E828" s="164"/>
      <c r="F828" s="164"/>
      <c r="G828" s="164"/>
    </row>
    <row r="829" customHeight="1" spans="1:7">
      <c r="A829" s="165" t="s">
        <v>869</v>
      </c>
      <c r="B829" s="129"/>
      <c r="C829" s="129"/>
      <c r="D829" s="129" t="s">
        <v>870</v>
      </c>
      <c r="E829" s="130" t="s">
        <v>1392</v>
      </c>
      <c r="F829" s="131"/>
      <c r="G829" s="132"/>
    </row>
    <row r="830" customHeight="1" spans="1:7">
      <c r="A830" s="144" t="s">
        <v>507</v>
      </c>
      <c r="B830" s="166"/>
      <c r="C830" s="167" t="s">
        <v>1393</v>
      </c>
      <c r="D830" s="167"/>
      <c r="E830" s="167"/>
      <c r="F830" s="61" t="s">
        <v>873</v>
      </c>
      <c r="G830" s="138" t="s">
        <v>70</v>
      </c>
    </row>
    <row r="831" customHeight="1" spans="1:7">
      <c r="A831" s="168" t="s">
        <v>875</v>
      </c>
      <c r="B831" s="167"/>
      <c r="C831" s="167"/>
      <c r="D831" s="167"/>
      <c r="E831" s="167"/>
      <c r="F831" s="167"/>
      <c r="G831" s="169"/>
    </row>
    <row r="832" customHeight="1" spans="1:7">
      <c r="A832" s="141" t="s">
        <v>1390</v>
      </c>
      <c r="B832" s="142"/>
      <c r="C832" s="170"/>
      <c r="D832" s="170"/>
      <c r="E832" s="170"/>
      <c r="F832" s="170"/>
      <c r="G832" s="171"/>
    </row>
    <row r="833" customHeight="1" spans="1:7">
      <c r="A833" s="144" t="s">
        <v>34</v>
      </c>
      <c r="B833" s="61" t="s">
        <v>761</v>
      </c>
      <c r="C833" s="61"/>
      <c r="D833" s="61" t="s">
        <v>60</v>
      </c>
      <c r="E833" s="147" t="s">
        <v>877</v>
      </c>
      <c r="F833" s="61" t="s">
        <v>878</v>
      </c>
      <c r="G833" s="138" t="s">
        <v>879</v>
      </c>
    </row>
    <row r="834" customHeight="1" spans="1:7">
      <c r="A834" s="144" t="s">
        <v>8</v>
      </c>
      <c r="B834" s="153" t="s">
        <v>880</v>
      </c>
      <c r="C834" s="153"/>
      <c r="D834" s="61"/>
      <c r="E834" s="147"/>
      <c r="F834" s="147"/>
      <c r="G834" s="150">
        <f>G835+G850</f>
        <v>353.166626688088</v>
      </c>
    </row>
    <row r="835" customHeight="1" spans="1:7">
      <c r="A835" s="144" t="s">
        <v>881</v>
      </c>
      <c r="B835" s="153" t="s">
        <v>882</v>
      </c>
      <c r="C835" s="153"/>
      <c r="D835" s="61"/>
      <c r="E835" s="147"/>
      <c r="F835" s="147"/>
      <c r="G835" s="150">
        <f>G836+G839+G845</f>
        <v>336.991056000084</v>
      </c>
    </row>
    <row r="836" customHeight="1" spans="1:7">
      <c r="A836" s="144" t="s">
        <v>17</v>
      </c>
      <c r="B836" s="153" t="s">
        <v>510</v>
      </c>
      <c r="C836" s="153"/>
      <c r="D836" s="61"/>
      <c r="E836" s="147"/>
      <c r="F836" s="147"/>
      <c r="G836" s="150">
        <f>SUM(G837:G838)</f>
        <v>131.344</v>
      </c>
    </row>
    <row r="837" customHeight="1" spans="1:7">
      <c r="A837" s="144"/>
      <c r="B837" s="153" t="s">
        <v>704</v>
      </c>
      <c r="C837" s="153"/>
      <c r="D837" s="61" t="s">
        <v>705</v>
      </c>
      <c r="E837" s="147">
        <v>6.1</v>
      </c>
      <c r="F837" s="147">
        <f>主要材料预算!$D$19</f>
        <v>8.1</v>
      </c>
      <c r="G837" s="150">
        <f t="shared" ref="G837:G844" si="66">E837*F837</f>
        <v>49.41</v>
      </c>
    </row>
    <row r="838" customHeight="1" spans="1:7">
      <c r="A838" s="144"/>
      <c r="B838" s="153" t="s">
        <v>706</v>
      </c>
      <c r="C838" s="153"/>
      <c r="D838" s="61" t="s">
        <v>705</v>
      </c>
      <c r="E838" s="151">
        <v>14.2</v>
      </c>
      <c r="F838" s="147">
        <f>主要材料预算!$D$20</f>
        <v>5.77</v>
      </c>
      <c r="G838" s="150">
        <f t="shared" si="66"/>
        <v>81.934</v>
      </c>
    </row>
    <row r="839" customHeight="1" spans="1:7">
      <c r="A839" s="144" t="s">
        <v>19</v>
      </c>
      <c r="B839" s="148" t="s">
        <v>511</v>
      </c>
      <c r="C839" s="149"/>
      <c r="D839" s="61"/>
      <c r="E839" s="147"/>
      <c r="F839" s="147"/>
      <c r="G839" s="150">
        <f>SUM(G840:G844)</f>
        <v>145.20704</v>
      </c>
    </row>
    <row r="840" customHeight="1" spans="1:7">
      <c r="A840" s="144"/>
      <c r="B840" s="148" t="s">
        <v>1394</v>
      </c>
      <c r="C840" s="149"/>
      <c r="D840" s="61" t="s">
        <v>70</v>
      </c>
      <c r="E840" s="147">
        <v>0.4</v>
      </c>
      <c r="F840" s="147">
        <f>混凝土单价计算表!$M$13</f>
        <v>135.58885</v>
      </c>
      <c r="G840" s="150">
        <f t="shared" si="66"/>
        <v>54.23554</v>
      </c>
    </row>
    <row r="841" customHeight="1" spans="1:7">
      <c r="A841" s="144"/>
      <c r="B841" s="148" t="s">
        <v>688</v>
      </c>
      <c r="C841" s="149"/>
      <c r="D841" s="61" t="s">
        <v>70</v>
      </c>
      <c r="E841" s="147">
        <v>1.13</v>
      </c>
      <c r="F841" s="147">
        <f>主要材料预算!$M$10</f>
        <v>70</v>
      </c>
      <c r="G841" s="150">
        <f t="shared" si="66"/>
        <v>79.1</v>
      </c>
    </row>
    <row r="842" customHeight="1" spans="1:7">
      <c r="A842" s="144"/>
      <c r="B842" s="180" t="s">
        <v>1395</v>
      </c>
      <c r="C842" s="181"/>
      <c r="D842" s="61" t="s">
        <v>1396</v>
      </c>
      <c r="E842" s="147">
        <v>1.89</v>
      </c>
      <c r="F842" s="147">
        <f>基础材料!$D$17</f>
        <v>3</v>
      </c>
      <c r="G842" s="150">
        <f t="shared" si="66"/>
        <v>5.67</v>
      </c>
    </row>
    <row r="843" customHeight="1" spans="1:7">
      <c r="A843" s="144"/>
      <c r="B843" s="148" t="s">
        <v>730</v>
      </c>
      <c r="C843" s="149"/>
      <c r="D843" s="61" t="s">
        <v>70</v>
      </c>
      <c r="E843" s="147">
        <v>0.41</v>
      </c>
      <c r="F843" s="147">
        <f>主要材料预算!$D$16</f>
        <v>4.15</v>
      </c>
      <c r="G843" s="150">
        <f t="shared" si="66"/>
        <v>1.7015</v>
      </c>
    </row>
    <row r="844" customHeight="1" spans="1:7">
      <c r="A844" s="144"/>
      <c r="B844" s="148" t="s">
        <v>1397</v>
      </c>
      <c r="C844" s="149"/>
      <c r="D844" s="61" t="s">
        <v>1398</v>
      </c>
      <c r="E844" s="147">
        <v>0.3</v>
      </c>
      <c r="F844" s="267">
        <f>基础材料!$D$16</f>
        <v>15</v>
      </c>
      <c r="G844" s="150">
        <f t="shared" si="66"/>
        <v>4.5</v>
      </c>
    </row>
    <row r="845" customHeight="1" spans="1:7">
      <c r="A845" s="144" t="s">
        <v>21</v>
      </c>
      <c r="B845" s="153" t="s">
        <v>895</v>
      </c>
      <c r="C845" s="153"/>
      <c r="D845" s="153"/>
      <c r="E845" s="147"/>
      <c r="F845" s="147"/>
      <c r="G845" s="150">
        <f>SUM(G846:G849)</f>
        <v>60.4400160000838</v>
      </c>
    </row>
    <row r="846" customHeight="1" spans="1:7">
      <c r="A846" s="144"/>
      <c r="B846" s="148" t="s">
        <v>848</v>
      </c>
      <c r="C846" s="149"/>
      <c r="D846" s="61" t="s">
        <v>896</v>
      </c>
      <c r="E846" s="147">
        <v>0.18</v>
      </c>
      <c r="F846" s="147">
        <f>施工机械台时费!$E$50</f>
        <v>26.7734822497008</v>
      </c>
      <c r="G846" s="150">
        <f t="shared" ref="G846:G848" si="67">E846*F846</f>
        <v>4.81922680494615</v>
      </c>
    </row>
    <row r="847" customHeight="1" spans="1:7">
      <c r="A847" s="144"/>
      <c r="B847" s="182" t="s">
        <v>851</v>
      </c>
      <c r="C847" s="183"/>
      <c r="D847" s="61" t="s">
        <v>896</v>
      </c>
      <c r="E847" s="147">
        <v>0.78</v>
      </c>
      <c r="F847" s="147">
        <f>施工机械台时费!$E$53</f>
        <v>46.7913282808137</v>
      </c>
      <c r="G847" s="150">
        <f t="shared" si="67"/>
        <v>36.4972360590347</v>
      </c>
    </row>
    <row r="848" customHeight="1" spans="1:7">
      <c r="A848" s="144"/>
      <c r="B848" s="148" t="s">
        <v>1399</v>
      </c>
      <c r="C848" s="149"/>
      <c r="D848" s="61" t="s">
        <v>896</v>
      </c>
      <c r="E848" s="147">
        <v>1.42</v>
      </c>
      <c r="F848" s="147">
        <f>施工机械台时费!$E$19</f>
        <v>13.1336757080175</v>
      </c>
      <c r="G848" s="150">
        <f t="shared" si="67"/>
        <v>18.6498195053849</v>
      </c>
    </row>
    <row r="849" customHeight="1" spans="1:7">
      <c r="A849" s="144"/>
      <c r="B849" s="148" t="s">
        <v>902</v>
      </c>
      <c r="C849" s="149"/>
      <c r="D849" s="61" t="s">
        <v>894</v>
      </c>
      <c r="E849" s="147">
        <f>SUM(G846:G848)</f>
        <v>59.9662823693658</v>
      </c>
      <c r="F849" s="147">
        <v>0.79</v>
      </c>
      <c r="G849" s="150">
        <f>E849*F849/100</f>
        <v>0.47373363071799</v>
      </c>
    </row>
    <row r="850" customHeight="1" spans="1:7">
      <c r="A850" s="144" t="s">
        <v>905</v>
      </c>
      <c r="B850" s="153" t="s">
        <v>514</v>
      </c>
      <c r="C850" s="153"/>
      <c r="D850" s="61"/>
      <c r="E850" s="154">
        <f>G835</f>
        <v>336.991056000084</v>
      </c>
      <c r="F850" s="155">
        <f>费率表!$E$4</f>
        <v>0.048</v>
      </c>
      <c r="G850" s="150">
        <f t="shared" ref="G850:G852" si="68">E850*F850</f>
        <v>16.175570688004</v>
      </c>
    </row>
    <row r="851" customHeight="1" spans="1:7">
      <c r="A851" s="144" t="s">
        <v>10</v>
      </c>
      <c r="B851" s="153" t="s">
        <v>770</v>
      </c>
      <c r="C851" s="153"/>
      <c r="D851" s="61"/>
      <c r="E851" s="147">
        <f>G834</f>
        <v>353.166626688088</v>
      </c>
      <c r="F851" s="156">
        <f>费率表!$E$5</f>
        <v>0.085</v>
      </c>
      <c r="G851" s="150">
        <f t="shared" si="68"/>
        <v>30.0191632684875</v>
      </c>
    </row>
    <row r="852" customHeight="1" spans="1:7">
      <c r="A852" s="144" t="s">
        <v>12</v>
      </c>
      <c r="B852" s="153" t="s">
        <v>771</v>
      </c>
      <c r="C852" s="153"/>
      <c r="D852" s="61"/>
      <c r="E852" s="147">
        <f>G834+G851</f>
        <v>383.185789956575</v>
      </c>
      <c r="F852" s="156">
        <f>费率表!$E$6</f>
        <v>0.07</v>
      </c>
      <c r="G852" s="150">
        <f t="shared" si="68"/>
        <v>26.8230052969603</v>
      </c>
    </row>
    <row r="853" customHeight="1" spans="1:7">
      <c r="A853" s="144" t="s">
        <v>15</v>
      </c>
      <c r="B853" s="148" t="s">
        <v>517</v>
      </c>
      <c r="C853" s="149"/>
      <c r="D853" s="61"/>
      <c r="E853" s="147"/>
      <c r="F853" s="157"/>
      <c r="G853" s="150">
        <f>SUM(G854:G856)</f>
        <v>66.86337001776</v>
      </c>
    </row>
    <row r="854" customHeight="1" spans="1:7">
      <c r="A854" s="144"/>
      <c r="B854" s="148" t="s">
        <v>688</v>
      </c>
      <c r="C854" s="149"/>
      <c r="D854" s="61" t="s">
        <v>70</v>
      </c>
      <c r="E854" s="147">
        <f>E841</f>
        <v>1.13</v>
      </c>
      <c r="F854" s="147">
        <f>主要材料预算!$N$10</f>
        <v>48.11322</v>
      </c>
      <c r="G854" s="150">
        <f t="shared" ref="G854:G858" si="69">E854*F854</f>
        <v>54.3679386</v>
      </c>
    </row>
    <row r="855" customHeight="1" spans="1:7">
      <c r="A855" s="144"/>
      <c r="B855" s="148" t="s">
        <v>729</v>
      </c>
      <c r="C855" s="149"/>
      <c r="D855" s="61" t="s">
        <v>204</v>
      </c>
      <c r="E855" s="147">
        <f>E840*混凝土单价计算表!$E$13</f>
        <v>0.089784</v>
      </c>
      <c r="F855" s="147">
        <f>主要材料预算!$N$5</f>
        <v>139.17214</v>
      </c>
      <c r="G855" s="150">
        <f t="shared" si="69"/>
        <v>12.49543141776</v>
      </c>
    </row>
    <row r="856" customHeight="1" spans="1:7">
      <c r="A856" s="144"/>
      <c r="B856" s="148" t="s">
        <v>684</v>
      </c>
      <c r="C856" s="149"/>
      <c r="D856" s="61" t="s">
        <v>70</v>
      </c>
      <c r="E856" s="147">
        <f>E840*混凝土单价计算表!$G$13</f>
        <v>0.444</v>
      </c>
      <c r="F856" s="147"/>
      <c r="G856" s="150">
        <f t="shared" si="69"/>
        <v>0</v>
      </c>
    </row>
    <row r="857" customHeight="1" spans="1:7">
      <c r="A857" s="144" t="s">
        <v>906</v>
      </c>
      <c r="B857" s="153" t="s">
        <v>772</v>
      </c>
      <c r="C857" s="153"/>
      <c r="D857" s="61"/>
      <c r="E857" s="147">
        <f>G834+G851+G852+G853</f>
        <v>476.872165271296</v>
      </c>
      <c r="F857" s="156">
        <f>费率表!$E$7</f>
        <v>0.09</v>
      </c>
      <c r="G857" s="150">
        <f t="shared" si="69"/>
        <v>42.9184948744166</v>
      </c>
    </row>
    <row r="858" customHeight="1" spans="1:7">
      <c r="A858" s="144"/>
      <c r="B858" s="153" t="s">
        <v>907</v>
      </c>
      <c r="C858" s="153"/>
      <c r="D858" s="61"/>
      <c r="E858" s="147">
        <f>G834+G851+G852+G853+G857</f>
        <v>519.790660145712</v>
      </c>
      <c r="F858" s="156">
        <f>费率表!$B$19</f>
        <v>0.03</v>
      </c>
      <c r="G858" s="150">
        <f t="shared" si="69"/>
        <v>15.5937198043714</v>
      </c>
    </row>
    <row r="859" customHeight="1" spans="1:7">
      <c r="A859" s="158"/>
      <c r="B859" s="161" t="s">
        <v>39</v>
      </c>
      <c r="C859" s="161"/>
      <c r="D859" s="161"/>
      <c r="E859" s="162"/>
      <c r="F859" s="161"/>
      <c r="G859" s="163">
        <f>G834+G851+G852+G853+G857+G858</f>
        <v>535.384379950084</v>
      </c>
    </row>
    <row r="860" customHeight="1" spans="1:7">
      <c r="A860" s="91"/>
      <c r="B860" s="91"/>
      <c r="C860" s="91"/>
      <c r="D860" s="91"/>
      <c r="E860" s="91"/>
      <c r="F860" s="91"/>
      <c r="G860" s="91"/>
    </row>
    <row r="861" customHeight="1" spans="1:7">
      <c r="A861" s="164" t="s">
        <v>868</v>
      </c>
      <c r="B861" s="164"/>
      <c r="C861" s="164"/>
      <c r="D861" s="164"/>
      <c r="E861" s="164"/>
      <c r="F861" s="164"/>
      <c r="G861" s="164"/>
    </row>
    <row r="862" customHeight="1" spans="1:7">
      <c r="A862" s="165" t="s">
        <v>869</v>
      </c>
      <c r="B862" s="129"/>
      <c r="C862" s="129"/>
      <c r="D862" s="129" t="s">
        <v>870</v>
      </c>
      <c r="E862" s="130" t="s">
        <v>1400</v>
      </c>
      <c r="F862" s="131"/>
      <c r="G862" s="132"/>
    </row>
    <row r="863" customHeight="1" spans="1:7">
      <c r="A863" s="144" t="s">
        <v>507</v>
      </c>
      <c r="B863" s="166"/>
      <c r="C863" s="167" t="s">
        <v>1401</v>
      </c>
      <c r="D863" s="167"/>
      <c r="E863" s="167"/>
      <c r="F863" s="61" t="s">
        <v>873</v>
      </c>
      <c r="G863" s="138" t="s">
        <v>70</v>
      </c>
    </row>
    <row r="864" customHeight="1" spans="1:7">
      <c r="A864" s="168" t="s">
        <v>875</v>
      </c>
      <c r="B864" s="167"/>
      <c r="C864" s="167"/>
      <c r="D864" s="167"/>
      <c r="E864" s="167"/>
      <c r="F864" s="167"/>
      <c r="G864" s="169"/>
    </row>
    <row r="865" customHeight="1" spans="1:7">
      <c r="A865" s="141" t="s">
        <v>1390</v>
      </c>
      <c r="B865" s="142"/>
      <c r="C865" s="170"/>
      <c r="D865" s="170"/>
      <c r="E865" s="170"/>
      <c r="F865" s="170"/>
      <c r="G865" s="171"/>
    </row>
    <row r="866" customHeight="1" spans="1:7">
      <c r="A866" s="144" t="s">
        <v>34</v>
      </c>
      <c r="B866" s="61" t="s">
        <v>761</v>
      </c>
      <c r="C866" s="61"/>
      <c r="D866" s="61" t="s">
        <v>60</v>
      </c>
      <c r="E866" s="147" t="s">
        <v>877</v>
      </c>
      <c r="F866" s="61" t="s">
        <v>878</v>
      </c>
      <c r="G866" s="138" t="s">
        <v>879</v>
      </c>
    </row>
    <row r="867" customHeight="1" spans="1:7">
      <c r="A867" s="144" t="s">
        <v>8</v>
      </c>
      <c r="B867" s="153" t="s">
        <v>880</v>
      </c>
      <c r="C867" s="153"/>
      <c r="D867" s="61"/>
      <c r="E867" s="147"/>
      <c r="F867" s="147"/>
      <c r="G867" s="150">
        <f>G868+G883</f>
        <v>360.014782688088</v>
      </c>
    </row>
    <row r="868" customHeight="1" spans="1:7">
      <c r="A868" s="144" t="s">
        <v>881</v>
      </c>
      <c r="B868" s="153" t="s">
        <v>882</v>
      </c>
      <c r="C868" s="153"/>
      <c r="D868" s="61"/>
      <c r="E868" s="147"/>
      <c r="F868" s="147"/>
      <c r="G868" s="150">
        <f>G869+G872+G878</f>
        <v>343.525556000084</v>
      </c>
    </row>
    <row r="869" customHeight="1" spans="1:7">
      <c r="A869" s="144" t="s">
        <v>17</v>
      </c>
      <c r="B869" s="153" t="s">
        <v>510</v>
      </c>
      <c r="C869" s="153"/>
      <c r="D869" s="61"/>
      <c r="E869" s="147"/>
      <c r="F869" s="147"/>
      <c r="G869" s="150">
        <f>SUM(G870:G871)</f>
        <v>134.462</v>
      </c>
    </row>
    <row r="870" customHeight="1" spans="1:7">
      <c r="A870" s="144"/>
      <c r="B870" s="153" t="s">
        <v>704</v>
      </c>
      <c r="C870" s="153"/>
      <c r="D870" s="61" t="s">
        <v>705</v>
      </c>
      <c r="E870" s="147">
        <v>6.2</v>
      </c>
      <c r="F870" s="147">
        <f>主要材料预算!$D$19</f>
        <v>8.1</v>
      </c>
      <c r="G870" s="150">
        <f t="shared" ref="G870:G877" si="70">E870*F870</f>
        <v>50.22</v>
      </c>
    </row>
    <row r="871" customHeight="1" spans="1:7">
      <c r="A871" s="144"/>
      <c r="B871" s="153" t="s">
        <v>706</v>
      </c>
      <c r="C871" s="153"/>
      <c r="D871" s="61" t="s">
        <v>705</v>
      </c>
      <c r="E871" s="151">
        <v>14.6</v>
      </c>
      <c r="F871" s="147">
        <f>主要材料预算!$D$20</f>
        <v>5.77</v>
      </c>
      <c r="G871" s="150">
        <f t="shared" si="70"/>
        <v>84.242</v>
      </c>
    </row>
    <row r="872" customHeight="1" spans="1:7">
      <c r="A872" s="144" t="s">
        <v>19</v>
      </c>
      <c r="B872" s="148" t="s">
        <v>511</v>
      </c>
      <c r="C872" s="149"/>
      <c r="D872" s="61"/>
      <c r="E872" s="147"/>
      <c r="F872" s="147"/>
      <c r="G872" s="150">
        <f>SUM(G873:G877)</f>
        <v>148.62354</v>
      </c>
    </row>
    <row r="873" customHeight="1" spans="1:7">
      <c r="A873" s="144"/>
      <c r="B873" s="148" t="s">
        <v>1394</v>
      </c>
      <c r="C873" s="149"/>
      <c r="D873" s="61" t="s">
        <v>70</v>
      </c>
      <c r="E873" s="147">
        <v>0.4</v>
      </c>
      <c r="F873" s="147">
        <f>混凝土单价计算表!$M$13</f>
        <v>135.58885</v>
      </c>
      <c r="G873" s="150">
        <f t="shared" si="70"/>
        <v>54.23554</v>
      </c>
    </row>
    <row r="874" customHeight="1" spans="1:7">
      <c r="A874" s="144"/>
      <c r="B874" s="148" t="s">
        <v>688</v>
      </c>
      <c r="C874" s="149"/>
      <c r="D874" s="61" t="s">
        <v>70</v>
      </c>
      <c r="E874" s="147">
        <v>1.13</v>
      </c>
      <c r="F874" s="147">
        <f>主要材料预算!$M$10</f>
        <v>70</v>
      </c>
      <c r="G874" s="150">
        <f t="shared" si="70"/>
        <v>79.1</v>
      </c>
    </row>
    <row r="875" customHeight="1" spans="1:7">
      <c r="A875" s="144"/>
      <c r="B875" s="180" t="s">
        <v>1395</v>
      </c>
      <c r="C875" s="181"/>
      <c r="D875" s="61" t="s">
        <v>1396</v>
      </c>
      <c r="E875" s="147">
        <v>2.6</v>
      </c>
      <c r="F875" s="147">
        <f>基础材料!$D$17</f>
        <v>3</v>
      </c>
      <c r="G875" s="150">
        <f t="shared" si="70"/>
        <v>7.8</v>
      </c>
    </row>
    <row r="876" customHeight="1" spans="1:7">
      <c r="A876" s="144"/>
      <c r="B876" s="148" t="s">
        <v>730</v>
      </c>
      <c r="C876" s="149"/>
      <c r="D876" s="61" t="s">
        <v>70</v>
      </c>
      <c r="E876" s="147">
        <v>0.72</v>
      </c>
      <c r="F876" s="147">
        <f>主要材料预算!$D$16</f>
        <v>4.15</v>
      </c>
      <c r="G876" s="150">
        <f t="shared" si="70"/>
        <v>2.988</v>
      </c>
    </row>
    <row r="877" customHeight="1" spans="1:7">
      <c r="A877" s="144"/>
      <c r="B877" s="148" t="s">
        <v>1397</v>
      </c>
      <c r="C877" s="149"/>
      <c r="D877" s="61" t="s">
        <v>1398</v>
      </c>
      <c r="E877" s="147">
        <v>0.3</v>
      </c>
      <c r="F877" s="267">
        <f>基础材料!$D$16</f>
        <v>15</v>
      </c>
      <c r="G877" s="150">
        <f t="shared" si="70"/>
        <v>4.5</v>
      </c>
    </row>
    <row r="878" customHeight="1" spans="1:7">
      <c r="A878" s="144" t="s">
        <v>21</v>
      </c>
      <c r="B878" s="153" t="s">
        <v>895</v>
      </c>
      <c r="C878" s="153"/>
      <c r="D878" s="153"/>
      <c r="E878" s="147"/>
      <c r="F878" s="147"/>
      <c r="G878" s="150">
        <f>SUM(G879:G882)</f>
        <v>60.4400160000838</v>
      </c>
    </row>
    <row r="879" customHeight="1" spans="1:7">
      <c r="A879" s="144"/>
      <c r="B879" s="148" t="s">
        <v>848</v>
      </c>
      <c r="C879" s="149"/>
      <c r="D879" s="61" t="s">
        <v>896</v>
      </c>
      <c r="E879" s="147">
        <v>0.18</v>
      </c>
      <c r="F879" s="147">
        <f>施工机械台时费!$E$50</f>
        <v>26.7734822497008</v>
      </c>
      <c r="G879" s="150">
        <f t="shared" ref="G879:G881" si="71">E879*F879</f>
        <v>4.81922680494615</v>
      </c>
    </row>
    <row r="880" customHeight="1" spans="1:7">
      <c r="A880" s="144"/>
      <c r="B880" s="182" t="s">
        <v>851</v>
      </c>
      <c r="C880" s="183"/>
      <c r="D880" s="61" t="s">
        <v>896</v>
      </c>
      <c r="E880" s="147">
        <v>0.78</v>
      </c>
      <c r="F880" s="147">
        <f>施工机械台时费!$E$53</f>
        <v>46.7913282808137</v>
      </c>
      <c r="G880" s="150">
        <f t="shared" si="71"/>
        <v>36.4972360590347</v>
      </c>
    </row>
    <row r="881" customHeight="1" spans="1:7">
      <c r="A881" s="144"/>
      <c r="B881" s="148" t="s">
        <v>1399</v>
      </c>
      <c r="C881" s="149"/>
      <c r="D881" s="61" t="s">
        <v>896</v>
      </c>
      <c r="E881" s="147">
        <v>1.42</v>
      </c>
      <c r="F881" s="147">
        <f>施工机械台时费!$E$19</f>
        <v>13.1336757080175</v>
      </c>
      <c r="G881" s="150">
        <f t="shared" si="71"/>
        <v>18.6498195053849</v>
      </c>
    </row>
    <row r="882" customHeight="1" spans="1:7">
      <c r="A882" s="144"/>
      <c r="B882" s="148" t="s">
        <v>902</v>
      </c>
      <c r="C882" s="149"/>
      <c r="D882" s="61" t="s">
        <v>894</v>
      </c>
      <c r="E882" s="147">
        <f>SUM(G879:G881)</f>
        <v>59.9662823693658</v>
      </c>
      <c r="F882" s="147">
        <v>0.79</v>
      </c>
      <c r="G882" s="150">
        <f>E882*F882/100</f>
        <v>0.47373363071799</v>
      </c>
    </row>
    <row r="883" customHeight="1" spans="1:7">
      <c r="A883" s="144" t="s">
        <v>905</v>
      </c>
      <c r="B883" s="153" t="s">
        <v>514</v>
      </c>
      <c r="C883" s="153"/>
      <c r="D883" s="61"/>
      <c r="E883" s="154">
        <f>G868</f>
        <v>343.525556000084</v>
      </c>
      <c r="F883" s="155">
        <f>费率表!$E$4</f>
        <v>0.048</v>
      </c>
      <c r="G883" s="150">
        <f t="shared" ref="G883:G885" si="72">E883*F883</f>
        <v>16.489226688004</v>
      </c>
    </row>
    <row r="884" customHeight="1" spans="1:7">
      <c r="A884" s="144" t="s">
        <v>10</v>
      </c>
      <c r="B884" s="153" t="s">
        <v>770</v>
      </c>
      <c r="C884" s="153"/>
      <c r="D884" s="61"/>
      <c r="E884" s="147">
        <f>G867</f>
        <v>360.014782688088</v>
      </c>
      <c r="F884" s="156">
        <f>费率表!$E$5</f>
        <v>0.085</v>
      </c>
      <c r="G884" s="150">
        <f t="shared" si="72"/>
        <v>30.6012565284875</v>
      </c>
    </row>
    <row r="885" customHeight="1" spans="1:7">
      <c r="A885" s="144" t="s">
        <v>12</v>
      </c>
      <c r="B885" s="153" t="s">
        <v>771</v>
      </c>
      <c r="C885" s="153"/>
      <c r="D885" s="61"/>
      <c r="E885" s="147">
        <f>G867+G884</f>
        <v>390.616039216575</v>
      </c>
      <c r="F885" s="156">
        <f>费率表!$E$6</f>
        <v>0.07</v>
      </c>
      <c r="G885" s="150">
        <f t="shared" si="72"/>
        <v>27.3431227451603</v>
      </c>
    </row>
    <row r="886" customHeight="1" spans="1:7">
      <c r="A886" s="144" t="s">
        <v>15</v>
      </c>
      <c r="B886" s="148" t="s">
        <v>517</v>
      </c>
      <c r="C886" s="149"/>
      <c r="D886" s="61"/>
      <c r="E886" s="147"/>
      <c r="F886" s="157"/>
      <c r="G886" s="150">
        <f>SUM(G887:G889)</f>
        <v>66.86337001776</v>
      </c>
    </row>
    <row r="887" customHeight="1" spans="1:7">
      <c r="A887" s="144"/>
      <c r="B887" s="148" t="s">
        <v>688</v>
      </c>
      <c r="C887" s="149"/>
      <c r="D887" s="61" t="s">
        <v>70</v>
      </c>
      <c r="E887" s="147">
        <f>E874</f>
        <v>1.13</v>
      </c>
      <c r="F887" s="147">
        <f>主要材料预算!$N$10</f>
        <v>48.11322</v>
      </c>
      <c r="G887" s="150">
        <f t="shared" ref="G887:G891" si="73">E887*F887</f>
        <v>54.3679386</v>
      </c>
    </row>
    <row r="888" customHeight="1" spans="1:7">
      <c r="A888" s="144"/>
      <c r="B888" s="148" t="s">
        <v>729</v>
      </c>
      <c r="C888" s="149"/>
      <c r="D888" s="61" t="s">
        <v>204</v>
      </c>
      <c r="E888" s="147">
        <f>E873*混凝土单价计算表!$E$13</f>
        <v>0.089784</v>
      </c>
      <c r="F888" s="147">
        <f>主要材料预算!$N$5</f>
        <v>139.17214</v>
      </c>
      <c r="G888" s="150">
        <f t="shared" si="73"/>
        <v>12.49543141776</v>
      </c>
    </row>
    <row r="889" customHeight="1" spans="1:7">
      <c r="A889" s="144"/>
      <c r="B889" s="148" t="s">
        <v>684</v>
      </c>
      <c r="C889" s="149"/>
      <c r="D889" s="61" t="s">
        <v>70</v>
      </c>
      <c r="E889" s="147">
        <f>E873*混凝土单价计算表!$G$13</f>
        <v>0.444</v>
      </c>
      <c r="F889" s="147"/>
      <c r="G889" s="150">
        <f t="shared" si="73"/>
        <v>0</v>
      </c>
    </row>
    <row r="890" customHeight="1" spans="1:7">
      <c r="A890" s="144" t="s">
        <v>906</v>
      </c>
      <c r="B890" s="153" t="s">
        <v>772</v>
      </c>
      <c r="C890" s="153"/>
      <c r="D890" s="61"/>
      <c r="E890" s="147">
        <f>G867+G884+G885+G886</f>
        <v>484.822531979496</v>
      </c>
      <c r="F890" s="156">
        <f>费率表!$E$7</f>
        <v>0.09</v>
      </c>
      <c r="G890" s="150">
        <f t="shared" si="73"/>
        <v>43.6340278781546</v>
      </c>
    </row>
    <row r="891" customHeight="1" spans="1:7">
      <c r="A891" s="144"/>
      <c r="B891" s="153" t="s">
        <v>907</v>
      </c>
      <c r="C891" s="153"/>
      <c r="D891" s="61"/>
      <c r="E891" s="147">
        <f>G867+G884+G885+G886+G890</f>
        <v>528.45655985765</v>
      </c>
      <c r="F891" s="156">
        <f>费率表!$B$19</f>
        <v>0.03</v>
      </c>
      <c r="G891" s="150">
        <f t="shared" si="73"/>
        <v>15.8536967957295</v>
      </c>
    </row>
    <row r="892" customHeight="1" spans="1:7">
      <c r="A892" s="158"/>
      <c r="B892" s="161" t="s">
        <v>39</v>
      </c>
      <c r="C892" s="161"/>
      <c r="D892" s="161"/>
      <c r="E892" s="162"/>
      <c r="F892" s="161"/>
      <c r="G892" s="163">
        <f>G867+G884+G885+G886+G890+G891</f>
        <v>544.31025665338</v>
      </c>
    </row>
    <row r="894" customHeight="1" spans="1:7">
      <c r="A894" s="164" t="s">
        <v>868</v>
      </c>
      <c r="B894" s="164"/>
      <c r="C894" s="164"/>
      <c r="D894" s="164"/>
      <c r="E894" s="164"/>
      <c r="F894" s="164"/>
      <c r="G894" s="164"/>
    </row>
    <row r="895" customHeight="1" spans="1:7">
      <c r="A895" s="165" t="s">
        <v>869</v>
      </c>
      <c r="B895" s="129"/>
      <c r="C895" s="129"/>
      <c r="D895" s="129" t="s">
        <v>870</v>
      </c>
      <c r="E895" s="130" t="s">
        <v>1402</v>
      </c>
      <c r="F895" s="131"/>
      <c r="G895" s="132"/>
    </row>
    <row r="896" customHeight="1" spans="1:7">
      <c r="A896" s="144" t="s">
        <v>507</v>
      </c>
      <c r="B896" s="166"/>
      <c r="C896" s="167" t="s">
        <v>1401</v>
      </c>
      <c r="D896" s="167"/>
      <c r="E896" s="167"/>
      <c r="F896" s="61" t="s">
        <v>873</v>
      </c>
      <c r="G896" s="138" t="s">
        <v>70</v>
      </c>
    </row>
    <row r="897" customHeight="1" spans="1:7">
      <c r="A897" s="168" t="s">
        <v>875</v>
      </c>
      <c r="B897" s="167"/>
      <c r="C897" s="167"/>
      <c r="D897" s="167"/>
      <c r="E897" s="167"/>
      <c r="F897" s="167"/>
      <c r="G897" s="169"/>
    </row>
    <row r="898" customHeight="1" spans="1:7">
      <c r="A898" s="141" t="s">
        <v>1390</v>
      </c>
      <c r="B898" s="142"/>
      <c r="C898" s="170"/>
      <c r="D898" s="170"/>
      <c r="E898" s="170"/>
      <c r="F898" s="170"/>
      <c r="G898" s="171"/>
    </row>
    <row r="899" customHeight="1" spans="1:7">
      <c r="A899" s="144" t="s">
        <v>34</v>
      </c>
      <c r="B899" s="61" t="s">
        <v>761</v>
      </c>
      <c r="C899" s="61"/>
      <c r="D899" s="61" t="s">
        <v>60</v>
      </c>
      <c r="E899" s="147" t="s">
        <v>877</v>
      </c>
      <c r="F899" s="61" t="s">
        <v>878</v>
      </c>
      <c r="G899" s="138" t="s">
        <v>879</v>
      </c>
    </row>
    <row r="900" customHeight="1" spans="1:7">
      <c r="A900" s="144" t="s">
        <v>8</v>
      </c>
      <c r="B900" s="153" t="s">
        <v>880</v>
      </c>
      <c r="C900" s="153"/>
      <c r="D900" s="61"/>
      <c r="E900" s="147"/>
      <c r="F900" s="147"/>
      <c r="G900" s="150">
        <f>G901+G916</f>
        <v>355.298782688088</v>
      </c>
    </row>
    <row r="901" customHeight="1" spans="1:7">
      <c r="A901" s="144" t="s">
        <v>881</v>
      </c>
      <c r="B901" s="153" t="s">
        <v>882</v>
      </c>
      <c r="C901" s="153"/>
      <c r="D901" s="61"/>
      <c r="E901" s="147"/>
      <c r="F901" s="147"/>
      <c r="G901" s="150">
        <f>G902+G905+G911</f>
        <v>339.025556000084</v>
      </c>
    </row>
    <row r="902" customHeight="1" spans="1:7">
      <c r="A902" s="144" t="s">
        <v>17</v>
      </c>
      <c r="B902" s="153" t="s">
        <v>510</v>
      </c>
      <c r="C902" s="153"/>
      <c r="D902" s="61"/>
      <c r="E902" s="147"/>
      <c r="F902" s="147"/>
      <c r="G902" s="150">
        <f>SUM(G903:G904)</f>
        <v>134.462</v>
      </c>
    </row>
    <row r="903" customHeight="1" spans="1:7">
      <c r="A903" s="144"/>
      <c r="B903" s="153" t="s">
        <v>704</v>
      </c>
      <c r="C903" s="153"/>
      <c r="D903" s="61" t="s">
        <v>705</v>
      </c>
      <c r="E903" s="147">
        <v>6.2</v>
      </c>
      <c r="F903" s="147">
        <f>主要材料预算!$D$19</f>
        <v>8.1</v>
      </c>
      <c r="G903" s="150">
        <f t="shared" ref="G903:G910" si="74">E903*F903</f>
        <v>50.22</v>
      </c>
    </row>
    <row r="904" customHeight="1" spans="1:7">
      <c r="A904" s="144"/>
      <c r="B904" s="153" t="s">
        <v>706</v>
      </c>
      <c r="C904" s="153"/>
      <c r="D904" s="61" t="s">
        <v>705</v>
      </c>
      <c r="E904" s="151">
        <v>14.6</v>
      </c>
      <c r="F904" s="147">
        <f>主要材料预算!$D$20</f>
        <v>5.77</v>
      </c>
      <c r="G904" s="150">
        <f t="shared" si="74"/>
        <v>84.242</v>
      </c>
    </row>
    <row r="905" customHeight="1" spans="1:7">
      <c r="A905" s="144" t="s">
        <v>19</v>
      </c>
      <c r="B905" s="148" t="s">
        <v>511</v>
      </c>
      <c r="C905" s="149"/>
      <c r="D905" s="61"/>
      <c r="E905" s="147"/>
      <c r="F905" s="147"/>
      <c r="G905" s="150">
        <f>SUM(G906:G910)</f>
        <v>144.12354</v>
      </c>
    </row>
    <row r="906" customHeight="1" spans="1:7">
      <c r="A906" s="144"/>
      <c r="B906" s="148" t="s">
        <v>1394</v>
      </c>
      <c r="C906" s="149"/>
      <c r="D906" s="61" t="s">
        <v>70</v>
      </c>
      <c r="E906" s="147">
        <v>0.4</v>
      </c>
      <c r="F906" s="147">
        <f>混凝土单价计算表!$M$13</f>
        <v>135.58885</v>
      </c>
      <c r="G906" s="150">
        <f t="shared" si="74"/>
        <v>54.23554</v>
      </c>
    </row>
    <row r="907" customHeight="1" spans="1:7">
      <c r="A907" s="144"/>
      <c r="B907" s="148" t="s">
        <v>688</v>
      </c>
      <c r="C907" s="149"/>
      <c r="D907" s="61" t="s">
        <v>70</v>
      </c>
      <c r="E907" s="147">
        <v>1.13</v>
      </c>
      <c r="F907" s="147">
        <f>主要材料预算!$M$10</f>
        <v>70</v>
      </c>
      <c r="G907" s="150">
        <f t="shared" si="74"/>
        <v>79.1</v>
      </c>
    </row>
    <row r="908" customHeight="1" spans="1:7">
      <c r="A908" s="144"/>
      <c r="B908" s="180" t="s">
        <v>1395</v>
      </c>
      <c r="C908" s="181"/>
      <c r="D908" s="61" t="s">
        <v>1396</v>
      </c>
      <c r="E908" s="147">
        <v>2.6</v>
      </c>
      <c r="F908" s="147">
        <f>基础材料!$D$17</f>
        <v>3</v>
      </c>
      <c r="G908" s="150">
        <f t="shared" si="74"/>
        <v>7.8</v>
      </c>
    </row>
    <row r="909" customHeight="1" spans="1:7">
      <c r="A909" s="144"/>
      <c r="B909" s="148" t="s">
        <v>730</v>
      </c>
      <c r="C909" s="149"/>
      <c r="D909" s="61" t="s">
        <v>70</v>
      </c>
      <c r="E909" s="147">
        <v>0.72</v>
      </c>
      <c r="F909" s="147">
        <f>主要材料预算!$D$16</f>
        <v>4.15</v>
      </c>
      <c r="G909" s="150">
        <f t="shared" si="74"/>
        <v>2.988</v>
      </c>
    </row>
    <row r="910" customHeight="1" spans="1:7">
      <c r="A910" s="144"/>
      <c r="B910" s="148" t="s">
        <v>1397</v>
      </c>
      <c r="C910" s="149"/>
      <c r="D910" s="61" t="s">
        <v>1398</v>
      </c>
      <c r="E910" s="147">
        <v>0.3</v>
      </c>
      <c r="F910" s="267"/>
      <c r="G910" s="150">
        <f t="shared" si="74"/>
        <v>0</v>
      </c>
    </row>
    <row r="911" customHeight="1" spans="1:7">
      <c r="A911" s="144" t="s">
        <v>21</v>
      </c>
      <c r="B911" s="153" t="s">
        <v>895</v>
      </c>
      <c r="C911" s="153"/>
      <c r="D911" s="153"/>
      <c r="E911" s="147"/>
      <c r="F911" s="147"/>
      <c r="G911" s="150">
        <f>SUM(G912:G915)</f>
        <v>60.4400160000838</v>
      </c>
    </row>
    <row r="912" customHeight="1" spans="1:7">
      <c r="A912" s="144"/>
      <c r="B912" s="148" t="s">
        <v>848</v>
      </c>
      <c r="C912" s="149"/>
      <c r="D912" s="61" t="s">
        <v>896</v>
      </c>
      <c r="E912" s="147">
        <v>0.18</v>
      </c>
      <c r="F912" s="147">
        <f>施工机械台时费!$E$50</f>
        <v>26.7734822497008</v>
      </c>
      <c r="G912" s="150">
        <f t="shared" ref="G912:G914" si="75">E912*F912</f>
        <v>4.81922680494615</v>
      </c>
    </row>
    <row r="913" customHeight="1" spans="1:7">
      <c r="A913" s="144"/>
      <c r="B913" s="182" t="s">
        <v>851</v>
      </c>
      <c r="C913" s="183"/>
      <c r="D913" s="61" t="s">
        <v>896</v>
      </c>
      <c r="E913" s="147">
        <v>0.78</v>
      </c>
      <c r="F913" s="147">
        <f>施工机械台时费!$E$53</f>
        <v>46.7913282808137</v>
      </c>
      <c r="G913" s="150">
        <f t="shared" si="75"/>
        <v>36.4972360590347</v>
      </c>
    </row>
    <row r="914" customHeight="1" spans="1:7">
      <c r="A914" s="144"/>
      <c r="B914" s="148" t="s">
        <v>1399</v>
      </c>
      <c r="C914" s="149"/>
      <c r="D914" s="61" t="s">
        <v>896</v>
      </c>
      <c r="E914" s="147">
        <v>1.42</v>
      </c>
      <c r="F914" s="147">
        <f>施工机械台时费!$E$19</f>
        <v>13.1336757080175</v>
      </c>
      <c r="G914" s="150">
        <f t="shared" si="75"/>
        <v>18.6498195053849</v>
      </c>
    </row>
    <row r="915" customHeight="1" spans="1:7">
      <c r="A915" s="144"/>
      <c r="B915" s="148" t="s">
        <v>902</v>
      </c>
      <c r="C915" s="149"/>
      <c r="D915" s="61" t="s">
        <v>894</v>
      </c>
      <c r="E915" s="147">
        <f>SUM(G912:G914)</f>
        <v>59.9662823693658</v>
      </c>
      <c r="F915" s="147">
        <v>0.79</v>
      </c>
      <c r="G915" s="150">
        <f>E915*F915/100</f>
        <v>0.47373363071799</v>
      </c>
    </row>
    <row r="916" customHeight="1" spans="1:7">
      <c r="A916" s="144" t="s">
        <v>905</v>
      </c>
      <c r="B916" s="153" t="s">
        <v>514</v>
      </c>
      <c r="C916" s="153"/>
      <c r="D916" s="61"/>
      <c r="E916" s="154">
        <f>G901</f>
        <v>339.025556000084</v>
      </c>
      <c r="F916" s="155">
        <f>费率表!$E$4</f>
        <v>0.048</v>
      </c>
      <c r="G916" s="150">
        <f t="shared" ref="G916:G918" si="76">E916*F916</f>
        <v>16.273226688004</v>
      </c>
    </row>
    <row r="917" customHeight="1" spans="1:7">
      <c r="A917" s="144" t="s">
        <v>10</v>
      </c>
      <c r="B917" s="153" t="s">
        <v>770</v>
      </c>
      <c r="C917" s="153"/>
      <c r="D917" s="61"/>
      <c r="E917" s="147">
        <f>G900</f>
        <v>355.298782688088</v>
      </c>
      <c r="F917" s="156">
        <f>费率表!$E$5</f>
        <v>0.085</v>
      </c>
      <c r="G917" s="150">
        <f t="shared" si="76"/>
        <v>30.2003965284875</v>
      </c>
    </row>
    <row r="918" customHeight="1" spans="1:7">
      <c r="A918" s="144" t="s">
        <v>12</v>
      </c>
      <c r="B918" s="153" t="s">
        <v>771</v>
      </c>
      <c r="C918" s="153"/>
      <c r="D918" s="61"/>
      <c r="E918" s="147">
        <f>G900+G917</f>
        <v>385.499179216575</v>
      </c>
      <c r="F918" s="156">
        <f>费率表!$E$6</f>
        <v>0.07</v>
      </c>
      <c r="G918" s="150">
        <f t="shared" si="76"/>
        <v>26.9849425451603</v>
      </c>
    </row>
    <row r="919" customHeight="1" spans="1:7">
      <c r="A919" s="144" t="s">
        <v>15</v>
      </c>
      <c r="B919" s="148" t="s">
        <v>517</v>
      </c>
      <c r="C919" s="149"/>
      <c r="D919" s="61"/>
      <c r="E919" s="147"/>
      <c r="F919" s="157"/>
      <c r="G919" s="150">
        <f>SUM(G920:G922)</f>
        <v>66.86337001776</v>
      </c>
    </row>
    <row r="920" customHeight="1" spans="1:7">
      <c r="A920" s="144"/>
      <c r="B920" s="148" t="s">
        <v>688</v>
      </c>
      <c r="C920" s="149"/>
      <c r="D920" s="61" t="s">
        <v>70</v>
      </c>
      <c r="E920" s="147">
        <f>E907</f>
        <v>1.13</v>
      </c>
      <c r="F920" s="147">
        <f>主要材料预算!$N$10</f>
        <v>48.11322</v>
      </c>
      <c r="G920" s="150">
        <f t="shared" ref="G920:G924" si="77">E920*F920</f>
        <v>54.3679386</v>
      </c>
    </row>
    <row r="921" customHeight="1" spans="1:7">
      <c r="A921" s="144"/>
      <c r="B921" s="148" t="s">
        <v>729</v>
      </c>
      <c r="C921" s="149"/>
      <c r="D921" s="61" t="s">
        <v>204</v>
      </c>
      <c r="E921" s="147">
        <f>E906*混凝土单价计算表!$E$13</f>
        <v>0.089784</v>
      </c>
      <c r="F921" s="147">
        <f>主要材料预算!$N$5</f>
        <v>139.17214</v>
      </c>
      <c r="G921" s="150">
        <f t="shared" si="77"/>
        <v>12.49543141776</v>
      </c>
    </row>
    <row r="922" customHeight="1" spans="1:7">
      <c r="A922" s="144"/>
      <c r="B922" s="148" t="s">
        <v>684</v>
      </c>
      <c r="C922" s="149"/>
      <c r="D922" s="61" t="s">
        <v>70</v>
      </c>
      <c r="E922" s="147">
        <f>E906*混凝土单价计算表!$G$13</f>
        <v>0.444</v>
      </c>
      <c r="F922" s="147"/>
      <c r="G922" s="150">
        <f t="shared" si="77"/>
        <v>0</v>
      </c>
    </row>
    <row r="923" customHeight="1" spans="1:7">
      <c r="A923" s="144" t="s">
        <v>906</v>
      </c>
      <c r="B923" s="153" t="s">
        <v>772</v>
      </c>
      <c r="C923" s="153"/>
      <c r="D923" s="61"/>
      <c r="E923" s="147">
        <f>G900+G917+G918+G919</f>
        <v>479.347491779496</v>
      </c>
      <c r="F923" s="156">
        <f>费率表!$E$7</f>
        <v>0.09</v>
      </c>
      <c r="G923" s="150">
        <f t="shared" si="77"/>
        <v>43.1412742601546</v>
      </c>
    </row>
    <row r="924" customHeight="1" spans="1:7">
      <c r="A924" s="144"/>
      <c r="B924" s="153" t="s">
        <v>907</v>
      </c>
      <c r="C924" s="153"/>
      <c r="D924" s="61"/>
      <c r="E924" s="147">
        <f>G900+G917+G918+G919+G923</f>
        <v>522.488766039651</v>
      </c>
      <c r="F924" s="156">
        <f>费率表!$B$19</f>
        <v>0.03</v>
      </c>
      <c r="G924" s="150">
        <f t="shared" si="77"/>
        <v>15.6746629811895</v>
      </c>
    </row>
    <row r="925" customHeight="1" spans="1:7">
      <c r="A925" s="158"/>
      <c r="B925" s="161" t="s">
        <v>39</v>
      </c>
      <c r="C925" s="161"/>
      <c r="D925" s="161"/>
      <c r="E925" s="162"/>
      <c r="F925" s="161"/>
      <c r="G925" s="163">
        <f>G900+G917+G918+G919+G923+G924</f>
        <v>538.16342902084</v>
      </c>
    </row>
    <row r="927" customHeight="1" spans="1:7">
      <c r="A927" s="164" t="s">
        <v>868</v>
      </c>
      <c r="B927" s="164"/>
      <c r="C927" s="164"/>
      <c r="D927" s="164"/>
      <c r="E927" s="164"/>
      <c r="F927" s="164"/>
      <c r="G927" s="164"/>
    </row>
    <row r="928" customHeight="1" spans="1:7">
      <c r="A928" s="165" t="s">
        <v>869</v>
      </c>
      <c r="B928" s="129"/>
      <c r="C928" s="129"/>
      <c r="D928" s="129" t="s">
        <v>870</v>
      </c>
      <c r="E928" s="130" t="s">
        <v>1403</v>
      </c>
      <c r="F928" s="131"/>
      <c r="G928" s="132"/>
    </row>
    <row r="929" customHeight="1" spans="1:7">
      <c r="A929" s="144" t="s">
        <v>507</v>
      </c>
      <c r="B929" s="166"/>
      <c r="C929" s="167" t="s">
        <v>1404</v>
      </c>
      <c r="D929" s="167"/>
      <c r="E929" s="167"/>
      <c r="F929" s="61" t="s">
        <v>873</v>
      </c>
      <c r="G929" s="138" t="s">
        <v>70</v>
      </c>
    </row>
    <row r="930" customHeight="1" spans="1:7">
      <c r="A930" s="168" t="s">
        <v>875</v>
      </c>
      <c r="B930" s="167"/>
      <c r="C930" s="167"/>
      <c r="D930" s="167"/>
      <c r="E930" s="167"/>
      <c r="F930" s="167"/>
      <c r="G930" s="169"/>
    </row>
    <row r="931" customHeight="1" spans="1:7">
      <c r="A931" s="141" t="s">
        <v>1390</v>
      </c>
      <c r="B931" s="142"/>
      <c r="C931" s="170"/>
      <c r="D931" s="170"/>
      <c r="E931" s="170"/>
      <c r="F931" s="170"/>
      <c r="G931" s="171"/>
    </row>
    <row r="932" customHeight="1" spans="1:7">
      <c r="A932" s="144" t="s">
        <v>34</v>
      </c>
      <c r="B932" s="61" t="s">
        <v>761</v>
      </c>
      <c r="C932" s="61"/>
      <c r="D932" s="61" t="s">
        <v>60</v>
      </c>
      <c r="E932" s="147" t="s">
        <v>877</v>
      </c>
      <c r="F932" s="61" t="s">
        <v>878</v>
      </c>
      <c r="G932" s="138" t="s">
        <v>879</v>
      </c>
    </row>
    <row r="933" customHeight="1" spans="1:7">
      <c r="A933" s="144" t="s">
        <v>8</v>
      </c>
      <c r="B933" s="153" t="s">
        <v>880</v>
      </c>
      <c r="C933" s="153"/>
      <c r="D933" s="61"/>
      <c r="E933" s="147"/>
      <c r="F933" s="147"/>
      <c r="G933" s="150">
        <f>G934+G949</f>
        <v>359.589294688088</v>
      </c>
    </row>
    <row r="934" customHeight="1" spans="1:7">
      <c r="A934" s="144" t="s">
        <v>881</v>
      </c>
      <c r="B934" s="153" t="s">
        <v>882</v>
      </c>
      <c r="C934" s="153"/>
      <c r="D934" s="61"/>
      <c r="E934" s="147"/>
      <c r="F934" s="147"/>
      <c r="G934" s="150">
        <f>G935+G938+G944</f>
        <v>343.119556000084</v>
      </c>
    </row>
    <row r="935" customHeight="1" spans="1:7">
      <c r="A935" s="144" t="s">
        <v>17</v>
      </c>
      <c r="B935" s="153" t="s">
        <v>510</v>
      </c>
      <c r="C935" s="153"/>
      <c r="D935" s="61"/>
      <c r="E935" s="147"/>
      <c r="F935" s="147"/>
      <c r="G935" s="150">
        <f>SUM(G936:G937)</f>
        <v>140.931</v>
      </c>
    </row>
    <row r="936" customHeight="1" spans="1:7">
      <c r="A936" s="144"/>
      <c r="B936" s="153" t="s">
        <v>704</v>
      </c>
      <c r="C936" s="153"/>
      <c r="D936" s="61" t="s">
        <v>705</v>
      </c>
      <c r="E936" s="147">
        <v>6.5</v>
      </c>
      <c r="F936" s="147">
        <f>主要材料预算!$D$19</f>
        <v>8.1</v>
      </c>
      <c r="G936" s="150">
        <f t="shared" ref="G936:G943" si="78">E936*F936</f>
        <v>52.65</v>
      </c>
    </row>
    <row r="937" customHeight="1" spans="1:7">
      <c r="A937" s="144"/>
      <c r="B937" s="153" t="s">
        <v>706</v>
      </c>
      <c r="C937" s="153"/>
      <c r="D937" s="61" t="s">
        <v>705</v>
      </c>
      <c r="E937" s="151">
        <v>15.3</v>
      </c>
      <c r="F937" s="147">
        <f>主要材料预算!$D$20</f>
        <v>5.77</v>
      </c>
      <c r="G937" s="150">
        <f t="shared" si="78"/>
        <v>88.281</v>
      </c>
    </row>
    <row r="938" customHeight="1" spans="1:7">
      <c r="A938" s="144" t="s">
        <v>19</v>
      </c>
      <c r="B938" s="148" t="s">
        <v>511</v>
      </c>
      <c r="C938" s="149"/>
      <c r="D938" s="61"/>
      <c r="E938" s="147"/>
      <c r="F938" s="147"/>
      <c r="G938" s="150">
        <f>SUM(G939:G943)</f>
        <v>141.74854</v>
      </c>
    </row>
    <row r="939" customHeight="1" spans="1:7">
      <c r="A939" s="144"/>
      <c r="B939" s="148" t="s">
        <v>1394</v>
      </c>
      <c r="C939" s="149"/>
      <c r="D939" s="61" t="s">
        <v>70</v>
      </c>
      <c r="E939" s="147">
        <v>0.4</v>
      </c>
      <c r="F939" s="147">
        <f>混凝土单价计算表!$M$13</f>
        <v>135.58885</v>
      </c>
      <c r="G939" s="150">
        <f t="shared" si="78"/>
        <v>54.23554</v>
      </c>
    </row>
    <row r="940" customHeight="1" spans="1:7">
      <c r="A940" s="144"/>
      <c r="B940" s="148" t="s">
        <v>688</v>
      </c>
      <c r="C940" s="149"/>
      <c r="D940" s="61" t="s">
        <v>70</v>
      </c>
      <c r="E940" s="147">
        <v>1.13</v>
      </c>
      <c r="F940" s="147">
        <f>主要材料预算!$M$10</f>
        <v>70</v>
      </c>
      <c r="G940" s="150">
        <f t="shared" si="78"/>
        <v>79.1</v>
      </c>
    </row>
    <row r="941" customHeight="1" spans="1:7">
      <c r="A941" s="144"/>
      <c r="B941" s="180" t="s">
        <v>1395</v>
      </c>
      <c r="C941" s="181"/>
      <c r="D941" s="61" t="s">
        <v>1396</v>
      </c>
      <c r="E941" s="147">
        <v>1</v>
      </c>
      <c r="F941" s="147">
        <f>基础材料!$D$17</f>
        <v>3</v>
      </c>
      <c r="G941" s="150">
        <f t="shared" si="78"/>
        <v>3</v>
      </c>
    </row>
    <row r="942" customHeight="1" spans="1:7">
      <c r="A942" s="144"/>
      <c r="B942" s="148" t="s">
        <v>730</v>
      </c>
      <c r="C942" s="149"/>
      <c r="D942" s="61" t="s">
        <v>70</v>
      </c>
      <c r="E942" s="147">
        <v>0.22</v>
      </c>
      <c r="F942" s="147">
        <f>主要材料预算!$D$16</f>
        <v>4.15</v>
      </c>
      <c r="G942" s="150">
        <f t="shared" si="78"/>
        <v>0.913</v>
      </c>
    </row>
    <row r="943" customHeight="1" spans="1:7">
      <c r="A943" s="144"/>
      <c r="B943" s="148" t="s">
        <v>1397</v>
      </c>
      <c r="C943" s="149"/>
      <c r="D943" s="61" t="s">
        <v>1398</v>
      </c>
      <c r="E943" s="147">
        <v>0.3</v>
      </c>
      <c r="F943" s="267">
        <f>基础材料!$D$16</f>
        <v>15</v>
      </c>
      <c r="G943" s="150">
        <f t="shared" si="78"/>
        <v>4.5</v>
      </c>
    </row>
    <row r="944" customHeight="1" spans="1:7">
      <c r="A944" s="144" t="s">
        <v>21</v>
      </c>
      <c r="B944" s="153" t="s">
        <v>895</v>
      </c>
      <c r="C944" s="153"/>
      <c r="D944" s="153"/>
      <c r="E944" s="147"/>
      <c r="F944" s="147"/>
      <c r="G944" s="150">
        <f>SUM(G945:G948)</f>
        <v>60.4400160000838</v>
      </c>
    </row>
    <row r="945" customHeight="1" spans="1:7">
      <c r="A945" s="144"/>
      <c r="B945" s="148" t="s">
        <v>848</v>
      </c>
      <c r="C945" s="149"/>
      <c r="D945" s="61" t="s">
        <v>896</v>
      </c>
      <c r="E945" s="147">
        <v>0.18</v>
      </c>
      <c r="F945" s="147">
        <f>施工机械台时费!$E$50</f>
        <v>26.7734822497008</v>
      </c>
      <c r="G945" s="150">
        <f t="shared" ref="G945:G947" si="79">E945*F945</f>
        <v>4.81922680494615</v>
      </c>
    </row>
    <row r="946" customHeight="1" spans="1:7">
      <c r="A946" s="144"/>
      <c r="B946" s="182" t="s">
        <v>851</v>
      </c>
      <c r="C946" s="183"/>
      <c r="D946" s="61" t="s">
        <v>896</v>
      </c>
      <c r="E946" s="147">
        <v>0.78</v>
      </c>
      <c r="F946" s="147">
        <f>施工机械台时费!$E$53</f>
        <v>46.7913282808137</v>
      </c>
      <c r="G946" s="150">
        <f t="shared" si="79"/>
        <v>36.4972360590347</v>
      </c>
    </row>
    <row r="947" customHeight="1" spans="1:7">
      <c r="A947" s="144"/>
      <c r="B947" s="148" t="s">
        <v>1399</v>
      </c>
      <c r="C947" s="149"/>
      <c r="D947" s="61" t="s">
        <v>896</v>
      </c>
      <c r="E947" s="147">
        <v>1.42</v>
      </c>
      <c r="F947" s="147">
        <f>施工机械台时费!$E$19</f>
        <v>13.1336757080175</v>
      </c>
      <c r="G947" s="150">
        <f t="shared" si="79"/>
        <v>18.6498195053849</v>
      </c>
    </row>
    <row r="948" customHeight="1" spans="1:7">
      <c r="A948" s="144"/>
      <c r="B948" s="148" t="s">
        <v>902</v>
      </c>
      <c r="C948" s="149"/>
      <c r="D948" s="61" t="s">
        <v>894</v>
      </c>
      <c r="E948" s="147">
        <f>SUM(G945:G947)</f>
        <v>59.9662823693658</v>
      </c>
      <c r="F948" s="147">
        <v>0.79</v>
      </c>
      <c r="G948" s="150">
        <f>E948*F948/100</f>
        <v>0.47373363071799</v>
      </c>
    </row>
    <row r="949" customHeight="1" spans="1:7">
      <c r="A949" s="144" t="s">
        <v>905</v>
      </c>
      <c r="B949" s="153" t="s">
        <v>514</v>
      </c>
      <c r="C949" s="153"/>
      <c r="D949" s="61"/>
      <c r="E949" s="154">
        <f>G934</f>
        <v>343.119556000084</v>
      </c>
      <c r="F949" s="155">
        <f>费率表!$E$4</f>
        <v>0.048</v>
      </c>
      <c r="G949" s="150">
        <f t="shared" ref="G949:G951" si="80">E949*F949</f>
        <v>16.469738688004</v>
      </c>
    </row>
    <row r="950" customHeight="1" spans="1:7">
      <c r="A950" s="144" t="s">
        <v>10</v>
      </c>
      <c r="B950" s="153" t="s">
        <v>770</v>
      </c>
      <c r="C950" s="153"/>
      <c r="D950" s="61"/>
      <c r="E950" s="147">
        <f>G933</f>
        <v>359.589294688088</v>
      </c>
      <c r="F950" s="156">
        <f>费率表!$E$5</f>
        <v>0.085</v>
      </c>
      <c r="G950" s="150">
        <f t="shared" si="80"/>
        <v>30.5650900484875</v>
      </c>
    </row>
    <row r="951" customHeight="1" spans="1:7">
      <c r="A951" s="144" t="s">
        <v>12</v>
      </c>
      <c r="B951" s="153" t="s">
        <v>771</v>
      </c>
      <c r="C951" s="153"/>
      <c r="D951" s="61"/>
      <c r="E951" s="147">
        <f>G933+G950</f>
        <v>390.154384736575</v>
      </c>
      <c r="F951" s="156">
        <f>费率表!$E$6</f>
        <v>0.07</v>
      </c>
      <c r="G951" s="150">
        <f t="shared" si="80"/>
        <v>27.3108069315603</v>
      </c>
    </row>
    <row r="952" customHeight="1" spans="1:7">
      <c r="A952" s="144" t="s">
        <v>15</v>
      </c>
      <c r="B952" s="148" t="s">
        <v>517</v>
      </c>
      <c r="C952" s="149"/>
      <c r="D952" s="61"/>
      <c r="E952" s="147"/>
      <c r="F952" s="157"/>
      <c r="G952" s="150">
        <f>SUM(G953:G955)</f>
        <v>66.86337001776</v>
      </c>
    </row>
    <row r="953" customHeight="1" spans="1:7">
      <c r="A953" s="144"/>
      <c r="B953" s="148" t="s">
        <v>688</v>
      </c>
      <c r="C953" s="149"/>
      <c r="D953" s="61" t="s">
        <v>70</v>
      </c>
      <c r="E953" s="147">
        <f>E940</f>
        <v>1.13</v>
      </c>
      <c r="F953" s="147">
        <f>主要材料预算!$N$10</f>
        <v>48.11322</v>
      </c>
      <c r="G953" s="150">
        <f t="shared" ref="G953:G957" si="81">E953*F953</f>
        <v>54.3679386</v>
      </c>
    </row>
    <row r="954" customHeight="1" spans="1:7">
      <c r="A954" s="144"/>
      <c r="B954" s="148" t="s">
        <v>729</v>
      </c>
      <c r="C954" s="149"/>
      <c r="D954" s="61" t="s">
        <v>204</v>
      </c>
      <c r="E954" s="147">
        <f>E939*混凝土单价计算表!$E$13</f>
        <v>0.089784</v>
      </c>
      <c r="F954" s="147">
        <f>主要材料预算!$N$5</f>
        <v>139.17214</v>
      </c>
      <c r="G954" s="150">
        <f t="shared" si="81"/>
        <v>12.49543141776</v>
      </c>
    </row>
    <row r="955" customHeight="1" spans="1:7">
      <c r="A955" s="144"/>
      <c r="B955" s="148" t="s">
        <v>684</v>
      </c>
      <c r="C955" s="149"/>
      <c r="D955" s="61" t="s">
        <v>70</v>
      </c>
      <c r="E955" s="147">
        <f>E939*混凝土单价计算表!$G$13</f>
        <v>0.444</v>
      </c>
      <c r="F955" s="147"/>
      <c r="G955" s="150">
        <f t="shared" si="81"/>
        <v>0</v>
      </c>
    </row>
    <row r="956" customHeight="1" spans="1:7">
      <c r="A956" s="144" t="s">
        <v>906</v>
      </c>
      <c r="B956" s="153" t="s">
        <v>772</v>
      </c>
      <c r="C956" s="153"/>
      <c r="D956" s="61"/>
      <c r="E956" s="147">
        <f>G933+G950+G951+G952</f>
        <v>484.328561685896</v>
      </c>
      <c r="F956" s="156">
        <f>费率表!$E$7</f>
        <v>0.09</v>
      </c>
      <c r="G956" s="150">
        <f t="shared" si="81"/>
        <v>43.5895705517306</v>
      </c>
    </row>
    <row r="957" customHeight="1" spans="1:7">
      <c r="A957" s="144"/>
      <c r="B957" s="153" t="s">
        <v>907</v>
      </c>
      <c r="C957" s="153"/>
      <c r="D957" s="61"/>
      <c r="E957" s="147">
        <f>G933+G950+G951+G952+G956</f>
        <v>527.918132237626</v>
      </c>
      <c r="F957" s="156">
        <f>费率表!$B$19</f>
        <v>0.03</v>
      </c>
      <c r="G957" s="150">
        <f t="shared" si="81"/>
        <v>15.8375439671288</v>
      </c>
    </row>
    <row r="958" customHeight="1" spans="1:7">
      <c r="A958" s="158"/>
      <c r="B958" s="161" t="s">
        <v>39</v>
      </c>
      <c r="C958" s="161"/>
      <c r="D958" s="161"/>
      <c r="E958" s="162"/>
      <c r="F958" s="161"/>
      <c r="G958" s="163">
        <f>G933+G950+G951+G952+G956+G957</f>
        <v>543.755676204755</v>
      </c>
    </row>
    <row r="960" customHeight="1" spans="1:7">
      <c r="A960" s="164" t="s">
        <v>868</v>
      </c>
      <c r="B960" s="164"/>
      <c r="C960" s="164"/>
      <c r="D960" s="164"/>
      <c r="E960" s="164"/>
      <c r="F960" s="164"/>
      <c r="G960" s="164"/>
    </row>
    <row r="961" customHeight="1" spans="1:7">
      <c r="A961" s="268" t="s">
        <v>869</v>
      </c>
      <c r="B961" s="269"/>
      <c r="C961" s="96"/>
      <c r="D961" s="96" t="s">
        <v>870</v>
      </c>
      <c r="E961" s="270" t="s">
        <v>1405</v>
      </c>
      <c r="F961" s="271"/>
      <c r="G961" s="272"/>
    </row>
    <row r="962" customHeight="1" spans="1:7">
      <c r="A962" s="273" t="s">
        <v>507</v>
      </c>
      <c r="B962" s="274"/>
      <c r="C962" s="275" t="s">
        <v>1406</v>
      </c>
      <c r="D962" s="276"/>
      <c r="E962" s="277"/>
      <c r="F962" s="103" t="s">
        <v>873</v>
      </c>
      <c r="G962" s="104" t="s">
        <v>1146</v>
      </c>
    </row>
    <row r="963" customHeight="1" spans="1:7">
      <c r="A963" s="107" t="s">
        <v>875</v>
      </c>
      <c r="B963" s="108"/>
      <c r="C963" s="108"/>
      <c r="D963" s="108"/>
      <c r="E963" s="108"/>
      <c r="F963" s="108"/>
      <c r="G963" s="278"/>
    </row>
    <row r="964" customHeight="1" spans="1:7">
      <c r="A964" s="107" t="s">
        <v>1407</v>
      </c>
      <c r="B964" s="108"/>
      <c r="C964" s="108"/>
      <c r="D964" s="108"/>
      <c r="E964" s="108"/>
      <c r="F964" s="108"/>
      <c r="G964" s="278"/>
    </row>
    <row r="965" customHeight="1" spans="1:7">
      <c r="A965" s="100" t="s">
        <v>34</v>
      </c>
      <c r="B965" s="279" t="s">
        <v>761</v>
      </c>
      <c r="C965" s="280"/>
      <c r="D965" s="103" t="s">
        <v>60</v>
      </c>
      <c r="E965" s="111" t="s">
        <v>877</v>
      </c>
      <c r="F965" s="103" t="s">
        <v>878</v>
      </c>
      <c r="G965" s="104" t="s">
        <v>879</v>
      </c>
    </row>
    <row r="966" customHeight="1" spans="1:7">
      <c r="A966" s="100" t="s">
        <v>8</v>
      </c>
      <c r="B966" s="66" t="s">
        <v>880</v>
      </c>
      <c r="C966" s="67"/>
      <c r="D966" s="103"/>
      <c r="E966" s="111"/>
      <c r="F966" s="111"/>
      <c r="G966" s="113">
        <f>G967+G975</f>
        <v>12.9444060338</v>
      </c>
    </row>
    <row r="967" customHeight="1" spans="1:7">
      <c r="A967" s="100" t="s">
        <v>881</v>
      </c>
      <c r="B967" s="66" t="s">
        <v>882</v>
      </c>
      <c r="C967" s="67"/>
      <c r="D967" s="103"/>
      <c r="E967" s="111"/>
      <c r="F967" s="111"/>
      <c r="G967" s="113">
        <f>G968+G971</f>
        <v>12.351532475</v>
      </c>
    </row>
    <row r="968" customHeight="1" spans="1:7">
      <c r="A968" s="100" t="s">
        <v>17</v>
      </c>
      <c r="B968" s="66" t="s">
        <v>510</v>
      </c>
      <c r="C968" s="67"/>
      <c r="D968" s="103"/>
      <c r="E968" s="111"/>
      <c r="F968" s="111"/>
      <c r="G968" s="113">
        <f>SUM(G969:G970)</f>
        <v>10.397</v>
      </c>
    </row>
    <row r="969" customHeight="1" spans="1:7">
      <c r="A969" s="100"/>
      <c r="B969" s="66" t="s">
        <v>704</v>
      </c>
      <c r="C969" s="67"/>
      <c r="D969" s="103" t="s">
        <v>705</v>
      </c>
      <c r="E969" s="111">
        <v>0.5</v>
      </c>
      <c r="F969" s="111">
        <f>主要材料预算!$D$19</f>
        <v>8.1</v>
      </c>
      <c r="G969" s="113">
        <f t="shared" ref="G969:G973" si="82">E969*F969</f>
        <v>4.05</v>
      </c>
    </row>
    <row r="970" customHeight="1" spans="1:7">
      <c r="A970" s="100"/>
      <c r="B970" s="66" t="s">
        <v>706</v>
      </c>
      <c r="C970" s="67"/>
      <c r="D970" s="103" t="s">
        <v>705</v>
      </c>
      <c r="E970" s="114">
        <v>1.1</v>
      </c>
      <c r="F970" s="111">
        <f>主要材料预算!$D$20</f>
        <v>5.77</v>
      </c>
      <c r="G970" s="113">
        <f t="shared" si="82"/>
        <v>6.347</v>
      </c>
    </row>
    <row r="971" customHeight="1" spans="1:7">
      <c r="A971" s="100" t="s">
        <v>19</v>
      </c>
      <c r="B971" s="66" t="s">
        <v>511</v>
      </c>
      <c r="C971" s="67"/>
      <c r="D971" s="103"/>
      <c r="E971" s="111"/>
      <c r="F971" s="111"/>
      <c r="G971" s="113">
        <f>SUM(G972:G974)</f>
        <v>1.954532475</v>
      </c>
    </row>
    <row r="972" customHeight="1" spans="1:7">
      <c r="A972" s="100"/>
      <c r="B972" s="66" t="s">
        <v>1408</v>
      </c>
      <c r="C972" s="67"/>
      <c r="D972" s="103" t="s">
        <v>70</v>
      </c>
      <c r="E972" s="111">
        <v>0.01</v>
      </c>
      <c r="F972" s="111">
        <f>混凝土单价计算表!$M$14</f>
        <v>144.64595</v>
      </c>
      <c r="G972" s="113">
        <f t="shared" si="82"/>
        <v>1.4464595</v>
      </c>
    </row>
    <row r="973" customHeight="1" spans="1:7">
      <c r="A973" s="100"/>
      <c r="B973" s="66" t="s">
        <v>730</v>
      </c>
      <c r="C973" s="67"/>
      <c r="D973" s="103" t="s">
        <v>70</v>
      </c>
      <c r="E973" s="111">
        <v>0.1</v>
      </c>
      <c r="F973" s="111">
        <f>主要材料预算!$D$16</f>
        <v>4.15</v>
      </c>
      <c r="G973" s="113">
        <f t="shared" si="82"/>
        <v>0.415</v>
      </c>
    </row>
    <row r="974" customHeight="1" spans="1:7">
      <c r="A974" s="100"/>
      <c r="B974" s="66" t="s">
        <v>893</v>
      </c>
      <c r="C974" s="67"/>
      <c r="D974" s="103" t="s">
        <v>894</v>
      </c>
      <c r="E974" s="111">
        <f>SUM(G972:G973)</f>
        <v>1.8614595</v>
      </c>
      <c r="F974" s="111">
        <v>5</v>
      </c>
      <c r="G974" s="113">
        <f>E974*F974/100</f>
        <v>0.093072975</v>
      </c>
    </row>
    <row r="975" customHeight="1" spans="1:7">
      <c r="A975" s="100" t="s">
        <v>905</v>
      </c>
      <c r="B975" s="66" t="s">
        <v>514</v>
      </c>
      <c r="C975" s="67"/>
      <c r="D975" s="103"/>
      <c r="E975" s="116">
        <f>G967</f>
        <v>12.351532475</v>
      </c>
      <c r="F975" s="117">
        <f>费率表!$J$4</f>
        <v>0.048</v>
      </c>
      <c r="G975" s="113">
        <f t="shared" ref="G975:G977" si="83">E975*F975</f>
        <v>0.5928735588</v>
      </c>
    </row>
    <row r="976" customHeight="1" spans="1:7">
      <c r="A976" s="100" t="s">
        <v>10</v>
      </c>
      <c r="B976" s="66" t="s">
        <v>770</v>
      </c>
      <c r="C976" s="67"/>
      <c r="D976" s="103"/>
      <c r="E976" s="111">
        <f>G966</f>
        <v>12.9444060338</v>
      </c>
      <c r="F976" s="118">
        <f>费率表!$J$5</f>
        <v>0.075</v>
      </c>
      <c r="G976" s="113">
        <f t="shared" si="83"/>
        <v>0.970830452535</v>
      </c>
    </row>
    <row r="977" customHeight="1" spans="1:7">
      <c r="A977" s="100" t="s">
        <v>12</v>
      </c>
      <c r="B977" s="66" t="s">
        <v>771</v>
      </c>
      <c r="C977" s="67"/>
      <c r="D977" s="103"/>
      <c r="E977" s="111">
        <f>G966+G976</f>
        <v>13.915236486335</v>
      </c>
      <c r="F977" s="118">
        <f>费率表!$J$6</f>
        <v>0.07</v>
      </c>
      <c r="G977" s="113">
        <f t="shared" si="83"/>
        <v>0.97406655404345</v>
      </c>
    </row>
    <row r="978" customHeight="1" spans="1:7">
      <c r="A978" s="100" t="s">
        <v>15</v>
      </c>
      <c r="B978" s="66" t="s">
        <v>517</v>
      </c>
      <c r="C978" s="67"/>
      <c r="D978" s="103"/>
      <c r="E978" s="111"/>
      <c r="F978" s="281"/>
      <c r="G978" s="113">
        <f>SUM(G979:G980)</f>
        <v>0.36504852322</v>
      </c>
    </row>
    <row r="979" customHeight="1" spans="1:7">
      <c r="A979" s="100"/>
      <c r="B979" s="66" t="s">
        <v>729</v>
      </c>
      <c r="C979" s="67"/>
      <c r="D979" s="103" t="s">
        <v>204</v>
      </c>
      <c r="E979" s="282">
        <f>E972*混凝土单价计算表!$E$14</f>
        <v>0.002623</v>
      </c>
      <c r="F979" s="111">
        <f>主要材料预算!$N$5</f>
        <v>139.17214</v>
      </c>
      <c r="G979" s="113">
        <f t="shared" ref="G979:G982" si="84">E979*F979</f>
        <v>0.36504852322</v>
      </c>
    </row>
    <row r="980" customHeight="1" spans="1:7">
      <c r="A980" s="100"/>
      <c r="B980" s="66" t="s">
        <v>684</v>
      </c>
      <c r="C980" s="67"/>
      <c r="D980" s="103" t="s">
        <v>70</v>
      </c>
      <c r="E980" s="111">
        <f>E972*混凝土单价计算表!$G$14</f>
        <v>0.011</v>
      </c>
      <c r="F980" s="111"/>
      <c r="G980" s="113">
        <f t="shared" si="84"/>
        <v>0</v>
      </c>
    </row>
    <row r="981" customHeight="1" spans="1:7">
      <c r="A981" s="100" t="s">
        <v>906</v>
      </c>
      <c r="B981" s="66" t="s">
        <v>772</v>
      </c>
      <c r="C981" s="67"/>
      <c r="D981" s="103"/>
      <c r="E981" s="111">
        <f>G966+G976+G977+G978</f>
        <v>15.2543515635985</v>
      </c>
      <c r="F981" s="118">
        <f>费率表!$J$7</f>
        <v>0.09</v>
      </c>
      <c r="G981" s="113">
        <f t="shared" si="84"/>
        <v>1.37289164072386</v>
      </c>
    </row>
    <row r="982" customHeight="1" spans="1:7">
      <c r="A982" s="100"/>
      <c r="B982" s="66" t="s">
        <v>907</v>
      </c>
      <c r="C982" s="67"/>
      <c r="D982" s="103"/>
      <c r="E982" s="111">
        <f>G966+G976+G977+G978+G981</f>
        <v>16.6272432043223</v>
      </c>
      <c r="F982" s="118">
        <f>费率表!$B$19</f>
        <v>0.03</v>
      </c>
      <c r="G982" s="113">
        <f t="shared" si="84"/>
        <v>0.498817296129669</v>
      </c>
    </row>
    <row r="983" customHeight="1" spans="1:7">
      <c r="A983" s="119"/>
      <c r="B983" s="283" t="s">
        <v>39</v>
      </c>
      <c r="C983" s="284"/>
      <c r="D983" s="120"/>
      <c r="E983" s="121"/>
      <c r="F983" s="120"/>
      <c r="G983" s="122">
        <f>G966+G976+G977+G978+G981+G982</f>
        <v>17.126060500452</v>
      </c>
    </row>
    <row r="985" customHeight="1" spans="1:7">
      <c r="A985" s="237" t="s">
        <v>868</v>
      </c>
      <c r="B985" s="237"/>
      <c r="C985" s="237"/>
      <c r="D985" s="237"/>
      <c r="E985" s="237"/>
      <c r="F985" s="237"/>
      <c r="G985" s="237"/>
    </row>
    <row r="986" customHeight="1" spans="1:7">
      <c r="A986" s="238" t="s">
        <v>869</v>
      </c>
      <c r="B986" s="239"/>
      <c r="C986" s="239"/>
      <c r="D986" s="239" t="s">
        <v>870</v>
      </c>
      <c r="E986" s="240" t="s">
        <v>1409</v>
      </c>
      <c r="F986" s="240"/>
      <c r="G986" s="241"/>
    </row>
    <row r="987" customHeight="1" spans="1:7">
      <c r="A987" s="242" t="s">
        <v>507</v>
      </c>
      <c r="B987" s="243"/>
      <c r="C987" s="244" t="s">
        <v>1410</v>
      </c>
      <c r="D987" s="244"/>
      <c r="E987" s="244"/>
      <c r="F987" s="245" t="s">
        <v>873</v>
      </c>
      <c r="G987" s="246" t="s">
        <v>874</v>
      </c>
    </row>
    <row r="988" customHeight="1" spans="1:7">
      <c r="A988" s="247" t="s">
        <v>1411</v>
      </c>
      <c r="B988" s="248"/>
      <c r="C988" s="249"/>
      <c r="D988" s="249"/>
      <c r="E988" s="249"/>
      <c r="F988" s="249"/>
      <c r="G988" s="250"/>
    </row>
    <row r="989" customHeight="1" spans="1:7">
      <c r="A989" s="247" t="s">
        <v>1164</v>
      </c>
      <c r="B989" s="248"/>
      <c r="C989" s="249"/>
      <c r="D989" s="249"/>
      <c r="E989" s="249"/>
      <c r="F989" s="249"/>
      <c r="G989" s="250"/>
    </row>
    <row r="990" customHeight="1" spans="1:7">
      <c r="A990" s="242" t="s">
        <v>34</v>
      </c>
      <c r="B990" s="245" t="s">
        <v>761</v>
      </c>
      <c r="C990" s="245"/>
      <c r="D990" s="245" t="s">
        <v>60</v>
      </c>
      <c r="E990" s="251" t="s">
        <v>877</v>
      </c>
      <c r="F990" s="245" t="s">
        <v>878</v>
      </c>
      <c r="G990" s="246" t="s">
        <v>879</v>
      </c>
    </row>
    <row r="991" customHeight="1" spans="1:7">
      <c r="A991" s="242" t="s">
        <v>8</v>
      </c>
      <c r="B991" s="252" t="s">
        <v>880</v>
      </c>
      <c r="C991" s="252"/>
      <c r="D991" s="245"/>
      <c r="E991" s="251"/>
      <c r="F991" s="251"/>
      <c r="G991" s="253">
        <f>G992+G998</f>
        <v>5404.2586992</v>
      </c>
    </row>
    <row r="992" customHeight="1" spans="1:7">
      <c r="A992" s="242" t="s">
        <v>881</v>
      </c>
      <c r="B992" s="252" t="s">
        <v>882</v>
      </c>
      <c r="C992" s="252"/>
      <c r="D992" s="245"/>
      <c r="E992" s="251"/>
      <c r="F992" s="251"/>
      <c r="G992" s="253">
        <f>G993+G996</f>
        <v>5156.7354</v>
      </c>
    </row>
    <row r="993" customHeight="1" spans="1:7">
      <c r="A993" s="242" t="s">
        <v>17</v>
      </c>
      <c r="B993" s="252" t="s">
        <v>510</v>
      </c>
      <c r="C993" s="252"/>
      <c r="D993" s="245"/>
      <c r="E993" s="251"/>
      <c r="F993" s="251"/>
      <c r="G993" s="253">
        <f>SUM(G994:G995)</f>
        <v>5131.08</v>
      </c>
    </row>
    <row r="994" customHeight="1" spans="1:7">
      <c r="A994" s="242"/>
      <c r="B994" s="252" t="s">
        <v>704</v>
      </c>
      <c r="C994" s="252"/>
      <c r="D994" s="245" t="s">
        <v>705</v>
      </c>
      <c r="E994" s="251">
        <v>18</v>
      </c>
      <c r="F994" s="251">
        <f>主要材料预算!$D$19</f>
        <v>8.1</v>
      </c>
      <c r="G994" s="253">
        <f t="shared" ref="G994:G1002" si="85">E994*F994</f>
        <v>145.8</v>
      </c>
    </row>
    <row r="995" customHeight="1" spans="1:7">
      <c r="A995" s="242"/>
      <c r="B995" s="252" t="s">
        <v>706</v>
      </c>
      <c r="C995" s="252"/>
      <c r="D995" s="245" t="s">
        <v>705</v>
      </c>
      <c r="E995" s="254">
        <v>864</v>
      </c>
      <c r="F995" s="251">
        <f>主要材料预算!$D$20</f>
        <v>5.77</v>
      </c>
      <c r="G995" s="253">
        <f t="shared" si="85"/>
        <v>4985.28</v>
      </c>
    </row>
    <row r="996" customHeight="1" spans="1:7">
      <c r="A996" s="242" t="s">
        <v>19</v>
      </c>
      <c r="B996" s="255" t="s">
        <v>511</v>
      </c>
      <c r="C996" s="256"/>
      <c r="D996" s="245"/>
      <c r="E996" s="251"/>
      <c r="F996" s="251"/>
      <c r="G996" s="253">
        <f>G997</f>
        <v>25.6554</v>
      </c>
    </row>
    <row r="997" customHeight="1" spans="1:7">
      <c r="A997" s="242"/>
      <c r="B997" s="252" t="s">
        <v>1008</v>
      </c>
      <c r="C997" s="252"/>
      <c r="D997" s="245" t="s">
        <v>894</v>
      </c>
      <c r="E997" s="251">
        <f>G993</f>
        <v>5131.08</v>
      </c>
      <c r="F997" s="254">
        <v>0.5</v>
      </c>
      <c r="G997" s="253">
        <f>E997*F997/100</f>
        <v>25.6554</v>
      </c>
    </row>
    <row r="998" customHeight="1" spans="1:7">
      <c r="A998" s="242" t="s">
        <v>905</v>
      </c>
      <c r="B998" s="252" t="s">
        <v>514</v>
      </c>
      <c r="C998" s="252"/>
      <c r="D998" s="245"/>
      <c r="E998" s="259">
        <f>G992</f>
        <v>5156.7354</v>
      </c>
      <c r="F998" s="260">
        <f>费率表!$J$4</f>
        <v>0.048</v>
      </c>
      <c r="G998" s="253">
        <f t="shared" si="85"/>
        <v>247.5232992</v>
      </c>
    </row>
    <row r="999" customHeight="1" spans="1:7">
      <c r="A999" s="242" t="s">
        <v>10</v>
      </c>
      <c r="B999" s="252" t="s">
        <v>770</v>
      </c>
      <c r="C999" s="252"/>
      <c r="D999" s="245"/>
      <c r="E999" s="251">
        <f>G991</f>
        <v>5404.2586992</v>
      </c>
      <c r="F999" s="261">
        <f>费率表!$J$5</f>
        <v>0.075</v>
      </c>
      <c r="G999" s="253">
        <f t="shared" si="85"/>
        <v>405.31940244</v>
      </c>
    </row>
    <row r="1000" customHeight="1" spans="1:7">
      <c r="A1000" s="242" t="s">
        <v>12</v>
      </c>
      <c r="B1000" s="252" t="s">
        <v>771</v>
      </c>
      <c r="C1000" s="252"/>
      <c r="D1000" s="245"/>
      <c r="E1000" s="251">
        <f>G991+G999</f>
        <v>5809.57810164</v>
      </c>
      <c r="F1000" s="261">
        <f>费率表!$J$6</f>
        <v>0.07</v>
      </c>
      <c r="G1000" s="253">
        <f t="shared" si="85"/>
        <v>406.6704671148</v>
      </c>
    </row>
    <row r="1001" customHeight="1" spans="1:7">
      <c r="A1001" s="242" t="s">
        <v>15</v>
      </c>
      <c r="B1001" s="252" t="s">
        <v>772</v>
      </c>
      <c r="C1001" s="252"/>
      <c r="D1001" s="245"/>
      <c r="E1001" s="251">
        <f>G991+G999+G1000</f>
        <v>6216.2485687548</v>
      </c>
      <c r="F1001" s="261">
        <f>费率表!$J$7</f>
        <v>0.09</v>
      </c>
      <c r="G1001" s="253">
        <f t="shared" si="85"/>
        <v>559.462371187932</v>
      </c>
    </row>
    <row r="1002" customHeight="1" spans="1:7">
      <c r="A1002" s="242"/>
      <c r="B1002" s="252" t="s">
        <v>907</v>
      </c>
      <c r="C1002" s="252"/>
      <c r="D1002" s="245"/>
      <c r="E1002" s="251">
        <f>G991+G999+G1000+G1001</f>
        <v>6775.71093994273</v>
      </c>
      <c r="F1002" s="261">
        <f>费率表!$B$19</f>
        <v>0.03</v>
      </c>
      <c r="G1002" s="253">
        <f t="shared" si="85"/>
        <v>203.271328198282</v>
      </c>
    </row>
    <row r="1003" customHeight="1" spans="1:7">
      <c r="A1003" s="263"/>
      <c r="B1003" s="264" t="s">
        <v>39</v>
      </c>
      <c r="C1003" s="264"/>
      <c r="D1003" s="264"/>
      <c r="E1003" s="265"/>
      <c r="F1003" s="264"/>
      <c r="G1003" s="266">
        <f>G991+G999+G1000+G1001+G1002</f>
        <v>6978.98226814101</v>
      </c>
    </row>
    <row r="1006" customHeight="1" spans="1:7">
      <c r="A1006" s="237" t="s">
        <v>868</v>
      </c>
      <c r="B1006" s="237"/>
      <c r="C1006" s="237"/>
      <c r="D1006" s="237"/>
      <c r="E1006" s="237"/>
      <c r="F1006" s="237"/>
      <c r="G1006" s="237"/>
    </row>
    <row r="1007" customHeight="1" spans="1:7">
      <c r="A1007" s="238" t="s">
        <v>869</v>
      </c>
      <c r="B1007" s="239"/>
      <c r="C1007" s="239"/>
      <c r="D1007" s="239" t="s">
        <v>870</v>
      </c>
      <c r="E1007" s="240" t="s">
        <v>1412</v>
      </c>
      <c r="F1007" s="240"/>
      <c r="G1007" s="241"/>
    </row>
    <row r="1008" customHeight="1" spans="1:7">
      <c r="A1008" s="242" t="s">
        <v>507</v>
      </c>
      <c r="B1008" s="243"/>
      <c r="C1008" s="244" t="s">
        <v>1413</v>
      </c>
      <c r="D1008" s="244"/>
      <c r="E1008" s="244"/>
      <c r="F1008" s="245" t="s">
        <v>873</v>
      </c>
      <c r="G1008" s="246" t="s">
        <v>874</v>
      </c>
    </row>
    <row r="1009" customHeight="1" spans="1:7">
      <c r="A1009" s="247" t="s">
        <v>1164</v>
      </c>
      <c r="B1009" s="248"/>
      <c r="C1009" s="249"/>
      <c r="D1009" s="249"/>
      <c r="E1009" s="249"/>
      <c r="F1009" s="249"/>
      <c r="G1009" s="250"/>
    </row>
    <row r="1010" customHeight="1" spans="1:7">
      <c r="A1010" s="242" t="s">
        <v>34</v>
      </c>
      <c r="B1010" s="245" t="s">
        <v>761</v>
      </c>
      <c r="C1010" s="245"/>
      <c r="D1010" s="245" t="s">
        <v>60</v>
      </c>
      <c r="E1010" s="251" t="s">
        <v>877</v>
      </c>
      <c r="F1010" s="245" t="s">
        <v>878</v>
      </c>
      <c r="G1010" s="246" t="s">
        <v>879</v>
      </c>
    </row>
    <row r="1011" customHeight="1" spans="1:7">
      <c r="A1011" s="242" t="s">
        <v>8</v>
      </c>
      <c r="B1011" s="252" t="s">
        <v>880</v>
      </c>
      <c r="C1011" s="252"/>
      <c r="D1011" s="245"/>
      <c r="E1011" s="251"/>
      <c r="F1011" s="251"/>
      <c r="G1011" s="253">
        <f>G1012+G1020</f>
        <v>1088.95506230834</v>
      </c>
    </row>
    <row r="1012" customHeight="1" spans="1:7">
      <c r="A1012" s="242" t="s">
        <v>881</v>
      </c>
      <c r="B1012" s="252" t="s">
        <v>882</v>
      </c>
      <c r="C1012" s="252"/>
      <c r="D1012" s="245"/>
      <c r="E1012" s="251"/>
      <c r="F1012" s="251"/>
      <c r="G1012" s="253">
        <f>G1013+G1016+G1018</f>
        <v>1039.0792579278</v>
      </c>
    </row>
    <row r="1013" customHeight="1" spans="1:7">
      <c r="A1013" s="242" t="s">
        <v>17</v>
      </c>
      <c r="B1013" s="252" t="s">
        <v>510</v>
      </c>
      <c r="C1013" s="252"/>
      <c r="D1013" s="245"/>
      <c r="E1013" s="251"/>
      <c r="F1013" s="251"/>
      <c r="G1013" s="253">
        <f>SUM(G1014:G1015)</f>
        <v>623.16</v>
      </c>
    </row>
    <row r="1014" customHeight="1" spans="1:7">
      <c r="A1014" s="242"/>
      <c r="B1014" s="252" t="s">
        <v>704</v>
      </c>
      <c r="C1014" s="252"/>
      <c r="D1014" s="245" t="s">
        <v>705</v>
      </c>
      <c r="E1014" s="251"/>
      <c r="F1014" s="251">
        <f>主要材料预算!$D$19</f>
        <v>8.1</v>
      </c>
      <c r="G1014" s="253">
        <f t="shared" ref="G1014:G1022" si="86">E1014*F1014</f>
        <v>0</v>
      </c>
    </row>
    <row r="1015" customHeight="1" spans="1:7">
      <c r="A1015" s="242"/>
      <c r="B1015" s="252" t="s">
        <v>706</v>
      </c>
      <c r="C1015" s="252"/>
      <c r="D1015" s="245" t="s">
        <v>705</v>
      </c>
      <c r="E1015" s="254">
        <v>108</v>
      </c>
      <c r="F1015" s="251">
        <f>主要材料预算!$D$20</f>
        <v>5.77</v>
      </c>
      <c r="G1015" s="253">
        <f t="shared" si="86"/>
        <v>623.16</v>
      </c>
    </row>
    <row r="1016" customHeight="1" spans="1:7">
      <c r="A1016" s="242" t="s">
        <v>19</v>
      </c>
      <c r="B1016" s="255" t="s">
        <v>511</v>
      </c>
      <c r="C1016" s="256"/>
      <c r="D1016" s="245"/>
      <c r="E1016" s="251"/>
      <c r="F1016" s="251"/>
      <c r="G1016" s="253">
        <f>G1017</f>
        <v>30.2644444056641</v>
      </c>
    </row>
    <row r="1017" customHeight="1" spans="1:7">
      <c r="A1017" s="242"/>
      <c r="B1017" s="252" t="s">
        <v>1008</v>
      </c>
      <c r="C1017" s="252"/>
      <c r="D1017" s="245" t="s">
        <v>894</v>
      </c>
      <c r="E1017" s="251">
        <f>G1013+G1018</f>
        <v>1008.81481352214</v>
      </c>
      <c r="F1017" s="257">
        <v>3</v>
      </c>
      <c r="G1017" s="253">
        <f>E1017*F1017/100</f>
        <v>30.2644444056641</v>
      </c>
    </row>
    <row r="1018" customHeight="1" spans="1:7">
      <c r="A1018" s="242" t="s">
        <v>21</v>
      </c>
      <c r="B1018" s="252" t="s">
        <v>895</v>
      </c>
      <c r="C1018" s="252"/>
      <c r="D1018" s="252"/>
      <c r="E1018" s="251"/>
      <c r="F1018" s="251"/>
      <c r="G1018" s="253">
        <f>SUM(G1019:G1019)</f>
        <v>385.654813522138</v>
      </c>
    </row>
    <row r="1019" customHeight="1" spans="1:7">
      <c r="A1019" s="242"/>
      <c r="B1019" s="258" t="s">
        <v>1414</v>
      </c>
      <c r="C1019" s="258"/>
      <c r="D1019" s="245" t="s">
        <v>896</v>
      </c>
      <c r="E1019" s="251">
        <v>3.9</v>
      </c>
      <c r="F1019" s="251">
        <f>施工机械台时费!$E$5</f>
        <v>98.885849621061</v>
      </c>
      <c r="G1019" s="253">
        <f t="shared" si="86"/>
        <v>385.654813522138</v>
      </c>
    </row>
    <row r="1020" customHeight="1" spans="1:7">
      <c r="A1020" s="242" t="s">
        <v>905</v>
      </c>
      <c r="B1020" s="252" t="s">
        <v>514</v>
      </c>
      <c r="C1020" s="252"/>
      <c r="D1020" s="245"/>
      <c r="E1020" s="259">
        <f>G1012</f>
        <v>1039.0792579278</v>
      </c>
      <c r="F1020" s="260">
        <f>费率表!$J$4</f>
        <v>0.048</v>
      </c>
      <c r="G1020" s="253">
        <f t="shared" si="86"/>
        <v>49.8758043805345</v>
      </c>
    </row>
    <row r="1021" customHeight="1" spans="1:7">
      <c r="A1021" s="242" t="s">
        <v>10</v>
      </c>
      <c r="B1021" s="252" t="s">
        <v>770</v>
      </c>
      <c r="C1021" s="252"/>
      <c r="D1021" s="245"/>
      <c r="E1021" s="251">
        <f>G1011</f>
        <v>1088.95506230834</v>
      </c>
      <c r="F1021" s="261">
        <f>费率表!$J$5</f>
        <v>0.075</v>
      </c>
      <c r="G1021" s="253">
        <f t="shared" si="86"/>
        <v>81.6716296731253</v>
      </c>
    </row>
    <row r="1022" customHeight="1" spans="1:7">
      <c r="A1022" s="242" t="s">
        <v>12</v>
      </c>
      <c r="B1022" s="252" t="s">
        <v>771</v>
      </c>
      <c r="C1022" s="252"/>
      <c r="D1022" s="245"/>
      <c r="E1022" s="251">
        <f>G1011+G1021</f>
        <v>1170.62669198146</v>
      </c>
      <c r="F1022" s="261">
        <f>费率表!$J$6</f>
        <v>0.07</v>
      </c>
      <c r="G1022" s="253">
        <f t="shared" si="86"/>
        <v>81.9438684387023</v>
      </c>
    </row>
    <row r="1023" customHeight="1" spans="1:7">
      <c r="A1023" s="242" t="s">
        <v>15</v>
      </c>
      <c r="B1023" s="255" t="s">
        <v>517</v>
      </c>
      <c r="C1023" s="256"/>
      <c r="D1023" s="245"/>
      <c r="E1023" s="251"/>
      <c r="F1023" s="262"/>
      <c r="G1023" s="253">
        <f>G1024</f>
        <v>352.240775870348</v>
      </c>
    </row>
    <row r="1024" customHeight="1" spans="1:7">
      <c r="A1024" s="242" t="s">
        <v>17</v>
      </c>
      <c r="B1024" s="255" t="s">
        <v>694</v>
      </c>
      <c r="C1024" s="256"/>
      <c r="D1024" s="245"/>
      <c r="E1024" s="251">
        <f>E1019*施工机械台时费!$L$6</f>
        <v>58.11</v>
      </c>
      <c r="F1024" s="251">
        <f>主要材料预算!$N$13</f>
        <v>6.0616206482593</v>
      </c>
      <c r="G1024" s="253">
        <f t="shared" ref="G1024:G1026" si="87">E1024*F1024</f>
        <v>352.240775870348</v>
      </c>
    </row>
    <row r="1025" customHeight="1" spans="1:7">
      <c r="A1025" s="242" t="s">
        <v>906</v>
      </c>
      <c r="B1025" s="252" t="s">
        <v>772</v>
      </c>
      <c r="C1025" s="252"/>
      <c r="D1025" s="245"/>
      <c r="E1025" s="251">
        <f>G1011+G1021+G1022+G1023</f>
        <v>1604.81133629052</v>
      </c>
      <c r="F1025" s="261">
        <f>费率表!$J$7</f>
        <v>0.09</v>
      </c>
      <c r="G1025" s="253">
        <f t="shared" si="87"/>
        <v>144.433020266146</v>
      </c>
    </row>
    <row r="1026" customHeight="1" spans="1:7">
      <c r="A1026" s="242"/>
      <c r="B1026" s="252" t="s">
        <v>907</v>
      </c>
      <c r="C1026" s="252"/>
      <c r="D1026" s="245"/>
      <c r="E1026" s="251">
        <f>G1011+G1021+G1022+G1023+G1025</f>
        <v>1749.24435655666</v>
      </c>
      <c r="F1026" s="261">
        <f>费率表!$B$19</f>
        <v>0.03</v>
      </c>
      <c r="G1026" s="253">
        <f t="shared" si="87"/>
        <v>52.4773306966999</v>
      </c>
    </row>
    <row r="1027" customHeight="1" spans="1:7">
      <c r="A1027" s="263"/>
      <c r="B1027" s="264" t="s">
        <v>39</v>
      </c>
      <c r="C1027" s="264"/>
      <c r="D1027" s="264"/>
      <c r="E1027" s="265"/>
      <c r="F1027" s="264"/>
      <c r="G1027" s="266">
        <f>G1011+G1021+G1022+G1023+G1025+G1026</f>
        <v>1801.72168725336</v>
      </c>
    </row>
    <row r="1029" customHeight="1" spans="1:7">
      <c r="A1029" s="164" t="s">
        <v>868</v>
      </c>
      <c r="B1029" s="164"/>
      <c r="C1029" s="164"/>
      <c r="D1029" s="164"/>
      <c r="E1029" s="164"/>
      <c r="F1029" s="164"/>
      <c r="G1029" s="164"/>
    </row>
    <row r="1030" customHeight="1" spans="1:7">
      <c r="A1030" s="165" t="s">
        <v>869</v>
      </c>
      <c r="B1030" s="129"/>
      <c r="C1030" s="129"/>
      <c r="D1030" s="129" t="s">
        <v>870</v>
      </c>
      <c r="E1030" s="130" t="s">
        <v>1415</v>
      </c>
      <c r="F1030" s="131"/>
      <c r="G1030" s="132"/>
    </row>
    <row r="1031" customHeight="1" spans="1:7">
      <c r="A1031" s="144" t="s">
        <v>507</v>
      </c>
      <c r="B1031" s="166"/>
      <c r="C1031" s="167" t="s">
        <v>1416</v>
      </c>
      <c r="D1031" s="167"/>
      <c r="E1031" s="167"/>
      <c r="F1031" s="61" t="s">
        <v>873</v>
      </c>
      <c r="G1031" s="138" t="s">
        <v>1138</v>
      </c>
    </row>
    <row r="1032" customHeight="1" spans="1:7">
      <c r="A1032" s="168" t="s">
        <v>875</v>
      </c>
      <c r="B1032" s="167"/>
      <c r="C1032" s="167"/>
      <c r="D1032" s="167"/>
      <c r="E1032" s="167"/>
      <c r="F1032" s="167"/>
      <c r="G1032" s="169"/>
    </row>
    <row r="1033" customHeight="1" spans="1:7">
      <c r="A1033" s="141" t="s">
        <v>1104</v>
      </c>
      <c r="B1033" s="142"/>
      <c r="C1033" s="170"/>
      <c r="D1033" s="170"/>
      <c r="E1033" s="170"/>
      <c r="F1033" s="170"/>
      <c r="G1033" s="171"/>
    </row>
    <row r="1034" customHeight="1" spans="1:7">
      <c r="A1034" s="144" t="s">
        <v>34</v>
      </c>
      <c r="B1034" s="61" t="s">
        <v>761</v>
      </c>
      <c r="C1034" s="61"/>
      <c r="D1034" s="61" t="s">
        <v>60</v>
      </c>
      <c r="E1034" s="147" t="s">
        <v>877</v>
      </c>
      <c r="F1034" s="61" t="s">
        <v>878</v>
      </c>
      <c r="G1034" s="138" t="s">
        <v>879</v>
      </c>
    </row>
    <row r="1035" customHeight="1" spans="1:7">
      <c r="A1035" s="144" t="s">
        <v>8</v>
      </c>
      <c r="B1035" s="153" t="s">
        <v>880</v>
      </c>
      <c r="C1035" s="153"/>
      <c r="D1035" s="61"/>
      <c r="E1035" s="147"/>
      <c r="F1035" s="147"/>
      <c r="G1035" s="150">
        <f>G1036+G1044</f>
        <v>7139.5670644544</v>
      </c>
    </row>
    <row r="1036" customHeight="1" spans="1:7">
      <c r="A1036" s="144" t="s">
        <v>881</v>
      </c>
      <c r="B1036" s="153" t="s">
        <v>882</v>
      </c>
      <c r="C1036" s="153"/>
      <c r="D1036" s="61"/>
      <c r="E1036" s="147"/>
      <c r="F1036" s="147"/>
      <c r="G1036" s="150">
        <f>G1037+G1040</f>
        <v>6812.5639928</v>
      </c>
    </row>
    <row r="1037" customHeight="1" spans="1:7">
      <c r="A1037" s="144" t="s">
        <v>17</v>
      </c>
      <c r="B1037" s="153" t="s">
        <v>510</v>
      </c>
      <c r="C1037" s="153"/>
      <c r="D1037" s="61"/>
      <c r="E1037" s="147"/>
      <c r="F1037" s="147"/>
      <c r="G1037" s="150">
        <f>SUM(G1038:G1039)</f>
        <v>2866.523</v>
      </c>
    </row>
    <row r="1038" customHeight="1" spans="1:7">
      <c r="A1038" s="144"/>
      <c r="B1038" s="153" t="s">
        <v>704</v>
      </c>
      <c r="C1038" s="153"/>
      <c r="D1038" s="61" t="s">
        <v>705</v>
      </c>
      <c r="E1038" s="147">
        <v>9.9</v>
      </c>
      <c r="F1038" s="147">
        <f>主要材料预算!$D$19</f>
        <v>8.1</v>
      </c>
      <c r="G1038" s="150">
        <f t="shared" ref="G1038:G1042" si="88">E1038*F1038</f>
        <v>80.19</v>
      </c>
    </row>
    <row r="1039" customHeight="1" spans="1:7">
      <c r="A1039" s="144"/>
      <c r="B1039" s="153" t="s">
        <v>706</v>
      </c>
      <c r="C1039" s="153"/>
      <c r="D1039" s="61" t="s">
        <v>705</v>
      </c>
      <c r="E1039" s="151">
        <v>482.9</v>
      </c>
      <c r="F1039" s="147">
        <f>主要材料预算!$D$20</f>
        <v>5.77</v>
      </c>
      <c r="G1039" s="150">
        <f t="shared" si="88"/>
        <v>2786.333</v>
      </c>
    </row>
    <row r="1040" customHeight="1" spans="1:7">
      <c r="A1040" s="144" t="s">
        <v>19</v>
      </c>
      <c r="B1040" s="148" t="s">
        <v>511</v>
      </c>
      <c r="C1040" s="149"/>
      <c r="D1040" s="61"/>
      <c r="E1040" s="147"/>
      <c r="F1040" s="147"/>
      <c r="G1040" s="150">
        <f>SUM(G1041:G1043)</f>
        <v>3946.0409928</v>
      </c>
    </row>
    <row r="1041" customHeight="1" spans="1:7">
      <c r="A1041" s="144"/>
      <c r="B1041" s="148" t="s">
        <v>1069</v>
      </c>
      <c r="C1041" s="149"/>
      <c r="D1041" s="61" t="s">
        <v>70</v>
      </c>
      <c r="E1041" s="147">
        <v>102</v>
      </c>
      <c r="F1041" s="147">
        <f>主要材料预算!M11</f>
        <v>38.30364</v>
      </c>
      <c r="G1041" s="150">
        <f t="shared" si="88"/>
        <v>3906.97128</v>
      </c>
    </row>
    <row r="1042" customHeight="1" spans="1:7">
      <c r="A1042" s="144"/>
      <c r="B1042" s="180" t="s">
        <v>753</v>
      </c>
      <c r="C1042" s="181"/>
      <c r="D1042" s="61" t="s">
        <v>70</v>
      </c>
      <c r="E1042" s="147"/>
      <c r="F1042" s="147"/>
      <c r="G1042" s="150">
        <f t="shared" si="88"/>
        <v>0</v>
      </c>
    </row>
    <row r="1043" customHeight="1" spans="1:7">
      <c r="A1043" s="144"/>
      <c r="B1043" s="148" t="s">
        <v>893</v>
      </c>
      <c r="C1043" s="149"/>
      <c r="D1043" s="61" t="s">
        <v>894</v>
      </c>
      <c r="E1043" s="147">
        <f>SUM(G1041:G1042)</f>
        <v>3906.97128</v>
      </c>
      <c r="F1043" s="147">
        <v>1</v>
      </c>
      <c r="G1043" s="150">
        <f>E1043*F1043/100</f>
        <v>39.0697128</v>
      </c>
    </row>
    <row r="1044" customHeight="1" spans="1:7">
      <c r="A1044" s="144" t="s">
        <v>905</v>
      </c>
      <c r="B1044" s="153" t="s">
        <v>514</v>
      </c>
      <c r="C1044" s="153"/>
      <c r="D1044" s="61"/>
      <c r="E1044" s="154">
        <f>G1036</f>
        <v>6812.5639928</v>
      </c>
      <c r="F1044" s="155">
        <f>费率表!$E$4</f>
        <v>0.048</v>
      </c>
      <c r="G1044" s="150">
        <f t="shared" ref="G1044:G1046" si="89">E1044*F1044</f>
        <v>327.0030716544</v>
      </c>
    </row>
    <row r="1045" customHeight="1" spans="1:7">
      <c r="A1045" s="144" t="s">
        <v>10</v>
      </c>
      <c r="B1045" s="153" t="s">
        <v>770</v>
      </c>
      <c r="C1045" s="153"/>
      <c r="D1045" s="61"/>
      <c r="E1045" s="147">
        <f>G1035</f>
        <v>7139.5670644544</v>
      </c>
      <c r="F1045" s="156">
        <f>费率表!$E$5</f>
        <v>0.085</v>
      </c>
      <c r="G1045" s="150">
        <f t="shared" si="89"/>
        <v>606.863200478624</v>
      </c>
    </row>
    <row r="1046" customHeight="1" spans="1:7">
      <c r="A1046" s="144" t="s">
        <v>12</v>
      </c>
      <c r="B1046" s="153" t="s">
        <v>771</v>
      </c>
      <c r="C1046" s="153"/>
      <c r="D1046" s="61"/>
      <c r="E1046" s="147">
        <f>G1035+G1045</f>
        <v>7746.43026493302</v>
      </c>
      <c r="F1046" s="156">
        <f>费率表!$E$6</f>
        <v>0.07</v>
      </c>
      <c r="G1046" s="150">
        <f t="shared" si="89"/>
        <v>542.250118545312</v>
      </c>
    </row>
    <row r="1047" customHeight="1" spans="1:7">
      <c r="A1047" s="144" t="s">
        <v>15</v>
      </c>
      <c r="B1047" s="148" t="s">
        <v>517</v>
      </c>
      <c r="C1047" s="149"/>
      <c r="D1047" s="61"/>
      <c r="E1047" s="147"/>
      <c r="F1047" s="157"/>
      <c r="G1047" s="150">
        <f>SUM(G1048:G1049)</f>
        <v>0</v>
      </c>
    </row>
    <row r="1048" customHeight="1" spans="1:7">
      <c r="A1048" s="144"/>
      <c r="B1048" s="148" t="s">
        <v>1069</v>
      </c>
      <c r="C1048" s="149"/>
      <c r="D1048" s="61" t="s">
        <v>70</v>
      </c>
      <c r="E1048" s="147">
        <f>E1041</f>
        <v>102</v>
      </c>
      <c r="F1048" s="147"/>
      <c r="G1048" s="150">
        <f t="shared" ref="G1048:G1051" si="90">E1048*F1048</f>
        <v>0</v>
      </c>
    </row>
    <row r="1049" customHeight="1" spans="1:7">
      <c r="A1049" s="144"/>
      <c r="B1049" s="180" t="s">
        <v>753</v>
      </c>
      <c r="C1049" s="181"/>
      <c r="D1049" s="61" t="s">
        <v>70</v>
      </c>
      <c r="E1049" s="147"/>
      <c r="F1049" s="147"/>
      <c r="G1049" s="150"/>
    </row>
    <row r="1050" customHeight="1" spans="1:7">
      <c r="A1050" s="144" t="s">
        <v>906</v>
      </c>
      <c r="B1050" s="153" t="s">
        <v>772</v>
      </c>
      <c r="C1050" s="153"/>
      <c r="D1050" s="61"/>
      <c r="E1050" s="147">
        <f>G1035+G1045+G1046+G1047</f>
        <v>8288.68038347833</v>
      </c>
      <c r="F1050" s="156">
        <f>费率表!$E$7</f>
        <v>0.09</v>
      </c>
      <c r="G1050" s="150">
        <f t="shared" si="90"/>
        <v>745.98123451305</v>
      </c>
    </row>
    <row r="1051" customHeight="1" spans="1:7">
      <c r="A1051" s="144"/>
      <c r="B1051" s="153" t="s">
        <v>907</v>
      </c>
      <c r="C1051" s="153"/>
      <c r="D1051" s="61"/>
      <c r="E1051" s="147">
        <f>G1035+G1045+G1046+G1047+G1050</f>
        <v>9034.66161799139</v>
      </c>
      <c r="F1051" s="156">
        <f>费率表!$B$19</f>
        <v>0.03</v>
      </c>
      <c r="G1051" s="150">
        <f t="shared" si="90"/>
        <v>271.039848539742</v>
      </c>
    </row>
    <row r="1052" customHeight="1" spans="1:7">
      <c r="A1052" s="158"/>
      <c r="B1052" s="161" t="s">
        <v>39</v>
      </c>
      <c r="C1052" s="161"/>
      <c r="D1052" s="161"/>
      <c r="E1052" s="162"/>
      <c r="F1052" s="161"/>
      <c r="G1052" s="163">
        <f>G1035+G1045+G1046+G1047+G1050+G1051</f>
        <v>9305.70146653113</v>
      </c>
    </row>
    <row r="1054" customHeight="1" spans="1:7">
      <c r="A1054" s="164" t="s">
        <v>868</v>
      </c>
      <c r="B1054" s="164"/>
      <c r="C1054" s="164"/>
      <c r="D1054" s="164"/>
      <c r="E1054" s="164"/>
      <c r="F1054" s="164"/>
      <c r="G1054" s="164"/>
    </row>
    <row r="1055" customHeight="1" spans="1:7">
      <c r="A1055" s="165" t="s">
        <v>869</v>
      </c>
      <c r="B1055" s="129"/>
      <c r="C1055" s="129"/>
      <c r="D1055" s="129" t="s">
        <v>870</v>
      </c>
      <c r="E1055" s="130" t="s">
        <v>1417</v>
      </c>
      <c r="F1055" s="131"/>
      <c r="G1055" s="132"/>
    </row>
    <row r="1056" customHeight="1" spans="1:7">
      <c r="A1056" s="144" t="s">
        <v>507</v>
      </c>
      <c r="B1056" s="166"/>
      <c r="C1056" s="167" t="s">
        <v>1418</v>
      </c>
      <c r="D1056" s="167"/>
      <c r="E1056" s="167"/>
      <c r="F1056" s="61" t="s">
        <v>873</v>
      </c>
      <c r="G1056" s="138" t="s">
        <v>1138</v>
      </c>
    </row>
    <row r="1057" customHeight="1" spans="1:7">
      <c r="A1057" s="168" t="s">
        <v>875</v>
      </c>
      <c r="B1057" s="167"/>
      <c r="C1057" s="167"/>
      <c r="D1057" s="167"/>
      <c r="E1057" s="167"/>
      <c r="F1057" s="167"/>
      <c r="G1057" s="169"/>
    </row>
    <row r="1058" customHeight="1" spans="1:7">
      <c r="A1058" s="141" t="s">
        <v>1104</v>
      </c>
      <c r="B1058" s="142"/>
      <c r="C1058" s="170"/>
      <c r="D1058" s="170"/>
      <c r="E1058" s="170"/>
      <c r="F1058" s="170"/>
      <c r="G1058" s="171"/>
    </row>
    <row r="1059" customHeight="1" spans="1:7">
      <c r="A1059" s="144" t="s">
        <v>34</v>
      </c>
      <c r="B1059" s="61" t="s">
        <v>761</v>
      </c>
      <c r="C1059" s="61"/>
      <c r="D1059" s="61" t="s">
        <v>60</v>
      </c>
      <c r="E1059" s="147" t="s">
        <v>877</v>
      </c>
      <c r="F1059" s="61" t="s">
        <v>878</v>
      </c>
      <c r="G1059" s="138" t="s">
        <v>879</v>
      </c>
    </row>
    <row r="1060" customHeight="1" spans="1:7">
      <c r="A1060" s="144" t="s">
        <v>8</v>
      </c>
      <c r="B1060" s="153" t="s">
        <v>880</v>
      </c>
      <c r="C1060" s="153"/>
      <c r="D1060" s="61"/>
      <c r="E1060" s="147"/>
      <c r="F1060" s="147"/>
      <c r="G1060" s="150">
        <f>G1061+G1069</f>
        <v>10561.663304</v>
      </c>
    </row>
    <row r="1061" customHeight="1" spans="1:7">
      <c r="A1061" s="144" t="s">
        <v>881</v>
      </c>
      <c r="B1061" s="153" t="s">
        <v>882</v>
      </c>
      <c r="C1061" s="153"/>
      <c r="D1061" s="61"/>
      <c r="E1061" s="147"/>
      <c r="F1061" s="147"/>
      <c r="G1061" s="150">
        <f>G1062+G1065</f>
        <v>10077.923</v>
      </c>
    </row>
    <row r="1062" customHeight="1" spans="1:7">
      <c r="A1062" s="144" t="s">
        <v>17</v>
      </c>
      <c r="B1062" s="153" t="s">
        <v>510</v>
      </c>
      <c r="C1062" s="153"/>
      <c r="D1062" s="61"/>
      <c r="E1062" s="147"/>
      <c r="F1062" s="147"/>
      <c r="G1062" s="150">
        <f>SUM(G1063:G1064)</f>
        <v>2866.523</v>
      </c>
    </row>
    <row r="1063" customHeight="1" spans="1:7">
      <c r="A1063" s="144"/>
      <c r="B1063" s="153" t="s">
        <v>704</v>
      </c>
      <c r="C1063" s="153"/>
      <c r="D1063" s="61" t="s">
        <v>705</v>
      </c>
      <c r="E1063" s="147">
        <v>9.9</v>
      </c>
      <c r="F1063" s="147">
        <f>主要材料预算!$D$19</f>
        <v>8.1</v>
      </c>
      <c r="G1063" s="150">
        <f t="shared" ref="G1063:G1067" si="91">E1063*F1063</f>
        <v>80.19</v>
      </c>
    </row>
    <row r="1064" customHeight="1" spans="1:7">
      <c r="A1064" s="144"/>
      <c r="B1064" s="153" t="s">
        <v>706</v>
      </c>
      <c r="C1064" s="153"/>
      <c r="D1064" s="61" t="s">
        <v>705</v>
      </c>
      <c r="E1064" s="151">
        <v>482.9</v>
      </c>
      <c r="F1064" s="147">
        <f>主要材料预算!$D$20</f>
        <v>5.77</v>
      </c>
      <c r="G1064" s="150">
        <f t="shared" si="91"/>
        <v>2786.333</v>
      </c>
    </row>
    <row r="1065" customHeight="1" spans="1:7">
      <c r="A1065" s="144" t="s">
        <v>19</v>
      </c>
      <c r="B1065" s="148" t="s">
        <v>511</v>
      </c>
      <c r="C1065" s="149"/>
      <c r="D1065" s="61"/>
      <c r="E1065" s="147"/>
      <c r="F1065" s="147"/>
      <c r="G1065" s="150">
        <f>SUM(G1066:G1068)</f>
        <v>7211.4</v>
      </c>
    </row>
    <row r="1066" customHeight="1" spans="1:7">
      <c r="A1066" s="144"/>
      <c r="B1066" s="148" t="s">
        <v>1069</v>
      </c>
      <c r="C1066" s="149"/>
      <c r="D1066" s="61" t="s">
        <v>70</v>
      </c>
      <c r="E1066" s="147">
        <v>81.6</v>
      </c>
      <c r="F1066" s="147">
        <f>主要材料预算!$M$10</f>
        <v>70</v>
      </c>
      <c r="G1066" s="150">
        <f t="shared" si="91"/>
        <v>5712</v>
      </c>
    </row>
    <row r="1067" customHeight="1" spans="1:7">
      <c r="A1067" s="144"/>
      <c r="B1067" s="180" t="s">
        <v>753</v>
      </c>
      <c r="C1067" s="181"/>
      <c r="D1067" s="61" t="s">
        <v>70</v>
      </c>
      <c r="E1067" s="147">
        <v>20.4</v>
      </c>
      <c r="F1067" s="147">
        <f>主要材料预算!M7</f>
        <v>70</v>
      </c>
      <c r="G1067" s="150">
        <f t="shared" si="91"/>
        <v>1428</v>
      </c>
    </row>
    <row r="1068" customHeight="1" spans="1:7">
      <c r="A1068" s="144"/>
      <c r="B1068" s="148" t="s">
        <v>893</v>
      </c>
      <c r="C1068" s="149"/>
      <c r="D1068" s="61" t="s">
        <v>894</v>
      </c>
      <c r="E1068" s="147">
        <f>SUM(G1066:G1067)</f>
        <v>7140</v>
      </c>
      <c r="F1068" s="147">
        <v>1</v>
      </c>
      <c r="G1068" s="150">
        <f>E1068*F1068/100</f>
        <v>71.4</v>
      </c>
    </row>
    <row r="1069" customHeight="1" spans="1:7">
      <c r="A1069" s="144" t="s">
        <v>905</v>
      </c>
      <c r="B1069" s="153" t="s">
        <v>514</v>
      </c>
      <c r="C1069" s="153"/>
      <c r="D1069" s="61"/>
      <c r="E1069" s="154">
        <f>G1061</f>
        <v>10077.923</v>
      </c>
      <c r="F1069" s="155">
        <f>费率表!$E$4</f>
        <v>0.048</v>
      </c>
      <c r="G1069" s="150">
        <f t="shared" ref="G1069:G1071" si="92">E1069*F1069</f>
        <v>483.740304</v>
      </c>
    </row>
    <row r="1070" customHeight="1" spans="1:7">
      <c r="A1070" s="144" t="s">
        <v>10</v>
      </c>
      <c r="B1070" s="153" t="s">
        <v>770</v>
      </c>
      <c r="C1070" s="153"/>
      <c r="D1070" s="61"/>
      <c r="E1070" s="147">
        <f>G1060</f>
        <v>10561.663304</v>
      </c>
      <c r="F1070" s="156">
        <f>费率表!$E$5</f>
        <v>0.085</v>
      </c>
      <c r="G1070" s="150">
        <f t="shared" si="92"/>
        <v>897.74138084</v>
      </c>
    </row>
    <row r="1071" customHeight="1" spans="1:7">
      <c r="A1071" s="144" t="s">
        <v>12</v>
      </c>
      <c r="B1071" s="153" t="s">
        <v>771</v>
      </c>
      <c r="C1071" s="153"/>
      <c r="D1071" s="61"/>
      <c r="E1071" s="147">
        <f>G1060+G1070</f>
        <v>11459.40468484</v>
      </c>
      <c r="F1071" s="156">
        <f>费率表!$E$6</f>
        <v>0.07</v>
      </c>
      <c r="G1071" s="150">
        <f t="shared" si="92"/>
        <v>802.1583279388</v>
      </c>
    </row>
    <row r="1072" customHeight="1" spans="1:7">
      <c r="A1072" s="144" t="s">
        <v>15</v>
      </c>
      <c r="B1072" s="148" t="s">
        <v>517</v>
      </c>
      <c r="C1072" s="149"/>
      <c r="D1072" s="61"/>
      <c r="E1072" s="147"/>
      <c r="F1072" s="157"/>
      <c r="G1072" s="150">
        <f>SUM(G1073:G1074)</f>
        <v>2186.23536</v>
      </c>
    </row>
    <row r="1073" customHeight="1" spans="1:7">
      <c r="A1073" s="144"/>
      <c r="B1073" s="148" t="s">
        <v>1069</v>
      </c>
      <c r="C1073" s="149"/>
      <c r="D1073" s="61" t="s">
        <v>70</v>
      </c>
      <c r="E1073" s="147">
        <f>E1066</f>
        <v>81.6</v>
      </c>
      <c r="F1073" s="147">
        <f>主要材料预算!$N$9</f>
        <v>26.7921</v>
      </c>
      <c r="G1073" s="150">
        <f t="shared" ref="G1073:G1076" si="93">E1073*F1073</f>
        <v>2186.23536</v>
      </c>
    </row>
    <row r="1074" customHeight="1" spans="1:7">
      <c r="A1074" s="144"/>
      <c r="B1074" s="180" t="s">
        <v>753</v>
      </c>
      <c r="C1074" s="181"/>
      <c r="D1074" s="61" t="s">
        <v>70</v>
      </c>
      <c r="E1074" s="147">
        <f>E1067</f>
        <v>20.4</v>
      </c>
      <c r="F1074" s="147"/>
      <c r="G1074" s="150">
        <f t="shared" si="93"/>
        <v>0</v>
      </c>
    </row>
    <row r="1075" customHeight="1" spans="1:7">
      <c r="A1075" s="144" t="s">
        <v>906</v>
      </c>
      <c r="B1075" s="153" t="s">
        <v>772</v>
      </c>
      <c r="C1075" s="153"/>
      <c r="D1075" s="61"/>
      <c r="E1075" s="147">
        <f>G1060+G1070+G1071+G1072</f>
        <v>14447.7983727788</v>
      </c>
      <c r="F1075" s="156">
        <f>费率表!$E$7</f>
        <v>0.09</v>
      </c>
      <c r="G1075" s="150">
        <f t="shared" si="93"/>
        <v>1300.30185355009</v>
      </c>
    </row>
    <row r="1076" customHeight="1" spans="1:7">
      <c r="A1076" s="144"/>
      <c r="B1076" s="153" t="s">
        <v>907</v>
      </c>
      <c r="C1076" s="153"/>
      <c r="D1076" s="61"/>
      <c r="E1076" s="147">
        <f>G1060+G1070+G1071+G1072+G1075</f>
        <v>15748.1002263289</v>
      </c>
      <c r="F1076" s="156">
        <f>费率表!$B$19</f>
        <v>0.03</v>
      </c>
      <c r="G1076" s="150">
        <f t="shared" si="93"/>
        <v>472.443006789867</v>
      </c>
    </row>
    <row r="1077" customHeight="1" spans="1:7">
      <c r="A1077" s="158"/>
      <c r="B1077" s="161" t="s">
        <v>39</v>
      </c>
      <c r="C1077" s="161"/>
      <c r="D1077" s="161"/>
      <c r="E1077" s="162"/>
      <c r="F1077" s="161"/>
      <c r="G1077" s="163">
        <f>G1060+G1070+G1071+G1072+G1075+G1076</f>
        <v>16220.5432331188</v>
      </c>
    </row>
    <row r="1079" customHeight="1" spans="1:7">
      <c r="A1079" s="285" t="s">
        <v>868</v>
      </c>
      <c r="B1079" s="285"/>
      <c r="C1079" s="285"/>
      <c r="D1079" s="285"/>
      <c r="E1079" s="285"/>
      <c r="F1079" s="285"/>
      <c r="G1079" s="285"/>
    </row>
    <row r="1080" customHeight="1" spans="1:7">
      <c r="A1080" s="286" t="s">
        <v>869</v>
      </c>
      <c r="B1080" s="287"/>
      <c r="C1080" s="200"/>
      <c r="D1080" s="200" t="s">
        <v>870</v>
      </c>
      <c r="E1080" s="201" t="s">
        <v>1419</v>
      </c>
      <c r="F1080" s="202"/>
      <c r="G1080" s="203"/>
    </row>
    <row r="1081" customHeight="1" spans="1:7">
      <c r="A1081" s="288" t="s">
        <v>507</v>
      </c>
      <c r="B1081" s="289"/>
      <c r="C1081" s="290" t="s">
        <v>1420</v>
      </c>
      <c r="D1081" s="291"/>
      <c r="E1081" s="292"/>
      <c r="F1081" s="54" t="s">
        <v>873</v>
      </c>
      <c r="G1081" s="207" t="s">
        <v>1043</v>
      </c>
    </row>
    <row r="1082" customHeight="1" spans="1:7">
      <c r="A1082" s="293" t="s">
        <v>875</v>
      </c>
      <c r="B1082" s="291"/>
      <c r="C1082" s="291"/>
      <c r="D1082" s="291"/>
      <c r="E1082" s="291"/>
      <c r="F1082" s="291"/>
      <c r="G1082" s="294"/>
    </row>
    <row r="1083" customHeight="1" spans="1:7">
      <c r="A1083" s="210" t="s">
        <v>1421</v>
      </c>
      <c r="B1083" s="211"/>
      <c r="C1083" s="211"/>
      <c r="D1083" s="211"/>
      <c r="E1083" s="211"/>
      <c r="F1083" s="211"/>
      <c r="G1083" s="295"/>
    </row>
    <row r="1084" customHeight="1" spans="1:7">
      <c r="A1084" s="204" t="s">
        <v>34</v>
      </c>
      <c r="B1084" s="54" t="s">
        <v>761</v>
      </c>
      <c r="C1084" s="54"/>
      <c r="D1084" s="54" t="s">
        <v>60</v>
      </c>
      <c r="E1084" s="214" t="s">
        <v>877</v>
      </c>
      <c r="F1084" s="54" t="s">
        <v>878</v>
      </c>
      <c r="G1084" s="207" t="s">
        <v>879</v>
      </c>
    </row>
    <row r="1085" customHeight="1" spans="1:7">
      <c r="A1085" s="204" t="s">
        <v>8</v>
      </c>
      <c r="B1085" s="215" t="s">
        <v>880</v>
      </c>
      <c r="C1085" s="215"/>
      <c r="D1085" s="54"/>
      <c r="E1085" s="214"/>
      <c r="F1085" s="214"/>
      <c r="G1085" s="216">
        <f>G1086+G1096</f>
        <v>1061.01170400541</v>
      </c>
    </row>
    <row r="1086" customHeight="1" spans="1:7">
      <c r="A1086" s="204" t="s">
        <v>881</v>
      </c>
      <c r="B1086" s="215" t="s">
        <v>882</v>
      </c>
      <c r="C1086" s="215"/>
      <c r="D1086" s="54"/>
      <c r="E1086" s="214"/>
      <c r="F1086" s="214"/>
      <c r="G1086" s="216">
        <f>G1087+G1090+G1093</f>
        <v>1012.41574809677</v>
      </c>
    </row>
    <row r="1087" customHeight="1" spans="1:7">
      <c r="A1087" s="204" t="s">
        <v>17</v>
      </c>
      <c r="B1087" s="215" t="s">
        <v>510</v>
      </c>
      <c r="C1087" s="215"/>
      <c r="D1087" s="54"/>
      <c r="E1087" s="214"/>
      <c r="F1087" s="214"/>
      <c r="G1087" s="216">
        <f>SUM(G1088:G1089)</f>
        <v>633.227</v>
      </c>
    </row>
    <row r="1088" customHeight="1" spans="1:7">
      <c r="A1088" s="204"/>
      <c r="B1088" s="215" t="s">
        <v>704</v>
      </c>
      <c r="C1088" s="215"/>
      <c r="D1088" s="54" t="s">
        <v>705</v>
      </c>
      <c r="E1088" s="214">
        <v>43.2</v>
      </c>
      <c r="F1088" s="214">
        <f>主要材料预算!$D$19</f>
        <v>8.1</v>
      </c>
      <c r="G1088" s="216">
        <f t="shared" ref="G1088:G1091" si="94">E1088*F1088</f>
        <v>349.92</v>
      </c>
    </row>
    <row r="1089" customHeight="1" spans="1:7">
      <c r="A1089" s="204"/>
      <c r="B1089" s="215" t="s">
        <v>706</v>
      </c>
      <c r="C1089" s="215"/>
      <c r="D1089" s="54" t="s">
        <v>705</v>
      </c>
      <c r="E1089" s="217">
        <v>49.1</v>
      </c>
      <c r="F1089" s="214">
        <f>主要材料预算!$D$20</f>
        <v>5.77</v>
      </c>
      <c r="G1089" s="216">
        <f t="shared" si="94"/>
        <v>283.307</v>
      </c>
    </row>
    <row r="1090" customHeight="1" spans="1:7">
      <c r="A1090" s="204" t="s">
        <v>19</v>
      </c>
      <c r="B1090" s="218" t="s">
        <v>511</v>
      </c>
      <c r="C1090" s="219"/>
      <c r="D1090" s="54"/>
      <c r="E1090" s="214"/>
      <c r="F1090" s="214"/>
      <c r="G1090" s="216">
        <f>SUM(G1091:G1092)</f>
        <v>359.3005398</v>
      </c>
    </row>
    <row r="1091" customHeight="1" spans="1:7">
      <c r="A1091" s="204"/>
      <c r="B1091" s="218" t="s">
        <v>1422</v>
      </c>
      <c r="C1091" s="219"/>
      <c r="D1091" s="54" t="s">
        <v>70</v>
      </c>
      <c r="E1091" s="214">
        <v>2.3</v>
      </c>
      <c r="F1091" s="214">
        <f>混凝土单价计算表!$M$14</f>
        <v>144.64595</v>
      </c>
      <c r="G1091" s="216">
        <f t="shared" si="94"/>
        <v>332.685685</v>
      </c>
    </row>
    <row r="1092" customHeight="1" spans="1:7">
      <c r="A1092" s="204"/>
      <c r="B1092" s="215" t="s">
        <v>893</v>
      </c>
      <c r="C1092" s="215"/>
      <c r="D1092" s="54" t="s">
        <v>894</v>
      </c>
      <c r="E1092" s="214">
        <f>G1091</f>
        <v>332.685685</v>
      </c>
      <c r="F1092" s="229">
        <v>8</v>
      </c>
      <c r="G1092" s="216">
        <f>E1092*F1092/100</f>
        <v>26.6148548</v>
      </c>
    </row>
    <row r="1093" customHeight="1" spans="1:7">
      <c r="A1093" s="204" t="s">
        <v>21</v>
      </c>
      <c r="B1093" s="215" t="s">
        <v>895</v>
      </c>
      <c r="C1093" s="215"/>
      <c r="D1093" s="215"/>
      <c r="E1093" s="214"/>
      <c r="F1093" s="214"/>
      <c r="G1093" s="216">
        <f>SUM(G1094:G1095)</f>
        <v>19.888208296769</v>
      </c>
    </row>
    <row r="1094" customHeight="1" spans="1:7">
      <c r="A1094" s="204"/>
      <c r="B1094" s="218" t="s">
        <v>1423</v>
      </c>
      <c r="C1094" s="219"/>
      <c r="D1094" s="54" t="s">
        <v>896</v>
      </c>
      <c r="E1094" s="214">
        <v>0.41</v>
      </c>
      <c r="F1094" s="214">
        <f>施工机械台时费!$E$21</f>
        <v>37.4199521340247</v>
      </c>
      <c r="G1094" s="216">
        <f t="shared" ref="G1094:G1098" si="95">E1094*F1094</f>
        <v>15.3421803749501</v>
      </c>
    </row>
    <row r="1095" customHeight="1" spans="1:7">
      <c r="A1095" s="204"/>
      <c r="B1095" s="218" t="s">
        <v>901</v>
      </c>
      <c r="C1095" s="219"/>
      <c r="D1095" s="54" t="s">
        <v>896</v>
      </c>
      <c r="E1095" s="214">
        <v>5.59</v>
      </c>
      <c r="F1095" s="214">
        <f>施工机械台时费!$E$36</f>
        <v>0.813242919824491</v>
      </c>
      <c r="G1095" s="216">
        <f t="shared" si="95"/>
        <v>4.54602792181891</v>
      </c>
    </row>
    <row r="1096" customHeight="1" spans="1:7">
      <c r="A1096" s="204" t="s">
        <v>905</v>
      </c>
      <c r="B1096" s="215" t="s">
        <v>514</v>
      </c>
      <c r="C1096" s="215"/>
      <c r="D1096" s="54"/>
      <c r="E1096" s="220">
        <f>G1086</f>
        <v>1012.41574809677</v>
      </c>
      <c r="F1096" s="221">
        <f>费率表!$F$4</f>
        <v>0.048</v>
      </c>
      <c r="G1096" s="216">
        <f t="shared" si="95"/>
        <v>48.5959559086449</v>
      </c>
    </row>
    <row r="1097" customHeight="1" spans="1:7">
      <c r="A1097" s="204" t="s">
        <v>10</v>
      </c>
      <c r="B1097" s="215" t="s">
        <v>770</v>
      </c>
      <c r="C1097" s="215"/>
      <c r="D1097" s="54"/>
      <c r="E1097" s="214">
        <f>G1085</f>
        <v>1061.01170400541</v>
      </c>
      <c r="F1097" s="222">
        <f>费率表!$F$5</f>
        <v>0.085</v>
      </c>
      <c r="G1097" s="216">
        <f t="shared" si="95"/>
        <v>90.1859948404602</v>
      </c>
    </row>
    <row r="1098" customHeight="1" spans="1:7">
      <c r="A1098" s="204" t="s">
        <v>12</v>
      </c>
      <c r="B1098" s="215" t="s">
        <v>771</v>
      </c>
      <c r="C1098" s="215"/>
      <c r="D1098" s="54"/>
      <c r="E1098" s="214">
        <f>G1085+G1097</f>
        <v>1151.19769884587</v>
      </c>
      <c r="F1098" s="222">
        <f>费率表!$F$6</f>
        <v>0.07</v>
      </c>
      <c r="G1098" s="216">
        <f t="shared" si="95"/>
        <v>80.5838389192112</v>
      </c>
    </row>
    <row r="1099" customHeight="1" spans="1:7">
      <c r="A1099" s="204" t="s">
        <v>15</v>
      </c>
      <c r="B1099" s="218" t="s">
        <v>517</v>
      </c>
      <c r="C1099" s="219"/>
      <c r="D1099" s="54"/>
      <c r="E1099" s="214"/>
      <c r="F1099" s="230"/>
      <c r="G1099" s="216">
        <f>SUM(G1100:G1101)</f>
        <v>83.9611603406</v>
      </c>
    </row>
    <row r="1100" customHeight="1" spans="1:7">
      <c r="A1100" s="204"/>
      <c r="B1100" s="218" t="s">
        <v>729</v>
      </c>
      <c r="C1100" s="219"/>
      <c r="D1100" s="54" t="s">
        <v>70</v>
      </c>
      <c r="E1100" s="214">
        <f>E1091*混凝土单价计算表!$E$14</f>
        <v>0.60329</v>
      </c>
      <c r="F1100" s="214">
        <f>主要材料预算!$N$5</f>
        <v>139.17214</v>
      </c>
      <c r="G1100" s="216">
        <f t="shared" ref="G1100:G1103" si="96">E1100*F1100</f>
        <v>83.9611603406</v>
      </c>
    </row>
    <row r="1101" customHeight="1" spans="1:7">
      <c r="A1101" s="204"/>
      <c r="B1101" s="218" t="s">
        <v>684</v>
      </c>
      <c r="C1101" s="219"/>
      <c r="D1101" s="54" t="s">
        <v>70</v>
      </c>
      <c r="E1101" s="214">
        <f>E1091*混凝土单价计算表!$G$14</f>
        <v>2.53</v>
      </c>
      <c r="F1101" s="214"/>
      <c r="G1101" s="216">
        <f t="shared" si="96"/>
        <v>0</v>
      </c>
    </row>
    <row r="1102" customHeight="1" spans="1:7">
      <c r="A1102" s="204" t="s">
        <v>906</v>
      </c>
      <c r="B1102" s="215" t="s">
        <v>772</v>
      </c>
      <c r="C1102" s="215"/>
      <c r="D1102" s="54"/>
      <c r="E1102" s="214">
        <f>G1085+G1097+G1098+G1099</f>
        <v>1315.74269810568</v>
      </c>
      <c r="F1102" s="222">
        <f>费率表!$F$7</f>
        <v>0.09</v>
      </c>
      <c r="G1102" s="216">
        <f t="shared" si="96"/>
        <v>118.416842829511</v>
      </c>
    </row>
    <row r="1103" customHeight="1" spans="1:7">
      <c r="A1103" s="204"/>
      <c r="B1103" s="215" t="s">
        <v>907</v>
      </c>
      <c r="C1103" s="215"/>
      <c r="D1103" s="54"/>
      <c r="E1103" s="214">
        <f>G1085+G1097+G1098+G1099+G1102</f>
        <v>1434.15954093519</v>
      </c>
      <c r="F1103" s="222">
        <f>费率表!$B$19</f>
        <v>0.03</v>
      </c>
      <c r="G1103" s="216">
        <f t="shared" si="96"/>
        <v>43.0247862280558</v>
      </c>
    </row>
    <row r="1104" customHeight="1" spans="1:7">
      <c r="A1104" s="223"/>
      <c r="B1104" s="224" t="s">
        <v>39</v>
      </c>
      <c r="C1104" s="224"/>
      <c r="D1104" s="224"/>
      <c r="E1104" s="225"/>
      <c r="F1104" s="224"/>
      <c r="G1104" s="226">
        <f>G1085+G1097+G1098+G1099+G1102+G1103</f>
        <v>1477.18432716325</v>
      </c>
    </row>
    <row r="1106" customHeight="1" spans="1:7">
      <c r="A1106" s="198" t="s">
        <v>868</v>
      </c>
      <c r="B1106" s="198"/>
      <c r="C1106" s="198"/>
      <c r="D1106" s="198"/>
      <c r="E1106" s="198"/>
      <c r="F1106" s="198"/>
      <c r="G1106" s="198"/>
    </row>
    <row r="1107" customHeight="1" spans="1:7">
      <c r="A1107" s="199" t="s">
        <v>869</v>
      </c>
      <c r="B1107" s="200"/>
      <c r="C1107" s="200"/>
      <c r="D1107" s="200" t="s">
        <v>870</v>
      </c>
      <c r="E1107" s="201" t="s">
        <v>1095</v>
      </c>
      <c r="F1107" s="202"/>
      <c r="G1107" s="203"/>
    </row>
    <row r="1108" customHeight="1" spans="1:7">
      <c r="A1108" s="204" t="s">
        <v>507</v>
      </c>
      <c r="B1108" s="205"/>
      <c r="C1108" s="206" t="s">
        <v>1424</v>
      </c>
      <c r="D1108" s="206"/>
      <c r="E1108" s="206"/>
      <c r="F1108" s="54" t="s">
        <v>873</v>
      </c>
      <c r="G1108" s="207" t="s">
        <v>874</v>
      </c>
    </row>
    <row r="1109" customHeight="1" spans="1:7">
      <c r="A1109" s="208" t="s">
        <v>1097</v>
      </c>
      <c r="B1109" s="206"/>
      <c r="C1109" s="206"/>
      <c r="D1109" s="206"/>
      <c r="E1109" s="206"/>
      <c r="F1109" s="206"/>
      <c r="G1109" s="209"/>
    </row>
    <row r="1110" customHeight="1" spans="1:7">
      <c r="A1110" s="210" t="s">
        <v>1098</v>
      </c>
      <c r="B1110" s="211"/>
      <c r="C1110" s="212"/>
      <c r="D1110" s="212"/>
      <c r="E1110" s="212"/>
      <c r="F1110" s="212"/>
      <c r="G1110" s="213"/>
    </row>
    <row r="1111" customHeight="1" spans="1:7">
      <c r="A1111" s="204" t="s">
        <v>34</v>
      </c>
      <c r="B1111" s="54" t="s">
        <v>761</v>
      </c>
      <c r="C1111" s="54"/>
      <c r="D1111" s="54" t="s">
        <v>60</v>
      </c>
      <c r="E1111" s="214" t="s">
        <v>877</v>
      </c>
      <c r="F1111" s="54" t="s">
        <v>878</v>
      </c>
      <c r="G1111" s="207" t="s">
        <v>879</v>
      </c>
    </row>
    <row r="1112" customHeight="1" spans="1:7">
      <c r="A1112" s="204" t="s">
        <v>8</v>
      </c>
      <c r="B1112" s="215" t="s">
        <v>880</v>
      </c>
      <c r="C1112" s="215"/>
      <c r="D1112" s="54"/>
      <c r="E1112" s="214"/>
      <c r="F1112" s="214"/>
      <c r="G1112" s="216">
        <f>G1113+G1123</f>
        <v>2505.60629331552</v>
      </c>
    </row>
    <row r="1113" customHeight="1" spans="1:7">
      <c r="A1113" s="204" t="s">
        <v>881</v>
      </c>
      <c r="B1113" s="215" t="s">
        <v>882</v>
      </c>
      <c r="C1113" s="215"/>
      <c r="D1113" s="54"/>
      <c r="E1113" s="214"/>
      <c r="F1113" s="214"/>
      <c r="G1113" s="216">
        <f>G1114+G1117+G1119</f>
        <v>2390.84569972855</v>
      </c>
    </row>
    <row r="1114" customHeight="1" spans="1:7">
      <c r="A1114" s="204" t="s">
        <v>17</v>
      </c>
      <c r="B1114" s="215" t="s">
        <v>510</v>
      </c>
      <c r="C1114" s="215"/>
      <c r="D1114" s="54"/>
      <c r="E1114" s="214"/>
      <c r="F1114" s="214"/>
      <c r="G1114" s="216">
        <f>SUM(G1115:G1116)</f>
        <v>105.014</v>
      </c>
    </row>
    <row r="1115" customHeight="1" spans="1:7">
      <c r="A1115" s="204"/>
      <c r="B1115" s="215" t="s">
        <v>704</v>
      </c>
      <c r="C1115" s="215"/>
      <c r="D1115" s="54" t="s">
        <v>705</v>
      </c>
      <c r="E1115" s="214"/>
      <c r="F1115" s="214"/>
      <c r="G1115" s="216"/>
    </row>
    <row r="1116" customHeight="1" spans="1:7">
      <c r="A1116" s="204"/>
      <c r="B1116" s="215" t="s">
        <v>706</v>
      </c>
      <c r="C1116" s="215"/>
      <c r="D1116" s="54" t="s">
        <v>705</v>
      </c>
      <c r="E1116" s="217">
        <v>18.2</v>
      </c>
      <c r="F1116" s="214">
        <f>主要材料预算!$D$20</f>
        <v>5.77</v>
      </c>
      <c r="G1116" s="216">
        <f>E1116*F1116</f>
        <v>105.014</v>
      </c>
    </row>
    <row r="1117" customHeight="1" spans="1:7">
      <c r="A1117" s="204" t="s">
        <v>19</v>
      </c>
      <c r="B1117" s="218" t="s">
        <v>511</v>
      </c>
      <c r="C1117" s="219"/>
      <c r="D1117" s="54"/>
      <c r="E1117" s="214"/>
      <c r="F1117" s="214"/>
      <c r="G1117" s="216">
        <f>G1118</f>
        <v>46.8793274456578</v>
      </c>
    </row>
    <row r="1118" customHeight="1" spans="1:7">
      <c r="A1118" s="204"/>
      <c r="B1118" s="215" t="s">
        <v>1008</v>
      </c>
      <c r="C1118" s="215"/>
      <c r="D1118" s="54" t="s">
        <v>894</v>
      </c>
      <c r="E1118" s="214">
        <f>G1114+G1119</f>
        <v>2343.96637228289</v>
      </c>
      <c r="F1118" s="229">
        <v>2</v>
      </c>
      <c r="G1118" s="216">
        <f>E1118*F1118/100</f>
        <v>46.8793274456578</v>
      </c>
    </row>
    <row r="1119" customHeight="1" spans="1:7">
      <c r="A1119" s="204" t="s">
        <v>21</v>
      </c>
      <c r="B1119" s="215" t="s">
        <v>895</v>
      </c>
      <c r="C1119" s="215"/>
      <c r="D1119" s="215"/>
      <c r="E1119" s="214"/>
      <c r="F1119" s="214"/>
      <c r="G1119" s="216">
        <f>SUM(G1120:G1122)</f>
        <v>2238.95237228289</v>
      </c>
    </row>
    <row r="1120" customHeight="1" spans="1:7">
      <c r="A1120" s="204"/>
      <c r="B1120" s="218" t="s">
        <v>1353</v>
      </c>
      <c r="C1120" s="219"/>
      <c r="D1120" s="54" t="s">
        <v>896</v>
      </c>
      <c r="E1120" s="214">
        <f>2.74*1.24</f>
        <v>3.3976</v>
      </c>
      <c r="F1120" s="214">
        <f>施工机械台时费!$E$6</f>
        <v>122.94140686079</v>
      </c>
      <c r="G1120" s="216">
        <f t="shared" ref="G1120:G1125" si="97">E1120*F1120</f>
        <v>417.705723950219</v>
      </c>
    </row>
    <row r="1121" customHeight="1" spans="1:7">
      <c r="A1121" s="204"/>
      <c r="B1121" s="218" t="s">
        <v>1100</v>
      </c>
      <c r="C1121" s="219"/>
      <c r="D1121" s="54" t="s">
        <v>896</v>
      </c>
      <c r="E1121" s="214">
        <f>1.37</f>
        <v>1.37</v>
      </c>
      <c r="F1121" s="214">
        <f>施工机械台时费!$E$13</f>
        <v>89.4423446350219</v>
      </c>
      <c r="G1121" s="216">
        <f t="shared" si="97"/>
        <v>122.53601214998</v>
      </c>
    </row>
    <row r="1122" customHeight="1" spans="1:7">
      <c r="A1122" s="204"/>
      <c r="B1122" s="218" t="s">
        <v>1425</v>
      </c>
      <c r="C1122" s="219"/>
      <c r="D1122" s="54" t="s">
        <v>896</v>
      </c>
      <c r="E1122" s="214">
        <f>32.67</f>
        <v>32.67</v>
      </c>
      <c r="F1122" s="214">
        <f>施工机械台时费!$E$31</f>
        <v>51.9960402871959</v>
      </c>
      <c r="G1122" s="216">
        <f t="shared" si="97"/>
        <v>1698.71063618269</v>
      </c>
    </row>
    <row r="1123" customHeight="1" spans="1:7">
      <c r="A1123" s="204" t="s">
        <v>905</v>
      </c>
      <c r="B1123" s="215" t="s">
        <v>514</v>
      </c>
      <c r="C1123" s="215"/>
      <c r="D1123" s="54"/>
      <c r="E1123" s="220">
        <f>G1113</f>
        <v>2390.84569972855</v>
      </c>
      <c r="F1123" s="221">
        <f>费率表!$D$4</f>
        <v>0.048</v>
      </c>
      <c r="G1123" s="216">
        <f t="shared" si="97"/>
        <v>114.76059358697</v>
      </c>
    </row>
    <row r="1124" customHeight="1" spans="1:7">
      <c r="A1124" s="204" t="s">
        <v>10</v>
      </c>
      <c r="B1124" s="215" t="s">
        <v>770</v>
      </c>
      <c r="C1124" s="215"/>
      <c r="D1124" s="54"/>
      <c r="E1124" s="214">
        <f>G1112</f>
        <v>2505.60629331552</v>
      </c>
      <c r="F1124" s="222">
        <f>费率表!$D$5</f>
        <v>0.085</v>
      </c>
      <c r="G1124" s="216">
        <f t="shared" si="97"/>
        <v>212.976534931819</v>
      </c>
    </row>
    <row r="1125" customHeight="1" spans="1:7">
      <c r="A1125" s="204" t="s">
        <v>12</v>
      </c>
      <c r="B1125" s="215" t="s">
        <v>771</v>
      </c>
      <c r="C1125" s="215"/>
      <c r="D1125" s="54"/>
      <c r="E1125" s="214">
        <f>G1112+G1124</f>
        <v>2718.58282824733</v>
      </c>
      <c r="F1125" s="222">
        <f>费率表!$D$6</f>
        <v>0.07</v>
      </c>
      <c r="G1125" s="216">
        <f t="shared" si="97"/>
        <v>190.300797977313</v>
      </c>
    </row>
    <row r="1126" customHeight="1" spans="1:7">
      <c r="A1126" s="204" t="s">
        <v>15</v>
      </c>
      <c r="B1126" s="218" t="s">
        <v>517</v>
      </c>
      <c r="C1126" s="219"/>
      <c r="D1126" s="54"/>
      <c r="E1126" s="214"/>
      <c r="F1126" s="230"/>
      <c r="G1126" s="216">
        <f>G1127</f>
        <v>2139.371176594</v>
      </c>
    </row>
    <row r="1127" customHeight="1" spans="1:7">
      <c r="A1127" s="204"/>
      <c r="B1127" s="218" t="s">
        <v>694</v>
      </c>
      <c r="C1127" s="219"/>
      <c r="D1127" s="54" t="s">
        <v>695</v>
      </c>
      <c r="E1127" s="214">
        <f>E1120*施工机械台时费!$L$6+维修!$E$387*施工机械台时费!$L$13+维修!E1122*施工机械台时费!$L$31</f>
        <v>352.93716</v>
      </c>
      <c r="F1127" s="214">
        <f>主要材料预算!$N$13</f>
        <v>6.0616206482593</v>
      </c>
      <c r="G1127" s="216">
        <f t="shared" ref="G1127:G1129" si="98">E1127*F1127</f>
        <v>2139.371176594</v>
      </c>
    </row>
    <row r="1128" customHeight="1" spans="1:7">
      <c r="A1128" s="204" t="s">
        <v>906</v>
      </c>
      <c r="B1128" s="215" t="s">
        <v>772</v>
      </c>
      <c r="C1128" s="215"/>
      <c r="D1128" s="54"/>
      <c r="E1128" s="214">
        <f>G1112+G1124+G1125+G1126</f>
        <v>5048.25480281865</v>
      </c>
      <c r="F1128" s="222">
        <f>费率表!$D$7</f>
        <v>0.09</v>
      </c>
      <c r="G1128" s="216">
        <f t="shared" si="98"/>
        <v>454.342932253678</v>
      </c>
    </row>
    <row r="1129" customHeight="1" spans="1:7">
      <c r="A1129" s="204"/>
      <c r="B1129" s="215" t="s">
        <v>907</v>
      </c>
      <c r="C1129" s="215"/>
      <c r="D1129" s="54"/>
      <c r="E1129" s="214">
        <f>G1112+G1124+G1125+G1126+G1128</f>
        <v>5502.59773507233</v>
      </c>
      <c r="F1129" s="222">
        <f>费率表!$B$19</f>
        <v>0.03</v>
      </c>
      <c r="G1129" s="216">
        <f t="shared" si="98"/>
        <v>165.07793205217</v>
      </c>
    </row>
    <row r="1130" customHeight="1" spans="1:7">
      <c r="A1130" s="223"/>
      <c r="B1130" s="224" t="s">
        <v>39</v>
      </c>
      <c r="C1130" s="224"/>
      <c r="D1130" s="224"/>
      <c r="E1130" s="225"/>
      <c r="F1130" s="224"/>
      <c r="G1130" s="226">
        <f>G1112+G1124+G1125+G1126+G1128+G1129</f>
        <v>5667.6756671245</v>
      </c>
    </row>
    <row r="1132" customHeight="1" spans="1:7">
      <c r="A1132" s="164" t="s">
        <v>868</v>
      </c>
      <c r="B1132" s="164"/>
      <c r="C1132" s="164"/>
      <c r="D1132" s="164"/>
      <c r="E1132" s="164"/>
      <c r="F1132" s="164"/>
      <c r="G1132" s="164"/>
    </row>
    <row r="1133" customHeight="1" spans="1:7">
      <c r="A1133" s="165" t="s">
        <v>869</v>
      </c>
      <c r="B1133" s="129"/>
      <c r="C1133" s="129"/>
      <c r="D1133" s="129" t="s">
        <v>870</v>
      </c>
      <c r="E1133" s="130" t="s">
        <v>1135</v>
      </c>
      <c r="F1133" s="131"/>
      <c r="G1133" s="132"/>
    </row>
    <row r="1134" customHeight="1" spans="1:7">
      <c r="A1134" s="144" t="s">
        <v>507</v>
      </c>
      <c r="B1134" s="166"/>
      <c r="C1134" s="167" t="s">
        <v>1137</v>
      </c>
      <c r="D1134" s="167"/>
      <c r="E1134" s="167"/>
      <c r="F1134" s="61" t="s">
        <v>873</v>
      </c>
      <c r="G1134" s="138" t="s">
        <v>1138</v>
      </c>
    </row>
    <row r="1135" customHeight="1" spans="1:7">
      <c r="A1135" s="168" t="s">
        <v>1139</v>
      </c>
      <c r="B1135" s="167"/>
      <c r="C1135" s="167"/>
      <c r="D1135" s="167"/>
      <c r="E1135" s="167"/>
      <c r="F1135" s="167"/>
      <c r="G1135" s="169"/>
    </row>
    <row r="1136" customHeight="1" spans="1:7">
      <c r="A1136" s="141" t="s">
        <v>1140</v>
      </c>
      <c r="B1136" s="142"/>
      <c r="C1136" s="170"/>
      <c r="D1136" s="170"/>
      <c r="E1136" s="170"/>
      <c r="F1136" s="170"/>
      <c r="G1136" s="171"/>
    </row>
    <row r="1137" customHeight="1" spans="1:7">
      <c r="A1137" s="144" t="s">
        <v>34</v>
      </c>
      <c r="B1137" s="61" t="s">
        <v>761</v>
      </c>
      <c r="C1137" s="61"/>
      <c r="D1137" s="61" t="s">
        <v>60</v>
      </c>
      <c r="E1137" s="147" t="s">
        <v>877</v>
      </c>
      <c r="F1137" s="61" t="s">
        <v>878</v>
      </c>
      <c r="G1137" s="138" t="s">
        <v>879</v>
      </c>
    </row>
    <row r="1138" customHeight="1" spans="1:7">
      <c r="A1138" s="144" t="s">
        <v>8</v>
      </c>
      <c r="B1138" s="153" t="s">
        <v>880</v>
      </c>
      <c r="C1138" s="153"/>
      <c r="D1138" s="61"/>
      <c r="E1138" s="147"/>
      <c r="F1138" s="147"/>
      <c r="G1138" s="150">
        <f>G1139+G1149</f>
        <v>12553.5066928121</v>
      </c>
    </row>
    <row r="1139" customHeight="1" spans="1:7">
      <c r="A1139" s="144" t="s">
        <v>881</v>
      </c>
      <c r="B1139" s="153" t="s">
        <v>882</v>
      </c>
      <c r="C1139" s="153"/>
      <c r="D1139" s="61"/>
      <c r="E1139" s="147"/>
      <c r="F1139" s="147"/>
      <c r="G1139" s="150">
        <f>G1140+G1143+G1147</f>
        <v>11978.5369206223</v>
      </c>
    </row>
    <row r="1140" customHeight="1" spans="1:7">
      <c r="A1140" s="144" t="s">
        <v>17</v>
      </c>
      <c r="B1140" s="153" t="s">
        <v>510</v>
      </c>
      <c r="C1140" s="153"/>
      <c r="D1140" s="61"/>
      <c r="E1140" s="147"/>
      <c r="F1140" s="147"/>
      <c r="G1140" s="150">
        <f>SUM(G1141:G1142)</f>
        <v>3799.485</v>
      </c>
    </row>
    <row r="1141" customHeight="1" spans="1:7">
      <c r="A1141" s="144"/>
      <c r="B1141" s="153" t="s">
        <v>704</v>
      </c>
      <c r="C1141" s="153"/>
      <c r="D1141" s="61" t="s">
        <v>705</v>
      </c>
      <c r="E1141" s="147">
        <v>196.6</v>
      </c>
      <c r="F1141" s="147">
        <f>主要材料预算!$D$19</f>
        <v>8.1</v>
      </c>
      <c r="G1141" s="150">
        <f t="shared" ref="G1141:G1145" si="99">E1141*F1141</f>
        <v>1592.46</v>
      </c>
    </row>
    <row r="1142" customHeight="1" spans="1:7">
      <c r="A1142" s="144"/>
      <c r="B1142" s="153" t="s">
        <v>706</v>
      </c>
      <c r="C1142" s="153"/>
      <c r="D1142" s="61" t="s">
        <v>705</v>
      </c>
      <c r="E1142" s="151">
        <v>382.5</v>
      </c>
      <c r="F1142" s="147">
        <f>主要材料预算!$D$20</f>
        <v>5.77</v>
      </c>
      <c r="G1142" s="150">
        <f t="shared" si="99"/>
        <v>2207.025</v>
      </c>
    </row>
    <row r="1143" customHeight="1" spans="1:7">
      <c r="A1143" s="144" t="s">
        <v>19</v>
      </c>
      <c r="B1143" s="148" t="s">
        <v>511</v>
      </c>
      <c r="C1143" s="149"/>
      <c r="D1143" s="61"/>
      <c r="E1143" s="147"/>
      <c r="F1143" s="147"/>
      <c r="G1143" s="150">
        <f>SUM(G1144:G1146)</f>
        <v>8115.375</v>
      </c>
    </row>
    <row r="1144" customHeight="1" spans="1:7">
      <c r="A1144" s="144"/>
      <c r="B1144" s="148" t="s">
        <v>1141</v>
      </c>
      <c r="C1144" s="149"/>
      <c r="D1144" s="61" t="s">
        <v>1142</v>
      </c>
      <c r="E1144" s="147">
        <v>850</v>
      </c>
      <c r="F1144" s="147">
        <v>9.5</v>
      </c>
      <c r="G1144" s="150">
        <f t="shared" si="99"/>
        <v>8075</v>
      </c>
    </row>
    <row r="1145" customHeight="1" spans="1:7">
      <c r="A1145" s="144"/>
      <c r="B1145" s="148" t="s">
        <v>688</v>
      </c>
      <c r="C1145" s="149"/>
      <c r="D1145" s="61" t="s">
        <v>70</v>
      </c>
      <c r="E1145" s="147">
        <v>116</v>
      </c>
      <c r="F1145" s="147"/>
      <c r="G1145" s="150">
        <f t="shared" si="99"/>
        <v>0</v>
      </c>
    </row>
    <row r="1146" customHeight="1" spans="1:7">
      <c r="A1146" s="144"/>
      <c r="B1146" s="148" t="s">
        <v>893</v>
      </c>
      <c r="C1146" s="149"/>
      <c r="D1146" s="61" t="s">
        <v>894</v>
      </c>
      <c r="E1146" s="147">
        <f>SUM(G1144:G1145)</f>
        <v>8075</v>
      </c>
      <c r="F1146" s="147">
        <v>0.5</v>
      </c>
      <c r="G1146" s="150">
        <f>E1146*F1146/100</f>
        <v>40.375</v>
      </c>
    </row>
    <row r="1147" customHeight="1" spans="1:7">
      <c r="A1147" s="144" t="s">
        <v>21</v>
      </c>
      <c r="B1147" s="153" t="s">
        <v>895</v>
      </c>
      <c r="C1147" s="153"/>
      <c r="D1147" s="153"/>
      <c r="E1147" s="147"/>
      <c r="F1147" s="147"/>
      <c r="G1147" s="150">
        <f>SUM(G1148:G1148)</f>
        <v>63.6769206222577</v>
      </c>
    </row>
    <row r="1148" customHeight="1" spans="1:7">
      <c r="A1148" s="144"/>
      <c r="B1148" s="148" t="s">
        <v>834</v>
      </c>
      <c r="C1148" s="149"/>
      <c r="D1148" s="61" t="s">
        <v>896</v>
      </c>
      <c r="E1148" s="147">
        <v>78.3</v>
      </c>
      <c r="F1148" s="147">
        <f>施工机械台时费!$E$36</f>
        <v>0.813242919824491</v>
      </c>
      <c r="G1148" s="150">
        <f t="shared" ref="G1148:G1151" si="100">E1148*F1148</f>
        <v>63.6769206222577</v>
      </c>
    </row>
    <row r="1149" customHeight="1" spans="1:7">
      <c r="A1149" s="144" t="s">
        <v>905</v>
      </c>
      <c r="B1149" s="153" t="s">
        <v>514</v>
      </c>
      <c r="C1149" s="153"/>
      <c r="D1149" s="61"/>
      <c r="E1149" s="154">
        <f>G1139</f>
        <v>11978.5369206223</v>
      </c>
      <c r="F1149" s="155">
        <f>费率表!$F$4</f>
        <v>0.048</v>
      </c>
      <c r="G1149" s="150">
        <f t="shared" si="100"/>
        <v>574.969772189868</v>
      </c>
    </row>
    <row r="1150" customHeight="1" spans="1:7">
      <c r="A1150" s="144" t="s">
        <v>10</v>
      </c>
      <c r="B1150" s="153" t="s">
        <v>770</v>
      </c>
      <c r="C1150" s="153"/>
      <c r="D1150" s="61"/>
      <c r="E1150" s="147">
        <f>G1138</f>
        <v>12553.5066928121</v>
      </c>
      <c r="F1150" s="156">
        <f>费率表!$F$5</f>
        <v>0.085</v>
      </c>
      <c r="G1150" s="150">
        <f t="shared" si="100"/>
        <v>1067.04806888903</v>
      </c>
    </row>
    <row r="1151" customHeight="1" spans="1:7">
      <c r="A1151" s="144" t="s">
        <v>12</v>
      </c>
      <c r="B1151" s="153" t="s">
        <v>771</v>
      </c>
      <c r="C1151" s="153"/>
      <c r="D1151" s="61"/>
      <c r="E1151" s="147">
        <f>G1138+G1150</f>
        <v>13620.5547617012</v>
      </c>
      <c r="F1151" s="156">
        <f>费率表!$F$6</f>
        <v>0.07</v>
      </c>
      <c r="G1151" s="150">
        <f t="shared" si="100"/>
        <v>953.438833319081</v>
      </c>
    </row>
    <row r="1152" customHeight="1" spans="1:7">
      <c r="A1152" s="144" t="s">
        <v>15</v>
      </c>
      <c r="B1152" s="148" t="s">
        <v>517</v>
      </c>
      <c r="C1152" s="149"/>
      <c r="D1152" s="61"/>
      <c r="E1152" s="147"/>
      <c r="F1152" s="157"/>
      <c r="G1152" s="150">
        <f>SUM(G1153:G1153)</f>
        <v>0</v>
      </c>
    </row>
    <row r="1153" customHeight="1" spans="1:7">
      <c r="A1153" s="144"/>
      <c r="B1153" s="148" t="s">
        <v>688</v>
      </c>
      <c r="C1153" s="149"/>
      <c r="D1153" s="61" t="s">
        <v>70</v>
      </c>
      <c r="E1153" s="147">
        <f>E1145</f>
        <v>116</v>
      </c>
      <c r="F1153" s="147"/>
      <c r="G1153" s="150">
        <f t="shared" ref="G1153:G1155" si="101">E1153*F1153</f>
        <v>0</v>
      </c>
    </row>
    <row r="1154" customHeight="1" spans="1:7">
      <c r="A1154" s="144" t="s">
        <v>906</v>
      </c>
      <c r="B1154" s="153" t="s">
        <v>772</v>
      </c>
      <c r="C1154" s="153"/>
      <c r="D1154" s="61"/>
      <c r="E1154" s="147">
        <f>G1138+G1150+G1151+G1152</f>
        <v>14573.9935950202</v>
      </c>
      <c r="F1154" s="156">
        <f>费率表!$F$7</f>
        <v>0.09</v>
      </c>
      <c r="G1154" s="150">
        <f t="shared" si="101"/>
        <v>1311.65942355182</v>
      </c>
    </row>
    <row r="1155" customHeight="1" spans="1:7">
      <c r="A1155" s="144"/>
      <c r="B1155" s="153" t="s">
        <v>907</v>
      </c>
      <c r="C1155" s="153"/>
      <c r="D1155" s="61"/>
      <c r="E1155" s="147">
        <f>G1138+G1150+G1151+G1152+G1154</f>
        <v>15885.6530185721</v>
      </c>
      <c r="F1155" s="156">
        <f>费率表!$B$19</f>
        <v>0.03</v>
      </c>
      <c r="G1155" s="150">
        <f t="shared" si="101"/>
        <v>476.569590557162</v>
      </c>
    </row>
    <row r="1156" customHeight="1" spans="1:7">
      <c r="A1156" s="158"/>
      <c r="B1156" s="161" t="s">
        <v>39</v>
      </c>
      <c r="C1156" s="161"/>
      <c r="D1156" s="161"/>
      <c r="E1156" s="162"/>
      <c r="F1156" s="161"/>
      <c r="G1156" s="163">
        <f>G1138+G1150+G1151+G1152+G1154+G1155</f>
        <v>16362.2226091292</v>
      </c>
    </row>
    <row r="1158" customHeight="1" spans="1:7">
      <c r="A1158" s="164" t="s">
        <v>868</v>
      </c>
      <c r="B1158" s="164"/>
      <c r="C1158" s="164"/>
      <c r="D1158" s="164"/>
      <c r="E1158" s="164"/>
      <c r="F1158" s="164"/>
      <c r="G1158" s="164"/>
    </row>
    <row r="1159" customHeight="1" spans="1:7">
      <c r="A1159" s="165" t="s">
        <v>869</v>
      </c>
      <c r="B1159" s="129"/>
      <c r="C1159" s="129"/>
      <c r="D1159" s="129" t="s">
        <v>870</v>
      </c>
      <c r="E1159" s="130" t="s">
        <v>1426</v>
      </c>
      <c r="F1159" s="131"/>
      <c r="G1159" s="132"/>
    </row>
    <row r="1160" customHeight="1" spans="1:7">
      <c r="A1160" s="144" t="s">
        <v>507</v>
      </c>
      <c r="B1160" s="166"/>
      <c r="C1160" s="167" t="s">
        <v>1427</v>
      </c>
      <c r="D1160" s="167"/>
      <c r="E1160" s="167"/>
      <c r="F1160" s="61" t="s">
        <v>873</v>
      </c>
      <c r="G1160" s="138" t="s">
        <v>1138</v>
      </c>
    </row>
    <row r="1161" customHeight="1" spans="1:7">
      <c r="A1161" s="168" t="s">
        <v>1145</v>
      </c>
      <c r="B1161" s="167"/>
      <c r="C1161" s="167"/>
      <c r="D1161" s="167"/>
      <c r="E1161" s="167"/>
      <c r="F1161" s="167"/>
      <c r="G1161" s="169"/>
    </row>
    <row r="1162" customHeight="1" spans="1:7">
      <c r="A1162" s="141" t="s">
        <v>1140</v>
      </c>
      <c r="B1162" s="142"/>
      <c r="C1162" s="170"/>
      <c r="D1162" s="170"/>
      <c r="E1162" s="170"/>
      <c r="F1162" s="170"/>
      <c r="G1162" s="171"/>
    </row>
    <row r="1163" customHeight="1" spans="1:7">
      <c r="A1163" s="144" t="s">
        <v>34</v>
      </c>
      <c r="B1163" s="61" t="s">
        <v>761</v>
      </c>
      <c r="C1163" s="61"/>
      <c r="D1163" s="61" t="s">
        <v>60</v>
      </c>
      <c r="E1163" s="147" t="s">
        <v>877</v>
      </c>
      <c r="F1163" s="61" t="s">
        <v>878</v>
      </c>
      <c r="G1163" s="138" t="s">
        <v>879</v>
      </c>
    </row>
    <row r="1164" customHeight="1" spans="1:7">
      <c r="A1164" s="144" t="s">
        <v>8</v>
      </c>
      <c r="B1164" s="153" t="s">
        <v>880</v>
      </c>
      <c r="C1164" s="153"/>
      <c r="D1164" s="61"/>
      <c r="E1164" s="147"/>
      <c r="F1164" s="147"/>
      <c r="G1164" s="150">
        <f>G1165+G1175</f>
        <v>22435.0282057077</v>
      </c>
    </row>
    <row r="1165" customHeight="1" spans="1:7">
      <c r="A1165" s="144" t="s">
        <v>881</v>
      </c>
      <c r="B1165" s="153" t="s">
        <v>882</v>
      </c>
      <c r="C1165" s="153"/>
      <c r="D1165" s="61"/>
      <c r="E1165" s="147"/>
      <c r="F1165" s="147"/>
      <c r="G1165" s="150">
        <f>G1166+G1169+G1173</f>
        <v>21407.4696619349</v>
      </c>
    </row>
    <row r="1166" customHeight="1" spans="1:7">
      <c r="A1166" s="144" t="s">
        <v>17</v>
      </c>
      <c r="B1166" s="153" t="s">
        <v>510</v>
      </c>
      <c r="C1166" s="153"/>
      <c r="D1166" s="61"/>
      <c r="E1166" s="147"/>
      <c r="F1166" s="147"/>
      <c r="G1166" s="150">
        <f>SUM(G1167:G1168)</f>
        <v>2696.186</v>
      </c>
    </row>
    <row r="1167" customHeight="1" spans="1:7">
      <c r="A1167" s="144"/>
      <c r="B1167" s="153" t="s">
        <v>704</v>
      </c>
      <c r="C1167" s="153"/>
      <c r="D1167" s="61" t="s">
        <v>705</v>
      </c>
      <c r="E1167" s="147">
        <v>125</v>
      </c>
      <c r="F1167" s="147">
        <f>主要材料预算!$D$19</f>
        <v>8.1</v>
      </c>
      <c r="G1167" s="150">
        <f t="shared" ref="G1167:G1171" si="102">E1167*F1167</f>
        <v>1012.5</v>
      </c>
    </row>
    <row r="1168" customHeight="1" spans="1:7">
      <c r="A1168" s="144"/>
      <c r="B1168" s="153" t="s">
        <v>706</v>
      </c>
      <c r="C1168" s="153"/>
      <c r="D1168" s="61" t="s">
        <v>705</v>
      </c>
      <c r="E1168" s="151">
        <v>291.8</v>
      </c>
      <c r="F1168" s="147">
        <f>主要材料预算!$D$20</f>
        <v>5.77</v>
      </c>
      <c r="G1168" s="150">
        <f t="shared" si="102"/>
        <v>1683.686</v>
      </c>
    </row>
    <row r="1169" customHeight="1" spans="1:7">
      <c r="A1169" s="144" t="s">
        <v>19</v>
      </c>
      <c r="B1169" s="148" t="s">
        <v>511</v>
      </c>
      <c r="C1169" s="149"/>
      <c r="D1169" s="61"/>
      <c r="E1169" s="147"/>
      <c r="F1169" s="147"/>
      <c r="G1169" s="150">
        <f>SUM(G1170:G1172)</f>
        <v>18650.37176724</v>
      </c>
    </row>
    <row r="1170" customHeight="1" spans="1:7">
      <c r="A1170" s="144"/>
      <c r="B1170" s="148" t="s">
        <v>1153</v>
      </c>
      <c r="C1170" s="149"/>
      <c r="D1170" s="61" t="s">
        <v>1142</v>
      </c>
      <c r="E1170" s="147">
        <v>850</v>
      </c>
      <c r="F1170" s="147">
        <v>15</v>
      </c>
      <c r="G1170" s="150">
        <f t="shared" si="102"/>
        <v>12750</v>
      </c>
    </row>
    <row r="1171" customHeight="1" spans="1:7">
      <c r="A1171" s="144"/>
      <c r="B1171" s="148" t="s">
        <v>692</v>
      </c>
      <c r="C1171" s="149"/>
      <c r="D1171" s="61" t="s">
        <v>70</v>
      </c>
      <c r="E1171" s="147">
        <v>116</v>
      </c>
      <c r="F1171" s="147">
        <f>主要材料预算!D12</f>
        <v>50.065378</v>
      </c>
      <c r="G1171" s="150">
        <f t="shared" si="102"/>
        <v>5807.583848</v>
      </c>
    </row>
    <row r="1172" customHeight="1" spans="1:7">
      <c r="A1172" s="144"/>
      <c r="B1172" s="148" t="s">
        <v>893</v>
      </c>
      <c r="C1172" s="149"/>
      <c r="D1172" s="61" t="s">
        <v>894</v>
      </c>
      <c r="E1172" s="147">
        <f>SUM(G1170:G1171)</f>
        <v>18557.583848</v>
      </c>
      <c r="F1172" s="147">
        <v>0.5</v>
      </c>
      <c r="G1172" s="150">
        <f>E1172*F1172/100</f>
        <v>92.78791924</v>
      </c>
    </row>
    <row r="1173" customHeight="1" spans="1:7">
      <c r="A1173" s="144" t="s">
        <v>21</v>
      </c>
      <c r="B1173" s="153" t="s">
        <v>895</v>
      </c>
      <c r="C1173" s="153"/>
      <c r="D1173" s="153"/>
      <c r="E1173" s="147"/>
      <c r="F1173" s="147"/>
      <c r="G1173" s="150">
        <f>SUM(G1174:G1174)</f>
        <v>60.9118946948544</v>
      </c>
    </row>
    <row r="1174" customHeight="1" spans="1:7">
      <c r="A1174" s="144"/>
      <c r="B1174" s="148" t="s">
        <v>834</v>
      </c>
      <c r="C1174" s="149"/>
      <c r="D1174" s="61" t="s">
        <v>896</v>
      </c>
      <c r="E1174" s="147">
        <v>74.9</v>
      </c>
      <c r="F1174" s="147">
        <f>施工机械台时费!$E$36</f>
        <v>0.813242919824491</v>
      </c>
      <c r="G1174" s="150">
        <f t="shared" ref="G1174:G1177" si="103">E1174*F1174</f>
        <v>60.9118946948544</v>
      </c>
    </row>
    <row r="1175" customHeight="1" spans="1:7">
      <c r="A1175" s="144" t="s">
        <v>905</v>
      </c>
      <c r="B1175" s="153" t="s">
        <v>514</v>
      </c>
      <c r="C1175" s="153"/>
      <c r="D1175" s="61"/>
      <c r="E1175" s="154">
        <f>G1165</f>
        <v>21407.4696619349</v>
      </c>
      <c r="F1175" s="155">
        <f>费率表!$F$4</f>
        <v>0.048</v>
      </c>
      <c r="G1175" s="150">
        <f t="shared" si="103"/>
        <v>1027.55854377287</v>
      </c>
    </row>
    <row r="1176" customHeight="1" spans="1:7">
      <c r="A1176" s="144" t="s">
        <v>10</v>
      </c>
      <c r="B1176" s="153" t="s">
        <v>770</v>
      </c>
      <c r="C1176" s="153"/>
      <c r="D1176" s="61"/>
      <c r="E1176" s="147">
        <f>G1164</f>
        <v>22435.0282057077</v>
      </c>
      <c r="F1176" s="156">
        <f>费率表!$F$5</f>
        <v>0.085</v>
      </c>
      <c r="G1176" s="150">
        <f t="shared" si="103"/>
        <v>1906.97739748516</v>
      </c>
    </row>
    <row r="1177" customHeight="1" spans="1:7">
      <c r="A1177" s="144" t="s">
        <v>12</v>
      </c>
      <c r="B1177" s="153" t="s">
        <v>771</v>
      </c>
      <c r="C1177" s="153"/>
      <c r="D1177" s="61"/>
      <c r="E1177" s="147">
        <f>G1164+G1176</f>
        <v>24342.0056031929</v>
      </c>
      <c r="F1177" s="156">
        <f>费率表!$F$6</f>
        <v>0.07</v>
      </c>
      <c r="G1177" s="150">
        <f t="shared" si="103"/>
        <v>1703.9403922235</v>
      </c>
    </row>
    <row r="1178" customHeight="1" spans="1:7">
      <c r="A1178" s="144" t="s">
        <v>15</v>
      </c>
      <c r="B1178" s="148" t="s">
        <v>517</v>
      </c>
      <c r="C1178" s="149"/>
      <c r="D1178" s="61"/>
      <c r="E1178" s="147"/>
      <c r="F1178" s="157"/>
      <c r="G1178" s="150">
        <f>SUM(G1179:G1179)</f>
        <v>0</v>
      </c>
    </row>
    <row r="1179" customHeight="1" spans="1:7">
      <c r="A1179" s="144"/>
      <c r="B1179" s="148" t="s">
        <v>688</v>
      </c>
      <c r="C1179" s="149"/>
      <c r="D1179" s="61" t="s">
        <v>70</v>
      </c>
      <c r="E1179" s="147">
        <f>E1171</f>
        <v>116</v>
      </c>
      <c r="F1179" s="147"/>
      <c r="G1179" s="150">
        <f t="shared" ref="G1179:G1181" si="104">E1179*F1179</f>
        <v>0</v>
      </c>
    </row>
    <row r="1180" customHeight="1" spans="1:7">
      <c r="A1180" s="144" t="s">
        <v>906</v>
      </c>
      <c r="B1180" s="153" t="s">
        <v>772</v>
      </c>
      <c r="C1180" s="153"/>
      <c r="D1180" s="61"/>
      <c r="E1180" s="147">
        <f>G1164+G1176+G1177+G1178</f>
        <v>26045.9459954164</v>
      </c>
      <c r="F1180" s="156">
        <f>费率表!$F$7</f>
        <v>0.09</v>
      </c>
      <c r="G1180" s="150">
        <f t="shared" si="104"/>
        <v>2344.13513958747</v>
      </c>
    </row>
    <row r="1181" customHeight="1" spans="1:7">
      <c r="A1181" s="144"/>
      <c r="B1181" s="153" t="s">
        <v>907</v>
      </c>
      <c r="C1181" s="153"/>
      <c r="D1181" s="61"/>
      <c r="E1181" s="147">
        <f>G1164+G1176+G1177+G1178+G1180</f>
        <v>28390.0811350039</v>
      </c>
      <c r="F1181" s="156">
        <f>费率表!$B$19</f>
        <v>0.03</v>
      </c>
      <c r="G1181" s="150">
        <f t="shared" si="104"/>
        <v>851.702434050116</v>
      </c>
    </row>
    <row r="1182" customHeight="1" spans="1:7">
      <c r="A1182" s="158"/>
      <c r="B1182" s="161" t="s">
        <v>39</v>
      </c>
      <c r="C1182" s="161"/>
      <c r="D1182" s="161"/>
      <c r="E1182" s="162"/>
      <c r="F1182" s="161"/>
      <c r="G1182" s="163">
        <f>G1164+G1176+G1177+G1178+G1180+G1181</f>
        <v>29241.783569054</v>
      </c>
    </row>
    <row r="1184" customHeight="1" spans="1:7">
      <c r="A1184" s="164" t="s">
        <v>868</v>
      </c>
      <c r="B1184" s="164"/>
      <c r="C1184" s="164"/>
      <c r="D1184" s="164"/>
      <c r="E1184" s="164"/>
      <c r="F1184" s="164"/>
      <c r="G1184" s="164"/>
    </row>
    <row r="1185" customHeight="1" spans="1:7">
      <c r="A1185" s="165" t="s">
        <v>869</v>
      </c>
      <c r="B1185" s="129"/>
      <c r="C1185" s="129"/>
      <c r="D1185" s="129" t="s">
        <v>870</v>
      </c>
      <c r="E1185" s="130" t="s">
        <v>1428</v>
      </c>
      <c r="F1185" s="131"/>
      <c r="G1185" s="132"/>
    </row>
    <row r="1186" ht="25.5" customHeight="1" spans="1:7">
      <c r="A1186" s="144" t="s">
        <v>507</v>
      </c>
      <c r="B1186" s="166"/>
      <c r="C1186" s="167" t="s">
        <v>1429</v>
      </c>
      <c r="D1186" s="167"/>
      <c r="E1186" s="167"/>
      <c r="F1186" s="61" t="s">
        <v>873</v>
      </c>
      <c r="G1186" s="138" t="s">
        <v>1138</v>
      </c>
    </row>
    <row r="1187" customHeight="1" spans="1:7">
      <c r="A1187" s="168" t="s">
        <v>1145</v>
      </c>
      <c r="B1187" s="167"/>
      <c r="C1187" s="167"/>
      <c r="D1187" s="167"/>
      <c r="E1187" s="167"/>
      <c r="F1187" s="167"/>
      <c r="G1187" s="169"/>
    </row>
    <row r="1188" customHeight="1" spans="1:7">
      <c r="A1188" s="141" t="s">
        <v>1140</v>
      </c>
      <c r="B1188" s="142"/>
      <c r="C1188" s="170"/>
      <c r="D1188" s="170"/>
      <c r="E1188" s="170"/>
      <c r="F1188" s="170"/>
      <c r="G1188" s="171"/>
    </row>
    <row r="1189" customHeight="1" spans="1:7">
      <c r="A1189" s="144" t="s">
        <v>34</v>
      </c>
      <c r="B1189" s="61" t="s">
        <v>761</v>
      </c>
      <c r="C1189" s="61"/>
      <c r="D1189" s="61" t="s">
        <v>60</v>
      </c>
      <c r="E1189" s="147" t="s">
        <v>877</v>
      </c>
      <c r="F1189" s="61" t="s">
        <v>878</v>
      </c>
      <c r="G1189" s="138" t="s">
        <v>879</v>
      </c>
    </row>
    <row r="1190" customHeight="1" spans="1:7">
      <c r="A1190" s="144" t="s">
        <v>8</v>
      </c>
      <c r="B1190" s="153" t="s">
        <v>880</v>
      </c>
      <c r="C1190" s="153"/>
      <c r="D1190" s="61"/>
      <c r="E1190" s="147"/>
      <c r="F1190" s="147"/>
      <c r="G1190" s="150">
        <f>G1191+G1201</f>
        <v>22513.2282753593</v>
      </c>
    </row>
    <row r="1191" customHeight="1" spans="1:7">
      <c r="A1191" s="144" t="s">
        <v>881</v>
      </c>
      <c r="B1191" s="153" t="s">
        <v>882</v>
      </c>
      <c r="C1191" s="153"/>
      <c r="D1191" s="61"/>
      <c r="E1191" s="147"/>
      <c r="F1191" s="147"/>
      <c r="G1191" s="150">
        <f>G1192+G1195+G1199</f>
        <v>21482.088049007</v>
      </c>
    </row>
    <row r="1192" customHeight="1" spans="1:7">
      <c r="A1192" s="144" t="s">
        <v>17</v>
      </c>
      <c r="B1192" s="153" t="s">
        <v>510</v>
      </c>
      <c r="C1192" s="153"/>
      <c r="D1192" s="61"/>
      <c r="E1192" s="147"/>
      <c r="F1192" s="147"/>
      <c r="G1192" s="150">
        <f>SUM(G1193:G1194)</f>
        <v>1754.657</v>
      </c>
    </row>
    <row r="1193" customHeight="1" spans="1:7">
      <c r="A1193" s="144"/>
      <c r="B1193" s="153" t="s">
        <v>704</v>
      </c>
      <c r="C1193" s="153"/>
      <c r="D1193" s="61" t="s">
        <v>705</v>
      </c>
      <c r="E1193" s="147"/>
      <c r="F1193" s="147">
        <f>主要材料预算!$D$19</f>
        <v>8.1</v>
      </c>
      <c r="G1193" s="150">
        <f t="shared" ref="G1193:G1197" si="105">E1193*F1193</f>
        <v>0</v>
      </c>
    </row>
    <row r="1194" customHeight="1" spans="1:7">
      <c r="A1194" s="144"/>
      <c r="B1194" s="153" t="s">
        <v>706</v>
      </c>
      <c r="C1194" s="153"/>
      <c r="D1194" s="61" t="s">
        <v>705</v>
      </c>
      <c r="E1194" s="151">
        <v>304.1</v>
      </c>
      <c r="F1194" s="147">
        <f>主要材料预算!$D$20</f>
        <v>5.77</v>
      </c>
      <c r="G1194" s="150">
        <f t="shared" si="105"/>
        <v>1754.657</v>
      </c>
    </row>
    <row r="1195" customHeight="1" spans="1:7">
      <c r="A1195" s="144" t="s">
        <v>19</v>
      </c>
      <c r="B1195" s="148" t="s">
        <v>511</v>
      </c>
      <c r="C1195" s="149"/>
      <c r="D1195" s="61"/>
      <c r="E1195" s="147"/>
      <c r="F1195" s="147"/>
      <c r="G1195" s="150">
        <f>SUM(G1196:G1198)</f>
        <v>19676.440717934</v>
      </c>
    </row>
    <row r="1196" customHeight="1" spans="1:7">
      <c r="A1196" s="144"/>
      <c r="B1196" s="148" t="s">
        <v>1153</v>
      </c>
      <c r="C1196" s="149"/>
      <c r="D1196" s="61" t="s">
        <v>1142</v>
      </c>
      <c r="E1196" s="147">
        <v>966.67</v>
      </c>
      <c r="F1196" s="147">
        <v>15</v>
      </c>
      <c r="G1196" s="150">
        <f t="shared" si="105"/>
        <v>14500.05</v>
      </c>
    </row>
    <row r="1197" customHeight="1" spans="1:7">
      <c r="A1197" s="144"/>
      <c r="B1197" s="148" t="s">
        <v>692</v>
      </c>
      <c r="C1197" s="149"/>
      <c r="D1197" s="61" t="s">
        <v>70</v>
      </c>
      <c r="E1197" s="147">
        <v>103</v>
      </c>
      <c r="F1197" s="147">
        <f>主要材料预算!D12</f>
        <v>50.065378</v>
      </c>
      <c r="G1197" s="150">
        <f t="shared" si="105"/>
        <v>5156.733934</v>
      </c>
    </row>
    <row r="1198" customHeight="1" spans="1:7">
      <c r="A1198" s="144"/>
      <c r="B1198" s="148" t="s">
        <v>893</v>
      </c>
      <c r="C1198" s="149"/>
      <c r="D1198" s="61" t="s">
        <v>894</v>
      </c>
      <c r="E1198" s="147">
        <f>SUM(G1196:G1197)</f>
        <v>19656.783934</v>
      </c>
      <c r="F1198" s="147">
        <v>0.1</v>
      </c>
      <c r="G1198" s="150">
        <f>E1198*F1198/100</f>
        <v>19.656783934</v>
      </c>
    </row>
    <row r="1199" customHeight="1" spans="1:7">
      <c r="A1199" s="144" t="s">
        <v>21</v>
      </c>
      <c r="B1199" s="153" t="s">
        <v>895</v>
      </c>
      <c r="C1199" s="153"/>
      <c r="D1199" s="153"/>
      <c r="E1199" s="147"/>
      <c r="F1199" s="147"/>
      <c r="G1199" s="150">
        <f>SUM(G1200:G1200)</f>
        <v>50.9903310729956</v>
      </c>
    </row>
    <row r="1200" customHeight="1" spans="1:7">
      <c r="A1200" s="144"/>
      <c r="B1200" s="148" t="s">
        <v>834</v>
      </c>
      <c r="C1200" s="149"/>
      <c r="D1200" s="61" t="s">
        <v>896</v>
      </c>
      <c r="E1200" s="147">
        <v>62.7</v>
      </c>
      <c r="F1200" s="147">
        <f>施工机械台时费!$E$36</f>
        <v>0.813242919824491</v>
      </c>
      <c r="G1200" s="150">
        <f t="shared" ref="G1200:G1203" si="106">E1200*F1200</f>
        <v>50.9903310729956</v>
      </c>
    </row>
    <row r="1201" customHeight="1" spans="1:7">
      <c r="A1201" s="144" t="s">
        <v>905</v>
      </c>
      <c r="B1201" s="153" t="s">
        <v>514</v>
      </c>
      <c r="C1201" s="153"/>
      <c r="D1201" s="61"/>
      <c r="E1201" s="154">
        <f>G1191</f>
        <v>21482.088049007</v>
      </c>
      <c r="F1201" s="155">
        <f>费率表!$F$4</f>
        <v>0.048</v>
      </c>
      <c r="G1201" s="150">
        <f t="shared" si="106"/>
        <v>1031.14022635234</v>
      </c>
    </row>
    <row r="1202" customHeight="1" spans="1:7">
      <c r="A1202" s="144" t="s">
        <v>10</v>
      </c>
      <c r="B1202" s="153" t="s">
        <v>770</v>
      </c>
      <c r="C1202" s="153"/>
      <c r="D1202" s="61"/>
      <c r="E1202" s="147">
        <f>G1190</f>
        <v>22513.2282753593</v>
      </c>
      <c r="F1202" s="156">
        <f>费率表!$F$5</f>
        <v>0.085</v>
      </c>
      <c r="G1202" s="150">
        <f t="shared" si="106"/>
        <v>1913.62440340554</v>
      </c>
    </row>
    <row r="1203" customHeight="1" spans="1:7">
      <c r="A1203" s="144" t="s">
        <v>12</v>
      </c>
      <c r="B1203" s="153" t="s">
        <v>771</v>
      </c>
      <c r="C1203" s="153"/>
      <c r="D1203" s="61"/>
      <c r="E1203" s="147">
        <f>G1190+G1202</f>
        <v>24426.8526787649</v>
      </c>
      <c r="F1203" s="156">
        <f>费率表!$F$6</f>
        <v>0.07</v>
      </c>
      <c r="G1203" s="150">
        <f t="shared" si="106"/>
        <v>1709.87968751354</v>
      </c>
    </row>
    <row r="1204" customHeight="1" spans="1:7">
      <c r="A1204" s="144" t="s">
        <v>15</v>
      </c>
      <c r="B1204" s="148" t="s">
        <v>517</v>
      </c>
      <c r="C1204" s="149"/>
      <c r="D1204" s="61"/>
      <c r="E1204" s="147"/>
      <c r="F1204" s="157"/>
      <c r="G1204" s="150">
        <f>SUM(G1205:G1205)</f>
        <v>0</v>
      </c>
    </row>
    <row r="1205" customHeight="1" spans="1:7">
      <c r="A1205" s="144"/>
      <c r="B1205" s="148" t="s">
        <v>688</v>
      </c>
      <c r="C1205" s="149"/>
      <c r="D1205" s="61" t="s">
        <v>70</v>
      </c>
      <c r="E1205" s="147">
        <f>E1197</f>
        <v>103</v>
      </c>
      <c r="F1205" s="147"/>
      <c r="G1205" s="150">
        <f t="shared" ref="G1205:G1207" si="107">E1205*F1205</f>
        <v>0</v>
      </c>
    </row>
    <row r="1206" customHeight="1" spans="1:7">
      <c r="A1206" s="144" t="s">
        <v>906</v>
      </c>
      <c r="B1206" s="153" t="s">
        <v>772</v>
      </c>
      <c r="C1206" s="153"/>
      <c r="D1206" s="61"/>
      <c r="E1206" s="147">
        <f>G1190+G1202+G1203+G1204</f>
        <v>26136.7323662784</v>
      </c>
      <c r="F1206" s="156">
        <f>费率表!$F$7</f>
        <v>0.09</v>
      </c>
      <c r="G1206" s="150">
        <f t="shared" si="107"/>
        <v>2352.30591296506</v>
      </c>
    </row>
    <row r="1207" customHeight="1" spans="1:7">
      <c r="A1207" s="144"/>
      <c r="B1207" s="153" t="s">
        <v>907</v>
      </c>
      <c r="C1207" s="153"/>
      <c r="D1207" s="61"/>
      <c r="E1207" s="147">
        <f>G1190+G1202+G1203+G1204+G1206</f>
        <v>28489.0382792435</v>
      </c>
      <c r="F1207" s="156">
        <f>费率表!$B$19</f>
        <v>0.03</v>
      </c>
      <c r="G1207" s="150">
        <f t="shared" si="107"/>
        <v>854.671148377304</v>
      </c>
    </row>
    <row r="1208" customHeight="1" spans="1:7">
      <c r="A1208" s="158"/>
      <c r="B1208" s="161" t="s">
        <v>39</v>
      </c>
      <c r="C1208" s="161"/>
      <c r="D1208" s="161"/>
      <c r="E1208" s="162"/>
      <c r="F1208" s="161"/>
      <c r="G1208" s="163">
        <f>G1190+G1202+G1203+G1204+G1206+G1207</f>
        <v>29343.7094276208</v>
      </c>
    </row>
    <row r="1211" customHeight="1" spans="1:7">
      <c r="A1211" s="285" t="s">
        <v>868</v>
      </c>
      <c r="B1211" s="285"/>
      <c r="C1211" s="285"/>
      <c r="D1211" s="285"/>
      <c r="E1211" s="285"/>
      <c r="F1211" s="285"/>
      <c r="G1211" s="285"/>
    </row>
    <row r="1212" customHeight="1" spans="1:7">
      <c r="A1212" s="286" t="s">
        <v>869</v>
      </c>
      <c r="B1212" s="287"/>
      <c r="C1212" s="200"/>
      <c r="D1212" s="200" t="s">
        <v>870</v>
      </c>
      <c r="E1212" s="201" t="s">
        <v>1158</v>
      </c>
      <c r="F1212" s="202"/>
      <c r="G1212" s="203"/>
    </row>
    <row r="1213" customHeight="1" spans="1:7">
      <c r="A1213" s="288" t="s">
        <v>507</v>
      </c>
      <c r="B1213" s="289"/>
      <c r="C1213" s="290" t="s">
        <v>1430</v>
      </c>
      <c r="D1213" s="291"/>
      <c r="E1213" s="292"/>
      <c r="F1213" s="54" t="s">
        <v>873</v>
      </c>
      <c r="G1213" s="207" t="s">
        <v>874</v>
      </c>
    </row>
    <row r="1214" customHeight="1" spans="1:7">
      <c r="A1214" s="293" t="s">
        <v>875</v>
      </c>
      <c r="B1214" s="291"/>
      <c r="C1214" s="291"/>
      <c r="D1214" s="291"/>
      <c r="E1214" s="291"/>
      <c r="F1214" s="291"/>
      <c r="G1214" s="294"/>
    </row>
    <row r="1215" customHeight="1" spans="1:7">
      <c r="A1215" s="210" t="s">
        <v>1161</v>
      </c>
      <c r="B1215" s="211"/>
      <c r="C1215" s="211"/>
      <c r="D1215" s="211"/>
      <c r="E1215" s="211"/>
      <c r="F1215" s="211"/>
      <c r="G1215" s="295"/>
    </row>
    <row r="1216" customHeight="1" spans="1:7">
      <c r="A1216" s="204" t="s">
        <v>34</v>
      </c>
      <c r="B1216" s="54" t="s">
        <v>761</v>
      </c>
      <c r="C1216" s="54"/>
      <c r="D1216" s="54" t="s">
        <v>60</v>
      </c>
      <c r="E1216" s="214" t="s">
        <v>877</v>
      </c>
      <c r="F1216" s="54" t="s">
        <v>878</v>
      </c>
      <c r="G1216" s="207" t="s">
        <v>879</v>
      </c>
    </row>
    <row r="1217" customHeight="1" spans="1:7">
      <c r="A1217" s="204" t="s">
        <v>8</v>
      </c>
      <c r="B1217" s="215" t="s">
        <v>880</v>
      </c>
      <c r="C1217" s="215"/>
      <c r="D1217" s="54"/>
      <c r="E1217" s="214"/>
      <c r="F1217" s="214"/>
      <c r="G1217" s="216">
        <f>G1218+G1226</f>
        <v>5062.04866845257</v>
      </c>
    </row>
    <row r="1218" customHeight="1" spans="1:7">
      <c r="A1218" s="204" t="s">
        <v>881</v>
      </c>
      <c r="B1218" s="215" t="s">
        <v>882</v>
      </c>
      <c r="C1218" s="215"/>
      <c r="D1218" s="54"/>
      <c r="E1218" s="214"/>
      <c r="F1218" s="214"/>
      <c r="G1218" s="216">
        <f>G1219+G1222+G1224</f>
        <v>4830.19911111887</v>
      </c>
    </row>
    <row r="1219" customHeight="1" spans="1:7">
      <c r="A1219" s="204" t="s">
        <v>17</v>
      </c>
      <c r="B1219" s="215" t="s">
        <v>510</v>
      </c>
      <c r="C1219" s="215"/>
      <c r="D1219" s="54"/>
      <c r="E1219" s="214"/>
      <c r="F1219" s="214"/>
      <c r="G1219" s="216">
        <f>SUM(G1220:G1221)</f>
        <v>69.24</v>
      </c>
    </row>
    <row r="1220" customHeight="1" spans="1:7">
      <c r="A1220" s="204"/>
      <c r="B1220" s="215" t="s">
        <v>704</v>
      </c>
      <c r="C1220" s="215"/>
      <c r="D1220" s="54" t="s">
        <v>705</v>
      </c>
      <c r="E1220" s="214"/>
      <c r="F1220" s="214"/>
      <c r="G1220" s="216"/>
    </row>
    <row r="1221" customHeight="1" spans="1:7">
      <c r="A1221" s="204"/>
      <c r="B1221" s="215" t="s">
        <v>706</v>
      </c>
      <c r="C1221" s="215"/>
      <c r="D1221" s="54" t="s">
        <v>705</v>
      </c>
      <c r="E1221" s="217">
        <v>12</v>
      </c>
      <c r="F1221" s="214">
        <f>主要材料预算!$D$20</f>
        <v>5.77</v>
      </c>
      <c r="G1221" s="216">
        <f t="shared" ref="G1221:G1228" si="108">E1221*F1221</f>
        <v>69.24</v>
      </c>
    </row>
    <row r="1222" customHeight="1" spans="1:7">
      <c r="A1222" s="204" t="s">
        <v>19</v>
      </c>
      <c r="B1222" s="218" t="s">
        <v>511</v>
      </c>
      <c r="C1222" s="219"/>
      <c r="D1222" s="54"/>
      <c r="E1222" s="214"/>
      <c r="F1222" s="214"/>
      <c r="G1222" s="216">
        <f>G1223</f>
        <v>230.009481481851</v>
      </c>
    </row>
    <row r="1223" customHeight="1" spans="1:7">
      <c r="A1223" s="204"/>
      <c r="B1223" s="215" t="s">
        <v>1008</v>
      </c>
      <c r="C1223" s="215"/>
      <c r="D1223" s="54" t="s">
        <v>894</v>
      </c>
      <c r="E1223" s="214">
        <f>G1219+G1224</f>
        <v>4600.18962963702</v>
      </c>
      <c r="F1223" s="229">
        <v>5</v>
      </c>
      <c r="G1223" s="216">
        <f>E1223*F1223/100</f>
        <v>230.009481481851</v>
      </c>
    </row>
    <row r="1224" customHeight="1" spans="1:7">
      <c r="A1224" s="204" t="s">
        <v>21</v>
      </c>
      <c r="B1224" s="215" t="s">
        <v>895</v>
      </c>
      <c r="C1224" s="215"/>
      <c r="D1224" s="215"/>
      <c r="E1224" s="214"/>
      <c r="F1224" s="214"/>
      <c r="G1224" s="216">
        <f>SUM(G1225:G1225)</f>
        <v>4530.94962963702</v>
      </c>
    </row>
    <row r="1225" customHeight="1" spans="1:7">
      <c r="A1225" s="204"/>
      <c r="B1225" s="218" t="s">
        <v>1431</v>
      </c>
      <c r="C1225" s="219"/>
      <c r="D1225" s="54" t="s">
        <v>896</v>
      </c>
      <c r="E1225" s="214">
        <v>45.82</v>
      </c>
      <c r="F1225" s="214">
        <f>施工机械台时费!$E$5</f>
        <v>98.885849621061</v>
      </c>
      <c r="G1225" s="216">
        <f t="shared" si="108"/>
        <v>4530.94962963702</v>
      </c>
    </row>
    <row r="1226" customHeight="1" spans="1:7">
      <c r="A1226" s="204" t="s">
        <v>905</v>
      </c>
      <c r="B1226" s="215" t="s">
        <v>514</v>
      </c>
      <c r="C1226" s="215"/>
      <c r="D1226" s="54"/>
      <c r="E1226" s="220">
        <f>G1218</f>
        <v>4830.19911111887</v>
      </c>
      <c r="F1226" s="221">
        <f>费率表!$J$4</f>
        <v>0.048</v>
      </c>
      <c r="G1226" s="216">
        <f t="shared" si="108"/>
        <v>231.849557333706</v>
      </c>
    </row>
    <row r="1227" customHeight="1" spans="1:7">
      <c r="A1227" s="204" t="s">
        <v>10</v>
      </c>
      <c r="B1227" s="215" t="s">
        <v>770</v>
      </c>
      <c r="C1227" s="215"/>
      <c r="D1227" s="54"/>
      <c r="E1227" s="214">
        <f>G1217</f>
        <v>5062.04866845257</v>
      </c>
      <c r="F1227" s="222">
        <f>费率表!$J$5</f>
        <v>0.075</v>
      </c>
      <c r="G1227" s="216">
        <f t="shared" si="108"/>
        <v>379.653650133943</v>
      </c>
    </row>
    <row r="1228" customHeight="1" spans="1:7">
      <c r="A1228" s="204" t="s">
        <v>12</v>
      </c>
      <c r="B1228" s="215" t="s">
        <v>771</v>
      </c>
      <c r="C1228" s="215"/>
      <c r="D1228" s="54"/>
      <c r="E1228" s="214">
        <f>G1217+G1227</f>
        <v>5441.70231858652</v>
      </c>
      <c r="F1228" s="222">
        <f>费率表!$J$6</f>
        <v>0.07</v>
      </c>
      <c r="G1228" s="216">
        <f t="shared" si="108"/>
        <v>380.919162301056</v>
      </c>
    </row>
    <row r="1229" customHeight="1" spans="1:7">
      <c r="A1229" s="204" t="s">
        <v>15</v>
      </c>
      <c r="B1229" s="218" t="s">
        <v>517</v>
      </c>
      <c r="C1229" s="219"/>
      <c r="D1229" s="54"/>
      <c r="E1229" s="214"/>
      <c r="F1229" s="230"/>
      <c r="G1229" s="216">
        <f>G1230</f>
        <v>2638.56285198079</v>
      </c>
    </row>
    <row r="1230" customHeight="1" spans="1:7">
      <c r="A1230" s="204"/>
      <c r="B1230" s="218" t="s">
        <v>694</v>
      </c>
      <c r="C1230" s="219"/>
      <c r="D1230" s="54" t="s">
        <v>695</v>
      </c>
      <c r="E1230" s="214">
        <f>E1225*施工机械台时费!$L$5</f>
        <v>435.29</v>
      </c>
      <c r="F1230" s="214">
        <f>主要材料预算!$N$13</f>
        <v>6.0616206482593</v>
      </c>
      <c r="G1230" s="216">
        <f t="shared" ref="G1230:G1232" si="109">E1230*F1230</f>
        <v>2638.56285198079</v>
      </c>
    </row>
    <row r="1231" customHeight="1" spans="1:7">
      <c r="A1231" s="204" t="s">
        <v>906</v>
      </c>
      <c r="B1231" s="215" t="s">
        <v>772</v>
      </c>
      <c r="C1231" s="215"/>
      <c r="D1231" s="54"/>
      <c r="E1231" s="214">
        <f>G1217+G1227+G1228+G1229</f>
        <v>8461.18433286836</v>
      </c>
      <c r="F1231" s="222">
        <f>费率表!$C$7</f>
        <v>0.09</v>
      </c>
      <c r="G1231" s="216">
        <f t="shared" si="109"/>
        <v>761.506589958152</v>
      </c>
    </row>
    <row r="1232" customHeight="1" spans="1:7">
      <c r="A1232" s="204"/>
      <c r="B1232" s="215" t="s">
        <v>907</v>
      </c>
      <c r="C1232" s="215"/>
      <c r="D1232" s="54"/>
      <c r="E1232" s="214">
        <f>G1217+G1227+G1228+G1229+G1231</f>
        <v>9222.69092282651</v>
      </c>
      <c r="F1232" s="222">
        <f>费率表!$B$19</f>
        <v>0.03</v>
      </c>
      <c r="G1232" s="216">
        <f t="shared" si="109"/>
        <v>276.680727684795</v>
      </c>
    </row>
    <row r="1233" customHeight="1" spans="1:7">
      <c r="A1233" s="223"/>
      <c r="B1233" s="224" t="s">
        <v>39</v>
      </c>
      <c r="C1233" s="224"/>
      <c r="D1233" s="224"/>
      <c r="E1233" s="225"/>
      <c r="F1233" s="224"/>
      <c r="G1233" s="226">
        <f>G1217+G1227+G1228+G1229+G1231+G1232</f>
        <v>9499.37165051131</v>
      </c>
    </row>
    <row r="1235" customHeight="1" spans="1:7">
      <c r="A1235" s="285" t="s">
        <v>868</v>
      </c>
      <c r="B1235" s="285"/>
      <c r="C1235" s="285"/>
      <c r="D1235" s="285"/>
      <c r="E1235" s="285"/>
      <c r="F1235" s="285"/>
      <c r="G1235" s="285"/>
    </row>
    <row r="1236" customHeight="1" spans="1:7">
      <c r="A1236" s="286" t="s">
        <v>869</v>
      </c>
      <c r="B1236" s="287"/>
      <c r="C1236" s="200"/>
      <c r="D1236" s="200" t="s">
        <v>870</v>
      </c>
      <c r="E1236" s="201" t="s">
        <v>1432</v>
      </c>
      <c r="F1236" s="202"/>
      <c r="G1236" s="203"/>
    </row>
    <row r="1237" customHeight="1" spans="1:7">
      <c r="A1237" s="288" t="s">
        <v>507</v>
      </c>
      <c r="B1237" s="289"/>
      <c r="C1237" s="290" t="s">
        <v>1433</v>
      </c>
      <c r="D1237" s="291"/>
      <c r="E1237" s="292"/>
      <c r="F1237" s="54" t="s">
        <v>873</v>
      </c>
      <c r="G1237" s="207" t="s">
        <v>874</v>
      </c>
    </row>
    <row r="1238" customHeight="1" spans="1:7">
      <c r="A1238" s="293" t="s">
        <v>875</v>
      </c>
      <c r="B1238" s="291"/>
      <c r="C1238" s="291"/>
      <c r="D1238" s="291"/>
      <c r="E1238" s="291"/>
      <c r="F1238" s="291"/>
      <c r="G1238" s="294"/>
    </row>
    <row r="1239" customHeight="1" spans="1:7">
      <c r="A1239" s="210" t="s">
        <v>1169</v>
      </c>
      <c r="B1239" s="211"/>
      <c r="C1239" s="211"/>
      <c r="D1239" s="211"/>
      <c r="E1239" s="211"/>
      <c r="F1239" s="211"/>
      <c r="G1239" s="295"/>
    </row>
    <row r="1240" customHeight="1" spans="1:7">
      <c r="A1240" s="204" t="s">
        <v>34</v>
      </c>
      <c r="B1240" s="54" t="s">
        <v>761</v>
      </c>
      <c r="C1240" s="54"/>
      <c r="D1240" s="54" t="s">
        <v>60</v>
      </c>
      <c r="E1240" s="214" t="s">
        <v>877</v>
      </c>
      <c r="F1240" s="54" t="s">
        <v>878</v>
      </c>
      <c r="G1240" s="207" t="s">
        <v>879</v>
      </c>
    </row>
    <row r="1241" customHeight="1" spans="1:7">
      <c r="A1241" s="204" t="s">
        <v>8</v>
      </c>
      <c r="B1241" s="215" t="s">
        <v>880</v>
      </c>
      <c r="C1241" s="215"/>
      <c r="D1241" s="54"/>
      <c r="E1241" s="214"/>
      <c r="F1241" s="214"/>
      <c r="G1241" s="216">
        <f>G1242+G1252</f>
        <v>3135.01012765892</v>
      </c>
    </row>
    <row r="1242" customHeight="1" spans="1:7">
      <c r="A1242" s="204" t="s">
        <v>881</v>
      </c>
      <c r="B1242" s="215" t="s">
        <v>882</v>
      </c>
      <c r="C1242" s="215"/>
      <c r="D1242" s="54"/>
      <c r="E1242" s="214"/>
      <c r="F1242" s="214"/>
      <c r="G1242" s="216">
        <f>G1243+G1246+G1248</f>
        <v>2991.42187753714</v>
      </c>
    </row>
    <row r="1243" customHeight="1" spans="1:7">
      <c r="A1243" s="204" t="s">
        <v>17</v>
      </c>
      <c r="B1243" s="215" t="s">
        <v>510</v>
      </c>
      <c r="C1243" s="215"/>
      <c r="D1243" s="54"/>
      <c r="E1243" s="214"/>
      <c r="F1243" s="214"/>
      <c r="G1243" s="216">
        <f>SUM(G1244:G1245)</f>
        <v>1774.275</v>
      </c>
    </row>
    <row r="1244" customHeight="1" spans="1:7">
      <c r="A1244" s="204"/>
      <c r="B1244" s="215" t="s">
        <v>704</v>
      </c>
      <c r="C1244" s="215"/>
      <c r="D1244" s="54" t="s">
        <v>705</v>
      </c>
      <c r="E1244" s="214"/>
      <c r="F1244" s="214"/>
      <c r="G1244" s="216"/>
    </row>
    <row r="1245" customHeight="1" spans="1:7">
      <c r="A1245" s="204"/>
      <c r="B1245" s="215" t="s">
        <v>706</v>
      </c>
      <c r="C1245" s="215"/>
      <c r="D1245" s="54" t="s">
        <v>705</v>
      </c>
      <c r="E1245" s="217">
        <v>307.5</v>
      </c>
      <c r="F1245" s="214">
        <f>主要材料预算!$D$20</f>
        <v>5.77</v>
      </c>
      <c r="G1245" s="216">
        <f t="shared" ref="G1245:G1250" si="110">E1245*F1245</f>
        <v>1774.275</v>
      </c>
    </row>
    <row r="1246" customHeight="1" spans="1:7">
      <c r="A1246" s="204" t="s">
        <v>19</v>
      </c>
      <c r="B1246" s="218" t="s">
        <v>511</v>
      </c>
      <c r="C1246" s="219"/>
      <c r="D1246" s="54"/>
      <c r="E1246" s="214"/>
      <c r="F1246" s="214"/>
      <c r="G1246" s="216">
        <f>G1247</f>
        <v>142.448660835102</v>
      </c>
    </row>
    <row r="1247" customHeight="1" spans="1:7">
      <c r="A1247" s="204"/>
      <c r="B1247" s="215" t="s">
        <v>1008</v>
      </c>
      <c r="C1247" s="215"/>
      <c r="D1247" s="54" t="s">
        <v>894</v>
      </c>
      <c r="E1247" s="214">
        <f>G1243+G1248</f>
        <v>2848.97321670203</v>
      </c>
      <c r="F1247" s="229">
        <v>5</v>
      </c>
      <c r="G1247" s="216">
        <f>E1247*F1247/100</f>
        <v>142.448660835102</v>
      </c>
    </row>
    <row r="1248" customHeight="1" spans="1:7">
      <c r="A1248" s="204" t="s">
        <v>21</v>
      </c>
      <c r="B1248" s="215" t="s">
        <v>895</v>
      </c>
      <c r="C1248" s="215"/>
      <c r="D1248" s="215"/>
      <c r="E1248" s="214"/>
      <c r="F1248" s="214"/>
      <c r="G1248" s="216">
        <f>SUM(G1249:G1251)</f>
        <v>1074.69821670203</v>
      </c>
    </row>
    <row r="1249" customHeight="1" spans="1:30">
      <c r="A1249" s="204"/>
      <c r="B1249" s="218" t="s">
        <v>1434</v>
      </c>
      <c r="C1249" s="219"/>
      <c r="D1249" s="54" t="s">
        <v>896</v>
      </c>
      <c r="E1249" s="214">
        <v>3.48</v>
      </c>
      <c r="F1249" s="214">
        <f>施工机械台时费!$E$6</f>
        <v>122.94140686079</v>
      </c>
      <c r="G1249" s="216">
        <f t="shared" si="110"/>
        <v>427.836095875548</v>
      </c>
    </row>
    <row r="1250" customHeight="1" spans="1:30">
      <c r="A1250" s="204"/>
      <c r="B1250" s="218" t="s">
        <v>807</v>
      </c>
      <c r="C1250" s="219"/>
      <c r="D1250" s="54" t="s">
        <v>896</v>
      </c>
      <c r="E1250" s="214">
        <v>6.66</v>
      </c>
      <c r="F1250" s="214">
        <f>施工机械台时费!$E$13</f>
        <v>89.4423446350219</v>
      </c>
      <c r="G1250" s="216">
        <f t="shared" si="110"/>
        <v>595.686015269246</v>
      </c>
    </row>
    <row r="1251" customHeight="1" spans="1:30">
      <c r="A1251" s="204"/>
      <c r="B1251" s="218" t="s">
        <v>902</v>
      </c>
      <c r="C1251" s="219"/>
      <c r="D1251" s="54" t="s">
        <v>894</v>
      </c>
      <c r="E1251" s="214">
        <f>SUM(G1249:G1250)</f>
        <v>1023.52211114479</v>
      </c>
      <c r="F1251" s="229">
        <v>5</v>
      </c>
      <c r="G1251" s="216">
        <f>E1251*F1251/100</f>
        <v>51.1761055572397</v>
      </c>
    </row>
    <row r="1252" customHeight="1" spans="1:30">
      <c r="A1252" s="204" t="s">
        <v>905</v>
      </c>
      <c r="B1252" s="215" t="s">
        <v>514</v>
      </c>
      <c r="C1252" s="215"/>
      <c r="D1252" s="54"/>
      <c r="E1252" s="220">
        <f>G1242</f>
        <v>2991.42187753714</v>
      </c>
      <c r="F1252" s="221">
        <f>费率表!$J$4</f>
        <v>0.048</v>
      </c>
      <c r="G1252" s="216">
        <f t="shared" ref="G1252:G1254" si="111">E1252*F1252</f>
        <v>143.588250121783</v>
      </c>
    </row>
    <row r="1253" customHeight="1" spans="1:30">
      <c r="A1253" s="204" t="s">
        <v>10</v>
      </c>
      <c r="B1253" s="215" t="s">
        <v>770</v>
      </c>
      <c r="C1253" s="215"/>
      <c r="D1253" s="54"/>
      <c r="E1253" s="214">
        <f>G1241</f>
        <v>3135.01012765892</v>
      </c>
      <c r="F1253" s="222">
        <f>费率表!$J$5</f>
        <v>0.075</v>
      </c>
      <c r="G1253" s="216">
        <f t="shared" si="111"/>
        <v>235.125759574419</v>
      </c>
    </row>
    <row r="1254" customHeight="1" spans="1:30">
      <c r="A1254" s="204" t="s">
        <v>12</v>
      </c>
      <c r="B1254" s="215" t="s">
        <v>771</v>
      </c>
      <c r="C1254" s="215"/>
      <c r="D1254" s="54"/>
      <c r="E1254" s="214">
        <f>G1241+G1253</f>
        <v>3370.13588723334</v>
      </c>
      <c r="F1254" s="222">
        <f>费率表!$J$6</f>
        <v>0.07</v>
      </c>
      <c r="G1254" s="216">
        <f t="shared" si="111"/>
        <v>235.909512106334</v>
      </c>
    </row>
    <row r="1255" customHeight="1" spans="1:30">
      <c r="A1255" s="204" t="s">
        <v>15</v>
      </c>
      <c r="B1255" s="218" t="s">
        <v>517</v>
      </c>
      <c r="C1255" s="219"/>
      <c r="D1255" s="54"/>
      <c r="E1255" s="214"/>
      <c r="F1255" s="230"/>
      <c r="G1255" s="216">
        <f>G1256</f>
        <v>742.233325138055</v>
      </c>
    </row>
    <row r="1256" customHeight="1" spans="1:30">
      <c r="A1256" s="204"/>
      <c r="B1256" s="218" t="s">
        <v>694</v>
      </c>
      <c r="C1256" s="219"/>
      <c r="D1256" s="54" t="s">
        <v>695</v>
      </c>
      <c r="E1256" s="214">
        <f>E1249*施工机械台时费!$L$6+施工机械台时费!$L$13*维修!E1250</f>
        <v>122.448</v>
      </c>
      <c r="F1256" s="214">
        <f>主要材料预算!$N$13</f>
        <v>6.0616206482593</v>
      </c>
      <c r="G1256" s="216">
        <f t="shared" ref="G1256:G1258" si="112">E1256*F1256</f>
        <v>742.233325138055</v>
      </c>
    </row>
    <row r="1257" customHeight="1" spans="1:30">
      <c r="A1257" s="204" t="s">
        <v>906</v>
      </c>
      <c r="B1257" s="215" t="s">
        <v>772</v>
      </c>
      <c r="C1257" s="215"/>
      <c r="D1257" s="54"/>
      <c r="E1257" s="214">
        <f>G1241+G1253+G1254+G1255</f>
        <v>4348.27872447773</v>
      </c>
      <c r="F1257" s="222">
        <f>费率表!$C$7</f>
        <v>0.09</v>
      </c>
      <c r="G1257" s="216">
        <f t="shared" si="112"/>
        <v>391.345085202996</v>
      </c>
    </row>
    <row r="1258" customHeight="1" spans="1:30">
      <c r="A1258" s="204"/>
      <c r="B1258" s="215" t="s">
        <v>907</v>
      </c>
      <c r="C1258" s="215"/>
      <c r="D1258" s="54"/>
      <c r="E1258" s="214">
        <f>G1241+G1253+G1254+G1255+G1257</f>
        <v>4739.62380968072</v>
      </c>
      <c r="F1258" s="222">
        <f>费率表!$B$19</f>
        <v>0.03</v>
      </c>
      <c r="G1258" s="216">
        <f t="shared" si="112"/>
        <v>142.188714290422</v>
      </c>
    </row>
    <row r="1259" s="91" customFormat="1" customHeight="1" spans="1:30">
      <c r="A1259" s="223"/>
      <c r="B1259" s="224" t="s">
        <v>39</v>
      </c>
      <c r="C1259" s="224"/>
      <c r="D1259" s="224"/>
      <c r="E1259" s="225"/>
      <c r="F1259" s="224"/>
      <c r="G1259" s="226">
        <f>G1241+G1253+G1254+G1255+G1257+G1258</f>
        <v>4881.81252397115</v>
      </c>
      <c r="S1259" s="231"/>
      <c r="T1259" s="231"/>
      <c r="U1259" s="231"/>
      <c r="V1259" s="231"/>
      <c r="W1259" s="231"/>
      <c r="X1259" s="231"/>
      <c r="Y1259" s="231"/>
      <c r="Z1259" s="231"/>
      <c r="AA1259" s="231"/>
      <c r="AB1259" s="231"/>
      <c r="AC1259" s="231"/>
      <c r="AD1259" s="231"/>
    </row>
    <row r="1260" s="91" customFormat="1" customHeight="1" spans="1:30">
      <c r="A1260" s="92"/>
      <c r="B1260" s="92"/>
      <c r="C1260" s="92"/>
      <c r="D1260" s="92"/>
      <c r="E1260" s="92"/>
      <c r="F1260" s="92"/>
      <c r="G1260" s="92"/>
      <c r="S1260" s="231"/>
      <c r="T1260" s="231"/>
      <c r="U1260" s="231"/>
      <c r="V1260" s="231"/>
      <c r="W1260" s="231"/>
      <c r="X1260" s="231"/>
      <c r="Y1260" s="231"/>
      <c r="Z1260" s="231"/>
      <c r="AA1260" s="231"/>
      <c r="AB1260" s="231"/>
      <c r="AC1260" s="231"/>
      <c r="AD1260" s="231"/>
    </row>
    <row r="1261" s="91" customFormat="1" customHeight="1" spans="1:30">
      <c r="A1261" s="285" t="s">
        <v>868</v>
      </c>
      <c r="B1261" s="285"/>
      <c r="C1261" s="285"/>
      <c r="D1261" s="285"/>
      <c r="E1261" s="285"/>
      <c r="F1261" s="285"/>
      <c r="G1261" s="285"/>
      <c r="S1261" s="231"/>
      <c r="T1261" s="231"/>
      <c r="U1261" s="231"/>
      <c r="V1261" s="231"/>
      <c r="W1261" s="231"/>
      <c r="X1261" s="231"/>
      <c r="Y1261" s="231"/>
      <c r="Z1261" s="231"/>
      <c r="AA1261" s="231"/>
      <c r="AB1261" s="231"/>
      <c r="AC1261" s="231"/>
      <c r="AD1261" s="231"/>
    </row>
    <row r="1262" s="91" customFormat="1" customHeight="1" spans="1:30">
      <c r="A1262" s="286" t="s">
        <v>869</v>
      </c>
      <c r="B1262" s="287"/>
      <c r="C1262" s="200"/>
      <c r="D1262" s="200" t="s">
        <v>870</v>
      </c>
      <c r="E1262" s="201" t="s">
        <v>1435</v>
      </c>
      <c r="F1262" s="202"/>
      <c r="G1262" s="203"/>
      <c r="S1262" s="231"/>
      <c r="T1262" s="231"/>
      <c r="U1262" s="231"/>
      <c r="V1262" s="231"/>
      <c r="W1262" s="231"/>
      <c r="X1262" s="231"/>
      <c r="Y1262" s="231"/>
      <c r="Z1262" s="231"/>
      <c r="AA1262" s="231"/>
      <c r="AB1262" s="231"/>
      <c r="AC1262" s="231"/>
      <c r="AD1262" s="231"/>
    </row>
    <row r="1263" s="91" customFormat="1" customHeight="1" spans="1:30">
      <c r="A1263" s="288" t="s">
        <v>507</v>
      </c>
      <c r="B1263" s="289"/>
      <c r="C1263" s="290" t="s">
        <v>1436</v>
      </c>
      <c r="D1263" s="291"/>
      <c r="E1263" s="292"/>
      <c r="F1263" s="54" t="s">
        <v>873</v>
      </c>
      <c r="G1263" s="207" t="s">
        <v>874</v>
      </c>
      <c r="S1263" s="231"/>
      <c r="T1263" s="231"/>
      <c r="U1263" s="231"/>
      <c r="V1263" s="231"/>
      <c r="W1263" s="231"/>
      <c r="X1263" s="231"/>
      <c r="Y1263" s="231"/>
      <c r="Z1263" s="231"/>
      <c r="AA1263" s="231"/>
      <c r="AB1263" s="231"/>
      <c r="AC1263" s="231"/>
      <c r="AD1263" s="231"/>
    </row>
    <row r="1264" s="91" customFormat="1" customHeight="1" spans="1:30">
      <c r="A1264" s="293" t="s">
        <v>875</v>
      </c>
      <c r="B1264" s="291"/>
      <c r="C1264" s="291"/>
      <c r="D1264" s="291"/>
      <c r="E1264" s="291"/>
      <c r="F1264" s="291"/>
      <c r="G1264" s="294"/>
      <c r="S1264" s="231"/>
      <c r="T1264" s="231"/>
      <c r="U1264" s="231"/>
      <c r="V1264" s="231"/>
      <c r="W1264" s="231"/>
      <c r="X1264" s="231"/>
      <c r="Y1264" s="231"/>
      <c r="Z1264" s="231"/>
      <c r="AA1264" s="231"/>
      <c r="AB1264" s="231"/>
      <c r="AC1264" s="231"/>
      <c r="AD1264" s="231"/>
    </row>
    <row r="1265" s="91" customFormat="1" customHeight="1" spans="1:30">
      <c r="A1265" s="210" t="s">
        <v>1437</v>
      </c>
      <c r="B1265" s="211"/>
      <c r="C1265" s="211"/>
      <c r="D1265" s="211"/>
      <c r="E1265" s="211"/>
      <c r="F1265" s="211"/>
      <c r="G1265" s="295"/>
      <c r="S1265" s="231"/>
      <c r="T1265" s="231"/>
      <c r="U1265" s="231"/>
      <c r="V1265" s="231"/>
      <c r="W1265" s="231"/>
      <c r="X1265" s="231"/>
      <c r="Y1265" s="231"/>
      <c r="Z1265" s="231"/>
      <c r="AA1265" s="231"/>
      <c r="AB1265" s="231"/>
      <c r="AC1265" s="231"/>
      <c r="AD1265" s="231"/>
    </row>
    <row r="1266" s="91" customFormat="1" customHeight="1" spans="1:30">
      <c r="A1266" s="204" t="s">
        <v>34</v>
      </c>
      <c r="B1266" s="54" t="s">
        <v>761</v>
      </c>
      <c r="C1266" s="54"/>
      <c r="D1266" s="54" t="s">
        <v>60</v>
      </c>
      <c r="E1266" s="214" t="s">
        <v>877</v>
      </c>
      <c r="F1266" s="54" t="s">
        <v>878</v>
      </c>
      <c r="G1266" s="207" t="s">
        <v>879</v>
      </c>
      <c r="S1266" s="231"/>
      <c r="T1266" s="231"/>
      <c r="U1266" s="231"/>
      <c r="V1266" s="231"/>
      <c r="W1266" s="231"/>
      <c r="X1266" s="231"/>
      <c r="Y1266" s="231"/>
      <c r="Z1266" s="231"/>
      <c r="AA1266" s="231"/>
      <c r="AB1266" s="231"/>
      <c r="AC1266" s="231"/>
      <c r="AD1266" s="231"/>
    </row>
    <row r="1267" s="91" customFormat="1" customHeight="1" spans="1:30">
      <c r="A1267" s="204" t="s">
        <v>8</v>
      </c>
      <c r="B1267" s="215" t="s">
        <v>880</v>
      </c>
      <c r="C1267" s="215"/>
      <c r="D1267" s="54"/>
      <c r="E1267" s="214"/>
      <c r="F1267" s="214"/>
      <c r="G1267" s="216">
        <f>G1268+G1284</f>
        <v>36863.0309327965</v>
      </c>
      <c r="S1267" s="231"/>
      <c r="T1267" s="231"/>
      <c r="U1267" s="231"/>
      <c r="V1267" s="231"/>
      <c r="W1267" s="231"/>
      <c r="X1267" s="231"/>
      <c r="Y1267" s="231"/>
      <c r="Z1267" s="231"/>
      <c r="AA1267" s="231"/>
      <c r="AB1267" s="231"/>
      <c r="AC1267" s="231"/>
      <c r="AD1267" s="231"/>
    </row>
    <row r="1268" s="91" customFormat="1" customHeight="1" spans="1:30">
      <c r="A1268" s="204" t="s">
        <v>881</v>
      </c>
      <c r="B1268" s="215" t="s">
        <v>882</v>
      </c>
      <c r="C1268" s="215"/>
      <c r="D1268" s="54"/>
      <c r="E1268" s="214"/>
      <c r="F1268" s="214"/>
      <c r="G1268" s="216">
        <f>G1269+G1272+G1278</f>
        <v>35174.6478366379</v>
      </c>
      <c r="S1268" s="231"/>
      <c r="T1268" s="231"/>
      <c r="U1268" s="231"/>
      <c r="V1268" s="231"/>
      <c r="W1268" s="231"/>
      <c r="X1268" s="231"/>
      <c r="Y1268" s="231"/>
      <c r="Z1268" s="231"/>
      <c r="AA1268" s="231"/>
      <c r="AB1268" s="231"/>
      <c r="AC1268" s="231"/>
      <c r="AD1268" s="231"/>
    </row>
    <row r="1269" s="91" customFormat="1" customHeight="1" spans="1:30">
      <c r="A1269" s="204" t="s">
        <v>17</v>
      </c>
      <c r="B1269" s="215" t="s">
        <v>510</v>
      </c>
      <c r="C1269" s="215"/>
      <c r="D1269" s="54"/>
      <c r="E1269" s="214"/>
      <c r="F1269" s="214"/>
      <c r="G1269" s="216">
        <f>SUM(G1270:G1271)</f>
        <v>12161.72</v>
      </c>
      <c r="S1269" s="231"/>
      <c r="T1269" s="231"/>
      <c r="U1269" s="231"/>
      <c r="V1269" s="231"/>
      <c r="W1269" s="231"/>
      <c r="X1269" s="231"/>
      <c r="Y1269" s="231"/>
      <c r="Z1269" s="231"/>
      <c r="AA1269" s="231"/>
      <c r="AB1269" s="231"/>
      <c r="AC1269" s="231"/>
      <c r="AD1269" s="231"/>
    </row>
    <row r="1270" s="91" customFormat="1" customHeight="1" spans="1:30">
      <c r="A1270" s="204"/>
      <c r="B1270" s="215" t="s">
        <v>704</v>
      </c>
      <c r="C1270" s="215"/>
      <c r="D1270" s="54" t="s">
        <v>705</v>
      </c>
      <c r="E1270" s="214">
        <v>564</v>
      </c>
      <c r="F1270" s="214">
        <f>主要材料预算!$D$19</f>
        <v>8.1</v>
      </c>
      <c r="G1270" s="216">
        <f t="shared" ref="G1270:G1276" si="113">E1270*F1270</f>
        <v>4568.4</v>
      </c>
      <c r="S1270" s="231"/>
      <c r="T1270" s="231"/>
      <c r="U1270" s="231"/>
      <c r="V1270" s="231"/>
      <c r="W1270" s="231"/>
      <c r="X1270" s="231"/>
      <c r="Y1270" s="231"/>
      <c r="Z1270" s="231"/>
      <c r="AA1270" s="231"/>
      <c r="AB1270" s="231"/>
      <c r="AC1270" s="231"/>
      <c r="AD1270" s="231"/>
    </row>
    <row r="1271" s="91" customFormat="1" customHeight="1" spans="1:30">
      <c r="A1271" s="204"/>
      <c r="B1271" s="215" t="s">
        <v>706</v>
      </c>
      <c r="C1271" s="215"/>
      <c r="D1271" s="54" t="s">
        <v>705</v>
      </c>
      <c r="E1271" s="217">
        <v>1316</v>
      </c>
      <c r="F1271" s="214">
        <f>主要材料预算!$D$20</f>
        <v>5.77</v>
      </c>
      <c r="G1271" s="216">
        <f t="shared" si="113"/>
        <v>7593.32</v>
      </c>
      <c r="S1271" s="231"/>
      <c r="T1271" s="231"/>
      <c r="U1271" s="231"/>
      <c r="V1271" s="231"/>
      <c r="W1271" s="231"/>
      <c r="X1271" s="231"/>
      <c r="Y1271" s="231"/>
      <c r="Z1271" s="231"/>
      <c r="AA1271" s="231"/>
      <c r="AB1271" s="231"/>
      <c r="AC1271" s="231"/>
      <c r="AD1271" s="231"/>
    </row>
    <row r="1272" s="91" customFormat="1" customHeight="1" spans="1:30">
      <c r="A1272" s="204" t="s">
        <v>19</v>
      </c>
      <c r="B1272" s="218" t="s">
        <v>511</v>
      </c>
      <c r="C1272" s="219"/>
      <c r="D1272" s="54"/>
      <c r="E1272" s="214"/>
      <c r="F1272" s="214"/>
      <c r="G1272" s="216">
        <f>SUM(G1273:G1277)</f>
        <v>20446.9280926</v>
      </c>
      <c r="S1272" s="231"/>
      <c r="T1272" s="231"/>
      <c r="U1272" s="231"/>
      <c r="V1272" s="231"/>
      <c r="W1272" s="231"/>
      <c r="X1272" s="231"/>
      <c r="Y1272" s="231"/>
      <c r="Z1272" s="231"/>
      <c r="AA1272" s="231"/>
      <c r="AB1272" s="231"/>
      <c r="AC1272" s="231"/>
      <c r="AD1272" s="231"/>
    </row>
    <row r="1273" s="91" customFormat="1" customHeight="1" spans="1:30">
      <c r="A1273" s="204"/>
      <c r="B1273" s="218" t="s">
        <v>921</v>
      </c>
      <c r="C1273" s="219"/>
      <c r="D1273" s="54" t="s">
        <v>70</v>
      </c>
      <c r="E1273" s="214">
        <v>108</v>
      </c>
      <c r="F1273" s="214">
        <f>混凝土单价计算表!$M$7</f>
        <v>176.454345</v>
      </c>
      <c r="G1273" s="216">
        <f t="shared" si="113"/>
        <v>19057.06926</v>
      </c>
      <c r="S1273" s="231"/>
      <c r="T1273" s="231"/>
      <c r="U1273" s="231"/>
      <c r="V1273" s="231"/>
      <c r="W1273" s="231"/>
      <c r="X1273" s="231"/>
      <c r="Y1273" s="231"/>
      <c r="Z1273" s="231"/>
      <c r="AA1273" s="231"/>
      <c r="AB1273" s="231"/>
      <c r="AC1273" s="231"/>
      <c r="AD1273" s="231"/>
    </row>
    <row r="1274" s="91" customFormat="1" customHeight="1" spans="1:30">
      <c r="A1274" s="204"/>
      <c r="B1274" s="218" t="s">
        <v>885</v>
      </c>
      <c r="C1274" s="219"/>
      <c r="D1274" s="54" t="s">
        <v>695</v>
      </c>
      <c r="E1274" s="214">
        <v>102.1</v>
      </c>
      <c r="F1274" s="214">
        <f>基础材料!$D$9</f>
        <v>4.44</v>
      </c>
      <c r="G1274" s="216">
        <f t="shared" si="113"/>
        <v>453.324</v>
      </c>
      <c r="S1274" s="231"/>
      <c r="T1274" s="231"/>
      <c r="U1274" s="231"/>
      <c r="V1274" s="231"/>
      <c r="W1274" s="231"/>
      <c r="X1274" s="231"/>
      <c r="Y1274" s="231"/>
      <c r="Z1274" s="231"/>
      <c r="AA1274" s="231"/>
      <c r="AB1274" s="231"/>
      <c r="AC1274" s="231"/>
      <c r="AD1274" s="231"/>
    </row>
    <row r="1275" s="91" customFormat="1" customHeight="1" spans="1:30">
      <c r="A1275" s="204"/>
      <c r="B1275" s="296" t="s">
        <v>1438</v>
      </c>
      <c r="C1275" s="297"/>
      <c r="D1275" s="54" t="s">
        <v>695</v>
      </c>
      <c r="E1275" s="214">
        <v>43.1</v>
      </c>
      <c r="F1275" s="214">
        <f>基础材料!$D$11</f>
        <v>4.9</v>
      </c>
      <c r="G1275" s="216">
        <f t="shared" si="113"/>
        <v>211.19</v>
      </c>
      <c r="S1275" s="231"/>
      <c r="T1275" s="231"/>
      <c r="U1275" s="231"/>
      <c r="V1275" s="231"/>
      <c r="W1275" s="231"/>
      <c r="X1275" s="231"/>
      <c r="Y1275" s="231"/>
      <c r="Z1275" s="231"/>
      <c r="AA1275" s="231"/>
      <c r="AB1275" s="231"/>
      <c r="AC1275" s="231"/>
      <c r="AD1275" s="231"/>
    </row>
    <row r="1276" s="91" customFormat="1" customHeight="1" spans="1:30">
      <c r="A1276" s="204"/>
      <c r="B1276" s="218" t="s">
        <v>730</v>
      </c>
      <c r="C1276" s="219"/>
      <c r="D1276" s="54" t="s">
        <v>70</v>
      </c>
      <c r="E1276" s="214">
        <v>126</v>
      </c>
      <c r="F1276" s="214">
        <f>主要材料预算!$D$16</f>
        <v>4.15</v>
      </c>
      <c r="G1276" s="216">
        <f t="shared" si="113"/>
        <v>522.9</v>
      </c>
      <c r="S1276" s="231"/>
      <c r="T1276" s="231"/>
      <c r="U1276" s="231"/>
      <c r="V1276" s="231"/>
      <c r="W1276" s="231"/>
      <c r="X1276" s="231"/>
      <c r="Y1276" s="231"/>
      <c r="Z1276" s="231"/>
      <c r="AA1276" s="231"/>
      <c r="AB1276" s="231"/>
      <c r="AC1276" s="231"/>
      <c r="AD1276" s="231"/>
    </row>
    <row r="1277" s="91" customFormat="1" customHeight="1" spans="1:30">
      <c r="A1277" s="204"/>
      <c r="B1277" s="215" t="s">
        <v>893</v>
      </c>
      <c r="C1277" s="215"/>
      <c r="D1277" s="54" t="s">
        <v>894</v>
      </c>
      <c r="E1277" s="214">
        <f>SUM(G1273:G1276)</f>
        <v>20244.48326</v>
      </c>
      <c r="F1277" s="229">
        <v>1</v>
      </c>
      <c r="G1277" s="216">
        <f>E1277*F1277/100</f>
        <v>202.4448326</v>
      </c>
      <c r="S1277" s="231"/>
      <c r="T1277" s="231"/>
      <c r="U1277" s="231"/>
      <c r="V1277" s="231"/>
      <c r="W1277" s="231"/>
      <c r="X1277" s="231"/>
      <c r="Y1277" s="231"/>
      <c r="Z1277" s="231"/>
      <c r="AA1277" s="231"/>
      <c r="AB1277" s="231"/>
      <c r="AC1277" s="231"/>
      <c r="AD1277" s="231"/>
    </row>
    <row r="1278" s="91" customFormat="1" customHeight="1" spans="1:30">
      <c r="A1278" s="204" t="s">
        <v>21</v>
      </c>
      <c r="B1278" s="215" t="s">
        <v>895</v>
      </c>
      <c r="C1278" s="215"/>
      <c r="D1278" s="215"/>
      <c r="E1278" s="214"/>
      <c r="F1278" s="214"/>
      <c r="G1278" s="216">
        <f>SUM(G1279:G1283)</f>
        <v>2565.9997440379</v>
      </c>
      <c r="S1278" s="231"/>
      <c r="T1278" s="231"/>
      <c r="U1278" s="231"/>
      <c r="V1278" s="231"/>
      <c r="W1278" s="231"/>
      <c r="X1278" s="231"/>
      <c r="Y1278" s="231"/>
      <c r="Z1278" s="231"/>
      <c r="AA1278" s="231"/>
      <c r="AB1278" s="231"/>
      <c r="AC1278" s="231"/>
      <c r="AD1278" s="231"/>
    </row>
    <row r="1279" s="91" customFormat="1" customHeight="1" spans="1:30">
      <c r="A1279" s="204"/>
      <c r="B1279" s="218" t="s">
        <v>1423</v>
      </c>
      <c r="C1279" s="219"/>
      <c r="D1279" s="54" t="s">
        <v>896</v>
      </c>
      <c r="E1279" s="214">
        <v>14.53</v>
      </c>
      <c r="F1279" s="214">
        <f>施工机械台时费!$E$21</f>
        <v>37.4199521340247</v>
      </c>
      <c r="G1279" s="216">
        <f t="shared" ref="G1279:G1282" si="114">E1279*F1279</f>
        <v>543.711904507379</v>
      </c>
      <c r="S1279" s="231"/>
      <c r="T1279" s="231"/>
      <c r="U1279" s="231"/>
      <c r="V1279" s="231"/>
      <c r="W1279" s="231"/>
      <c r="X1279" s="231"/>
      <c r="Y1279" s="231"/>
      <c r="Z1279" s="231"/>
      <c r="AA1279" s="231"/>
      <c r="AB1279" s="231"/>
      <c r="AC1279" s="231"/>
      <c r="AD1279" s="231"/>
    </row>
    <row r="1280" s="91" customFormat="1" customHeight="1" spans="1:30">
      <c r="A1280" s="204"/>
      <c r="B1280" s="218" t="s">
        <v>1439</v>
      </c>
      <c r="C1280" s="219"/>
      <c r="D1280" s="54" t="s">
        <v>896</v>
      </c>
      <c r="E1280" s="214">
        <v>64.24</v>
      </c>
      <c r="F1280" s="214">
        <f>施工机械台时费!$E$24</f>
        <v>5.08152772237734</v>
      </c>
      <c r="G1280" s="216">
        <f t="shared" si="114"/>
        <v>326.43734088552</v>
      </c>
      <c r="S1280" s="231"/>
      <c r="T1280" s="231"/>
      <c r="U1280" s="231"/>
      <c r="V1280" s="231"/>
      <c r="W1280" s="231"/>
      <c r="X1280" s="231"/>
      <c r="Y1280" s="231"/>
      <c r="Z1280" s="231"/>
      <c r="AA1280" s="231"/>
      <c r="AB1280" s="231"/>
      <c r="AC1280" s="231"/>
      <c r="AD1280" s="231"/>
    </row>
    <row r="1281" s="91" customFormat="1" customHeight="1" spans="1:30">
      <c r="A1281" s="204"/>
      <c r="B1281" s="218" t="s">
        <v>1440</v>
      </c>
      <c r="C1281" s="219"/>
      <c r="D1281" s="54" t="s">
        <v>896</v>
      </c>
      <c r="E1281" s="214">
        <v>94.73</v>
      </c>
      <c r="F1281" s="214">
        <f>施工机械台时费!$E$35</f>
        <v>17.1951356202633</v>
      </c>
      <c r="G1281" s="216">
        <f t="shared" si="114"/>
        <v>1628.89519730754</v>
      </c>
      <c r="S1281" s="231"/>
      <c r="T1281" s="231"/>
      <c r="U1281" s="231"/>
      <c r="V1281" s="231"/>
      <c r="W1281" s="231"/>
      <c r="X1281" s="231"/>
      <c r="Y1281" s="231"/>
      <c r="Z1281" s="231"/>
      <c r="AA1281" s="231"/>
      <c r="AB1281" s="231"/>
      <c r="AC1281" s="231"/>
      <c r="AD1281" s="231"/>
    </row>
    <row r="1282" s="91" customFormat="1" customHeight="1" spans="1:30">
      <c r="A1282" s="204"/>
      <c r="B1282" s="218" t="s">
        <v>901</v>
      </c>
      <c r="C1282" s="219"/>
      <c r="D1282" s="54" t="s">
        <v>896</v>
      </c>
      <c r="E1282" s="214">
        <v>57.6</v>
      </c>
      <c r="F1282" s="214">
        <f>施工机械台时费!$E$36</f>
        <v>0.813242919824491</v>
      </c>
      <c r="G1282" s="216">
        <f t="shared" si="114"/>
        <v>46.8427921818907</v>
      </c>
      <c r="S1282" s="231"/>
      <c r="T1282" s="231"/>
      <c r="U1282" s="231"/>
      <c r="V1282" s="231"/>
      <c r="W1282" s="231"/>
      <c r="X1282" s="231"/>
      <c r="Y1282" s="231"/>
      <c r="Z1282" s="231"/>
      <c r="AA1282" s="231"/>
      <c r="AB1282" s="231"/>
      <c r="AC1282" s="231"/>
      <c r="AD1282" s="231"/>
    </row>
    <row r="1283" s="91" customFormat="1" customHeight="1" spans="1:30">
      <c r="A1283" s="204"/>
      <c r="B1283" s="218" t="s">
        <v>902</v>
      </c>
      <c r="C1283" s="219"/>
      <c r="D1283" s="54" t="s">
        <v>894</v>
      </c>
      <c r="E1283" s="214">
        <f>SUM(G1279:G1282)</f>
        <v>2545.88723488233</v>
      </c>
      <c r="F1283" s="214">
        <v>0.79</v>
      </c>
      <c r="G1283" s="216">
        <f>E1283*F1283/100</f>
        <v>20.1125091555704</v>
      </c>
      <c r="S1283" s="231"/>
      <c r="T1283" s="231"/>
      <c r="U1283" s="231"/>
      <c r="V1283" s="231"/>
      <c r="W1283" s="231"/>
      <c r="X1283" s="231"/>
      <c r="Y1283" s="231"/>
      <c r="Z1283" s="231"/>
      <c r="AA1283" s="231"/>
      <c r="AB1283" s="231"/>
      <c r="AC1283" s="231"/>
      <c r="AD1283" s="231"/>
    </row>
    <row r="1284" s="91" customFormat="1" customHeight="1" spans="1:30">
      <c r="A1284" s="204" t="s">
        <v>905</v>
      </c>
      <c r="B1284" s="215" t="s">
        <v>514</v>
      </c>
      <c r="C1284" s="215"/>
      <c r="D1284" s="54"/>
      <c r="E1284" s="220">
        <f>G1268</f>
        <v>35174.6478366379</v>
      </c>
      <c r="F1284" s="221">
        <f>费率表!$F$4</f>
        <v>0.048</v>
      </c>
      <c r="G1284" s="216">
        <f t="shared" ref="G1284:G1286" si="115">E1284*F1284</f>
        <v>1688.38309615862</v>
      </c>
      <c r="S1284" s="231"/>
      <c r="T1284" s="231"/>
      <c r="U1284" s="231"/>
      <c r="V1284" s="231"/>
      <c r="W1284" s="231"/>
      <c r="X1284" s="231"/>
      <c r="Y1284" s="231"/>
      <c r="Z1284" s="231"/>
      <c r="AA1284" s="231"/>
      <c r="AB1284" s="231"/>
      <c r="AC1284" s="231"/>
      <c r="AD1284" s="231"/>
    </row>
    <row r="1285" s="91" customFormat="1" customHeight="1" spans="1:30">
      <c r="A1285" s="204" t="s">
        <v>10</v>
      </c>
      <c r="B1285" s="215" t="s">
        <v>770</v>
      </c>
      <c r="C1285" s="215"/>
      <c r="D1285" s="54"/>
      <c r="E1285" s="214">
        <f>G1267</f>
        <v>36863.0309327965</v>
      </c>
      <c r="F1285" s="222">
        <f>费率表!$F$5</f>
        <v>0.085</v>
      </c>
      <c r="G1285" s="216">
        <f t="shared" si="115"/>
        <v>3133.3576292877</v>
      </c>
      <c r="S1285" s="231"/>
      <c r="T1285" s="231"/>
      <c r="U1285" s="231"/>
      <c r="V1285" s="231"/>
      <c r="W1285" s="231"/>
      <c r="X1285" s="231"/>
      <c r="Y1285" s="231"/>
      <c r="Z1285" s="231"/>
      <c r="AA1285" s="231"/>
      <c r="AB1285" s="231"/>
      <c r="AC1285" s="231"/>
      <c r="AD1285" s="231"/>
    </row>
    <row r="1286" s="91" customFormat="1" customHeight="1" spans="1:30">
      <c r="A1286" s="204" t="s">
        <v>12</v>
      </c>
      <c r="B1286" s="215" t="s">
        <v>771</v>
      </c>
      <c r="C1286" s="215"/>
      <c r="D1286" s="54"/>
      <c r="E1286" s="214">
        <f>G1267+G1285</f>
        <v>39996.3885620842</v>
      </c>
      <c r="F1286" s="222">
        <f>费率表!$F$6</f>
        <v>0.07</v>
      </c>
      <c r="G1286" s="216">
        <f t="shared" si="115"/>
        <v>2799.7471993459</v>
      </c>
      <c r="S1286" s="231"/>
      <c r="T1286" s="231"/>
      <c r="U1286" s="231"/>
      <c r="V1286" s="231"/>
      <c r="W1286" s="231"/>
      <c r="X1286" s="231"/>
      <c r="Y1286" s="231"/>
      <c r="Z1286" s="231"/>
      <c r="AA1286" s="231"/>
      <c r="AB1286" s="231"/>
      <c r="AC1286" s="231"/>
      <c r="AD1286" s="231"/>
    </row>
    <row r="1287" s="91" customFormat="1" customHeight="1" spans="1:30">
      <c r="A1287" s="204" t="s">
        <v>15</v>
      </c>
      <c r="B1287" s="218" t="s">
        <v>517</v>
      </c>
      <c r="C1287" s="219"/>
      <c r="D1287" s="54"/>
      <c r="E1287" s="214"/>
      <c r="F1287" s="230"/>
      <c r="G1287" s="216">
        <f>SUM(G1288:G1290)</f>
        <v>5478.67848630505</v>
      </c>
      <c r="S1287" s="231"/>
      <c r="T1287" s="231"/>
      <c r="U1287" s="231"/>
      <c r="V1287" s="231"/>
      <c r="W1287" s="231"/>
      <c r="X1287" s="231"/>
      <c r="Y1287" s="231"/>
      <c r="Z1287" s="231"/>
      <c r="AA1287" s="231"/>
      <c r="AB1287" s="231"/>
      <c r="AC1287" s="231"/>
      <c r="AD1287" s="231"/>
    </row>
    <row r="1288" s="91" customFormat="1" customHeight="1" spans="1:30">
      <c r="A1288" s="204"/>
      <c r="B1288" s="218" t="s">
        <v>729</v>
      </c>
      <c r="C1288" s="219"/>
      <c r="D1288" s="54" t="s">
        <v>70</v>
      </c>
      <c r="E1288" s="214">
        <f>E1273*混凝土单价计算表!$E$7</f>
        <v>33.177276</v>
      </c>
      <c r="F1288" s="214">
        <f>主要材料预算!$N$5</f>
        <v>139.17214</v>
      </c>
      <c r="G1288" s="216">
        <f t="shared" ref="G1288:G1292" si="116">E1288*F1288</f>
        <v>4617.35250029064</v>
      </c>
      <c r="S1288" s="231"/>
      <c r="T1288" s="231"/>
      <c r="U1288" s="231"/>
      <c r="V1288" s="231"/>
      <c r="W1288" s="231"/>
      <c r="X1288" s="231"/>
      <c r="Y1288" s="231"/>
      <c r="Z1288" s="231"/>
      <c r="AA1288" s="231"/>
      <c r="AB1288" s="231"/>
      <c r="AC1288" s="231"/>
      <c r="AD1288" s="231"/>
    </row>
    <row r="1289" s="91" customFormat="1" customHeight="1" spans="1:30">
      <c r="A1289" s="204"/>
      <c r="B1289" s="218" t="s">
        <v>684</v>
      </c>
      <c r="C1289" s="219"/>
      <c r="D1289" s="54" t="s">
        <v>70</v>
      </c>
      <c r="E1289" s="214">
        <f>E1273*混凝土单价计算表!$G$7</f>
        <v>59.37624</v>
      </c>
      <c r="F1289" s="214"/>
      <c r="G1289" s="216">
        <f t="shared" si="116"/>
        <v>0</v>
      </c>
      <c r="S1289" s="231"/>
      <c r="T1289" s="231"/>
      <c r="U1289" s="231"/>
      <c r="V1289" s="231"/>
      <c r="W1289" s="231"/>
      <c r="X1289" s="231"/>
      <c r="Y1289" s="231"/>
      <c r="Z1289" s="231"/>
      <c r="AA1289" s="231"/>
      <c r="AB1289" s="231"/>
      <c r="AC1289" s="231"/>
      <c r="AD1289" s="231"/>
    </row>
    <row r="1290" s="91" customFormat="1" customHeight="1" spans="1:30">
      <c r="A1290" s="204"/>
      <c r="B1290" s="218" t="s">
        <v>694</v>
      </c>
      <c r="C1290" s="219"/>
      <c r="D1290" s="54" t="s">
        <v>695</v>
      </c>
      <c r="E1290" s="214">
        <f>E1281*施工机械台时费!$L$35</f>
        <v>142.095</v>
      </c>
      <c r="F1290" s="214">
        <f>主要材料预算!$N$13</f>
        <v>6.0616206482593</v>
      </c>
      <c r="G1290" s="216">
        <f t="shared" si="116"/>
        <v>861.325986014405</v>
      </c>
      <c r="S1290" s="231"/>
      <c r="T1290" s="231"/>
      <c r="U1290" s="231"/>
      <c r="V1290" s="231"/>
      <c r="W1290" s="231"/>
      <c r="X1290" s="231"/>
      <c r="Y1290" s="231"/>
      <c r="Z1290" s="231"/>
      <c r="AA1290" s="231"/>
      <c r="AB1290" s="231"/>
      <c r="AC1290" s="231"/>
      <c r="AD1290" s="231"/>
    </row>
    <row r="1291" s="91" customFormat="1" customHeight="1" spans="1:30">
      <c r="A1291" s="204" t="s">
        <v>906</v>
      </c>
      <c r="B1291" s="215" t="s">
        <v>772</v>
      </c>
      <c r="C1291" s="215"/>
      <c r="D1291" s="54"/>
      <c r="E1291" s="214">
        <f>G1267+G1285+G1286+G1287</f>
        <v>48274.8142477351</v>
      </c>
      <c r="F1291" s="222">
        <f>费率表!$F$7</f>
        <v>0.09</v>
      </c>
      <c r="G1291" s="216">
        <f t="shared" si="116"/>
        <v>4344.73328229616</v>
      </c>
      <c r="S1291" s="231"/>
      <c r="T1291" s="231"/>
      <c r="U1291" s="231"/>
      <c r="V1291" s="231"/>
      <c r="W1291" s="231"/>
      <c r="X1291" s="231"/>
      <c r="Y1291" s="231"/>
      <c r="Z1291" s="231"/>
      <c r="AA1291" s="231"/>
      <c r="AB1291" s="231"/>
      <c r="AC1291" s="231"/>
      <c r="AD1291" s="231"/>
    </row>
    <row r="1292" s="91" customFormat="1" customHeight="1" spans="1:30">
      <c r="A1292" s="204"/>
      <c r="B1292" s="215" t="s">
        <v>907</v>
      </c>
      <c r="C1292" s="215"/>
      <c r="D1292" s="54"/>
      <c r="E1292" s="214">
        <f>G1267+G1285+G1286+G1287+G1291</f>
        <v>52619.5475300313</v>
      </c>
      <c r="F1292" s="222">
        <f>费率表!$B$19</f>
        <v>0.03</v>
      </c>
      <c r="G1292" s="216">
        <f t="shared" si="116"/>
        <v>1578.58642590094</v>
      </c>
      <c r="S1292" s="231"/>
      <c r="T1292" s="231"/>
      <c r="U1292" s="231"/>
      <c r="V1292" s="231"/>
      <c r="W1292" s="231"/>
      <c r="X1292" s="231"/>
      <c r="Y1292" s="231"/>
      <c r="Z1292" s="231"/>
      <c r="AA1292" s="231"/>
      <c r="AB1292" s="231"/>
      <c r="AC1292" s="231"/>
      <c r="AD1292" s="231"/>
    </row>
    <row r="1293" s="91" customFormat="1" customHeight="1" spans="1:30">
      <c r="A1293" s="223"/>
      <c r="B1293" s="224" t="s">
        <v>39</v>
      </c>
      <c r="C1293" s="224"/>
      <c r="D1293" s="224"/>
      <c r="E1293" s="225"/>
      <c r="F1293" s="224"/>
      <c r="G1293" s="226">
        <f>G1267+G1285+G1286+G1287+G1291+G1292</f>
        <v>54198.1339559322</v>
      </c>
      <c r="S1293" s="231"/>
      <c r="T1293" s="231"/>
      <c r="U1293" s="231"/>
      <c r="V1293" s="231"/>
      <c r="W1293" s="231"/>
      <c r="X1293" s="231"/>
      <c r="Y1293" s="231"/>
      <c r="Z1293" s="231"/>
      <c r="AA1293" s="231"/>
      <c r="AB1293" s="231"/>
      <c r="AC1293" s="231"/>
      <c r="AD1293" s="231"/>
    </row>
    <row r="1294" s="91" customFormat="1" customHeight="1" spans="1:30">
      <c r="A1294" s="92"/>
      <c r="B1294" s="92"/>
      <c r="C1294" s="92"/>
      <c r="D1294" s="92"/>
      <c r="E1294" s="92"/>
      <c r="F1294" s="92"/>
      <c r="G1294" s="92"/>
      <c r="S1294" s="231"/>
      <c r="T1294" s="231"/>
      <c r="U1294" s="231"/>
      <c r="V1294" s="231"/>
      <c r="W1294" s="231"/>
      <c r="X1294" s="231"/>
      <c r="Y1294" s="231"/>
      <c r="Z1294" s="231"/>
      <c r="AA1294" s="231"/>
      <c r="AB1294" s="231"/>
      <c r="AC1294" s="231"/>
      <c r="AD1294" s="231"/>
    </row>
    <row r="1295" s="91" customFormat="1" customHeight="1" spans="1:30">
      <c r="A1295" s="285" t="s">
        <v>868</v>
      </c>
      <c r="B1295" s="285"/>
      <c r="C1295" s="285"/>
      <c r="D1295" s="285"/>
      <c r="E1295" s="285"/>
      <c r="F1295" s="285"/>
      <c r="G1295" s="285"/>
      <c r="I1295" s="285" t="s">
        <v>868</v>
      </c>
      <c r="J1295" s="285"/>
      <c r="K1295" s="285"/>
      <c r="L1295" s="285"/>
      <c r="M1295" s="285"/>
      <c r="N1295" s="285"/>
      <c r="O1295" s="285"/>
      <c r="S1295" s="231"/>
      <c r="T1295" s="231"/>
      <c r="U1295" s="231"/>
      <c r="V1295" s="231"/>
      <c r="W1295" s="231"/>
      <c r="X1295" s="231"/>
      <c r="Y1295" s="231"/>
      <c r="Z1295" s="231"/>
      <c r="AA1295" s="231"/>
      <c r="AB1295" s="231"/>
      <c r="AC1295" s="231"/>
      <c r="AD1295" s="231"/>
    </row>
    <row r="1296" s="91" customFormat="1" customHeight="1" spans="1:30">
      <c r="A1296" s="286" t="s">
        <v>869</v>
      </c>
      <c r="B1296" s="287"/>
      <c r="C1296" s="200"/>
      <c r="D1296" s="200" t="s">
        <v>870</v>
      </c>
      <c r="E1296" s="201" t="s">
        <v>1441</v>
      </c>
      <c r="F1296" s="202"/>
      <c r="G1296" s="203"/>
      <c r="I1296" s="286" t="s">
        <v>869</v>
      </c>
      <c r="J1296" s="287"/>
      <c r="K1296" s="200"/>
      <c r="L1296" s="200" t="s">
        <v>870</v>
      </c>
      <c r="M1296" s="201" t="s">
        <v>1435</v>
      </c>
      <c r="N1296" s="202"/>
      <c r="O1296" s="203"/>
      <c r="S1296" s="231"/>
      <c r="T1296" s="231"/>
      <c r="U1296" s="231"/>
      <c r="V1296" s="231"/>
      <c r="W1296" s="231"/>
      <c r="X1296" s="231"/>
      <c r="Y1296" s="231"/>
      <c r="Z1296" s="231"/>
      <c r="AA1296" s="231"/>
      <c r="AB1296" s="231"/>
      <c r="AC1296" s="231"/>
      <c r="AD1296" s="231"/>
    </row>
    <row r="1297" s="91" customFormat="1" customHeight="1" spans="1:30">
      <c r="A1297" s="288" t="s">
        <v>507</v>
      </c>
      <c r="B1297" s="289"/>
      <c r="C1297" s="290" t="s">
        <v>1436</v>
      </c>
      <c r="D1297" s="291"/>
      <c r="E1297" s="292"/>
      <c r="F1297" s="54" t="s">
        <v>873</v>
      </c>
      <c r="G1297" s="207" t="s">
        <v>874</v>
      </c>
      <c r="I1297" s="288" t="s">
        <v>507</v>
      </c>
      <c r="J1297" s="289"/>
      <c r="K1297" s="290" t="s">
        <v>1436</v>
      </c>
      <c r="L1297" s="291"/>
      <c r="M1297" s="292"/>
      <c r="N1297" s="54" t="s">
        <v>873</v>
      </c>
      <c r="O1297" s="207" t="s">
        <v>874</v>
      </c>
      <c r="S1297" s="231"/>
      <c r="T1297" s="231"/>
      <c r="U1297" s="231"/>
      <c r="V1297" s="231"/>
      <c r="W1297" s="231"/>
      <c r="X1297" s="231"/>
      <c r="Y1297" s="231"/>
      <c r="Z1297" s="231"/>
      <c r="AA1297" s="231"/>
      <c r="AB1297" s="231"/>
      <c r="AC1297" s="231"/>
      <c r="AD1297" s="231"/>
    </row>
    <row r="1298" s="91" customFormat="1" customHeight="1" spans="1:30">
      <c r="A1298" s="293" t="s">
        <v>875</v>
      </c>
      <c r="B1298" s="291"/>
      <c r="C1298" s="291"/>
      <c r="D1298" s="291"/>
      <c r="E1298" s="291"/>
      <c r="F1298" s="291"/>
      <c r="G1298" s="294"/>
      <c r="I1298" s="293" t="s">
        <v>875</v>
      </c>
      <c r="J1298" s="291"/>
      <c r="K1298" s="291"/>
      <c r="L1298" s="291"/>
      <c r="M1298" s="291"/>
      <c r="N1298" s="291"/>
      <c r="O1298" s="294"/>
      <c r="S1298" s="231"/>
      <c r="T1298" s="231"/>
      <c r="U1298" s="231"/>
      <c r="V1298" s="231"/>
      <c r="W1298" s="231"/>
      <c r="X1298" s="231"/>
      <c r="Y1298" s="231"/>
      <c r="Z1298" s="231"/>
      <c r="AA1298" s="231"/>
      <c r="AB1298" s="231"/>
      <c r="AC1298" s="231"/>
      <c r="AD1298" s="231"/>
    </row>
    <row r="1299" customHeight="1" spans="1:30">
      <c r="A1299" s="210" t="s">
        <v>1437</v>
      </c>
      <c r="B1299" s="211"/>
      <c r="C1299" s="211"/>
      <c r="D1299" s="211"/>
      <c r="E1299" s="211"/>
      <c r="F1299" s="211"/>
      <c r="G1299" s="295"/>
      <c r="I1299" s="210" t="s">
        <v>1437</v>
      </c>
      <c r="J1299" s="211"/>
      <c r="K1299" s="211"/>
      <c r="L1299" s="211"/>
      <c r="M1299" s="211"/>
      <c r="N1299" s="211"/>
      <c r="O1299" s="295"/>
    </row>
    <row r="1300" customHeight="1" spans="1:30">
      <c r="A1300" s="204" t="s">
        <v>34</v>
      </c>
      <c r="B1300" s="54" t="s">
        <v>761</v>
      </c>
      <c r="C1300" s="54"/>
      <c r="D1300" s="54" t="s">
        <v>60</v>
      </c>
      <c r="E1300" s="214" t="s">
        <v>877</v>
      </c>
      <c r="F1300" s="54" t="s">
        <v>878</v>
      </c>
      <c r="G1300" s="207" t="s">
        <v>879</v>
      </c>
      <c r="I1300" s="204" t="s">
        <v>34</v>
      </c>
      <c r="J1300" s="54" t="s">
        <v>761</v>
      </c>
      <c r="K1300" s="54"/>
      <c r="L1300" s="54" t="s">
        <v>60</v>
      </c>
      <c r="M1300" s="214" t="s">
        <v>877</v>
      </c>
      <c r="N1300" s="54" t="s">
        <v>878</v>
      </c>
      <c r="O1300" s="207" t="s">
        <v>879</v>
      </c>
    </row>
    <row r="1301" customHeight="1" spans="1:30">
      <c r="A1301" s="204" t="s">
        <v>8</v>
      </c>
      <c r="B1301" s="215" t="s">
        <v>880</v>
      </c>
      <c r="C1301" s="215"/>
      <c r="D1301" s="54"/>
      <c r="E1301" s="214"/>
      <c r="F1301" s="214"/>
      <c r="G1301" s="216">
        <f>G1302+G1318</f>
        <v>37641.5452379437</v>
      </c>
      <c r="I1301" s="204" t="s">
        <v>8</v>
      </c>
      <c r="J1301" s="215" t="s">
        <v>880</v>
      </c>
      <c r="K1301" s="215"/>
      <c r="L1301" s="54"/>
      <c r="M1301" s="214"/>
      <c r="N1301" s="214"/>
      <c r="O1301" s="216">
        <f>O1302+O1318</f>
        <v>36863.0309327965</v>
      </c>
    </row>
    <row r="1302" customHeight="1" spans="1:30">
      <c r="A1302" s="204" t="s">
        <v>881</v>
      </c>
      <c r="B1302" s="215" t="s">
        <v>882</v>
      </c>
      <c r="C1302" s="215"/>
      <c r="D1302" s="54"/>
      <c r="E1302" s="214"/>
      <c r="F1302" s="214"/>
      <c r="G1302" s="216">
        <f>G1303+G1306+G1312</f>
        <v>35917.5049980379</v>
      </c>
      <c r="I1302" s="204" t="s">
        <v>881</v>
      </c>
      <c r="J1302" s="215" t="s">
        <v>882</v>
      </c>
      <c r="K1302" s="215"/>
      <c r="L1302" s="54"/>
      <c r="M1302" s="214"/>
      <c r="N1302" s="214"/>
      <c r="O1302" s="216">
        <f>O1303+O1306+O1312</f>
        <v>35174.6478366379</v>
      </c>
    </row>
    <row r="1303" customHeight="1" spans="1:30">
      <c r="A1303" s="204" t="s">
        <v>17</v>
      </c>
      <c r="B1303" s="215" t="s">
        <v>510</v>
      </c>
      <c r="C1303" s="215"/>
      <c r="D1303" s="54"/>
      <c r="E1303" s="214"/>
      <c r="F1303" s="214"/>
      <c r="G1303" s="216">
        <f>SUM(G1304:G1305)</f>
        <v>12161.72</v>
      </c>
      <c r="I1303" s="204" t="s">
        <v>17</v>
      </c>
      <c r="J1303" s="215" t="s">
        <v>510</v>
      </c>
      <c r="K1303" s="215"/>
      <c r="L1303" s="54"/>
      <c r="M1303" s="214"/>
      <c r="N1303" s="214"/>
      <c r="O1303" s="216">
        <f>SUM(O1304:O1305)</f>
        <v>12161.72</v>
      </c>
    </row>
    <row r="1304" ht="33" customHeight="1" spans="1:30">
      <c r="A1304" s="204"/>
      <c r="B1304" s="215" t="s">
        <v>704</v>
      </c>
      <c r="C1304" s="215"/>
      <c r="D1304" s="54" t="s">
        <v>705</v>
      </c>
      <c r="E1304" s="214">
        <v>564</v>
      </c>
      <c r="F1304" s="214">
        <f>主要材料预算!$D$19</f>
        <v>8.1</v>
      </c>
      <c r="G1304" s="216">
        <f t="shared" ref="G1304:G1310" si="117">E1304*F1304</f>
        <v>4568.4</v>
      </c>
      <c r="I1304" s="204"/>
      <c r="J1304" s="215" t="s">
        <v>704</v>
      </c>
      <c r="K1304" s="215"/>
      <c r="L1304" s="54" t="s">
        <v>705</v>
      </c>
      <c r="M1304" s="214">
        <v>564</v>
      </c>
      <c r="N1304" s="214">
        <f>主要材料预算!$D$19</f>
        <v>8.1</v>
      </c>
      <c r="O1304" s="216">
        <f t="shared" ref="O1304:O1310" si="118">M1304*N1304</f>
        <v>4568.4</v>
      </c>
    </row>
    <row r="1305" customHeight="1" spans="1:30">
      <c r="A1305" s="204"/>
      <c r="B1305" s="215" t="s">
        <v>706</v>
      </c>
      <c r="C1305" s="215"/>
      <c r="D1305" s="54" t="s">
        <v>705</v>
      </c>
      <c r="E1305" s="217">
        <v>1316</v>
      </c>
      <c r="F1305" s="214">
        <f>主要材料预算!$D$20</f>
        <v>5.77</v>
      </c>
      <c r="G1305" s="216">
        <f t="shared" si="117"/>
        <v>7593.32</v>
      </c>
      <c r="I1305" s="204"/>
      <c r="J1305" s="215" t="s">
        <v>706</v>
      </c>
      <c r="K1305" s="215"/>
      <c r="L1305" s="54" t="s">
        <v>705</v>
      </c>
      <c r="M1305" s="217">
        <v>1316</v>
      </c>
      <c r="N1305" s="214">
        <f>主要材料预算!$D$20</f>
        <v>5.77</v>
      </c>
      <c r="O1305" s="216">
        <f t="shared" si="118"/>
        <v>7593.32</v>
      </c>
    </row>
    <row r="1306" customHeight="1" spans="1:30">
      <c r="A1306" s="204" t="s">
        <v>19</v>
      </c>
      <c r="B1306" s="218" t="s">
        <v>511</v>
      </c>
      <c r="C1306" s="219"/>
      <c r="D1306" s="54"/>
      <c r="E1306" s="214"/>
      <c r="F1306" s="214"/>
      <c r="G1306" s="216">
        <f>SUM(G1307:G1311)</f>
        <v>21189.785254</v>
      </c>
      <c r="I1306" s="204" t="s">
        <v>19</v>
      </c>
      <c r="J1306" s="218" t="s">
        <v>511</v>
      </c>
      <c r="K1306" s="219"/>
      <c r="L1306" s="54"/>
      <c r="M1306" s="214"/>
      <c r="N1306" s="214"/>
      <c r="O1306" s="216">
        <f>SUM(O1307:O1311)</f>
        <v>20446.9280926</v>
      </c>
    </row>
    <row r="1307" customHeight="1" spans="1:30">
      <c r="A1307" s="204"/>
      <c r="B1307" s="218" t="s">
        <v>932</v>
      </c>
      <c r="C1307" s="219"/>
      <c r="D1307" s="54" t="s">
        <v>70</v>
      </c>
      <c r="E1307" s="214">
        <v>108</v>
      </c>
      <c r="F1307" s="214">
        <f>混凝土单价计算表!$M$10</f>
        <v>183.26455</v>
      </c>
      <c r="G1307" s="216">
        <f t="shared" si="117"/>
        <v>19792.5714</v>
      </c>
      <c r="I1307" s="204"/>
      <c r="J1307" s="218" t="s">
        <v>925</v>
      </c>
      <c r="K1307" s="219"/>
      <c r="L1307" s="54" t="s">
        <v>70</v>
      </c>
      <c r="M1307" s="214">
        <v>108</v>
      </c>
      <c r="N1307" s="214">
        <f>混凝土单价计算表!M8</f>
        <v>176.454345</v>
      </c>
      <c r="O1307" s="216">
        <f t="shared" si="118"/>
        <v>19057.06926</v>
      </c>
    </row>
    <row r="1308" customHeight="1" spans="1:30">
      <c r="A1308" s="204"/>
      <c r="B1308" s="218" t="s">
        <v>885</v>
      </c>
      <c r="C1308" s="219"/>
      <c r="D1308" s="54" t="s">
        <v>695</v>
      </c>
      <c r="E1308" s="214">
        <v>102.1</v>
      </c>
      <c r="F1308" s="214">
        <f>基础材料!$D$9</f>
        <v>4.44</v>
      </c>
      <c r="G1308" s="216">
        <f t="shared" si="117"/>
        <v>453.324</v>
      </c>
      <c r="I1308" s="204"/>
      <c r="J1308" s="218" t="s">
        <v>885</v>
      </c>
      <c r="K1308" s="219"/>
      <c r="L1308" s="54" t="s">
        <v>695</v>
      </c>
      <c r="M1308" s="214">
        <v>102.1</v>
      </c>
      <c r="N1308" s="214">
        <f>基础材料!$D$9</f>
        <v>4.44</v>
      </c>
      <c r="O1308" s="216">
        <f t="shared" si="118"/>
        <v>453.324</v>
      </c>
    </row>
    <row r="1309" customHeight="1" spans="1:30">
      <c r="A1309" s="204"/>
      <c r="B1309" s="296" t="s">
        <v>1438</v>
      </c>
      <c r="C1309" s="297"/>
      <c r="D1309" s="54" t="s">
        <v>695</v>
      </c>
      <c r="E1309" s="214">
        <v>43.1</v>
      </c>
      <c r="F1309" s="214">
        <f>基础材料!$D$11</f>
        <v>4.9</v>
      </c>
      <c r="G1309" s="216">
        <f t="shared" si="117"/>
        <v>211.19</v>
      </c>
      <c r="I1309" s="204"/>
      <c r="J1309" s="296" t="s">
        <v>1438</v>
      </c>
      <c r="K1309" s="297"/>
      <c r="L1309" s="54" t="s">
        <v>695</v>
      </c>
      <c r="M1309" s="214">
        <v>43.1</v>
      </c>
      <c r="N1309" s="214">
        <f>基础材料!$D$11</f>
        <v>4.9</v>
      </c>
      <c r="O1309" s="216">
        <f t="shared" si="118"/>
        <v>211.19</v>
      </c>
    </row>
    <row r="1310" customHeight="1" spans="1:30">
      <c r="A1310" s="204"/>
      <c r="B1310" s="218" t="s">
        <v>730</v>
      </c>
      <c r="C1310" s="219"/>
      <c r="D1310" s="54" t="s">
        <v>70</v>
      </c>
      <c r="E1310" s="214">
        <v>126</v>
      </c>
      <c r="F1310" s="214">
        <f>主要材料预算!$D$16</f>
        <v>4.15</v>
      </c>
      <c r="G1310" s="216">
        <f t="shared" si="117"/>
        <v>522.9</v>
      </c>
      <c r="I1310" s="204"/>
      <c r="J1310" s="218" t="s">
        <v>730</v>
      </c>
      <c r="K1310" s="219"/>
      <c r="L1310" s="54" t="s">
        <v>70</v>
      </c>
      <c r="M1310" s="214">
        <v>126</v>
      </c>
      <c r="N1310" s="214">
        <f>主要材料预算!$D$16</f>
        <v>4.15</v>
      </c>
      <c r="O1310" s="216">
        <f t="shared" si="118"/>
        <v>522.9</v>
      </c>
    </row>
    <row r="1311" customHeight="1" spans="1:30">
      <c r="A1311" s="204"/>
      <c r="B1311" s="215" t="s">
        <v>893</v>
      </c>
      <c r="C1311" s="215"/>
      <c r="D1311" s="54" t="s">
        <v>894</v>
      </c>
      <c r="E1311" s="214">
        <f>SUM(G1307:G1310)</f>
        <v>20979.9854</v>
      </c>
      <c r="F1311" s="229">
        <v>1</v>
      </c>
      <c r="G1311" s="216">
        <f>E1311*F1311/100</f>
        <v>209.799854</v>
      </c>
      <c r="I1311" s="204"/>
      <c r="J1311" s="215" t="s">
        <v>893</v>
      </c>
      <c r="K1311" s="215"/>
      <c r="L1311" s="54" t="s">
        <v>894</v>
      </c>
      <c r="M1311" s="214">
        <f>SUM(O1307:O1310)</f>
        <v>20244.48326</v>
      </c>
      <c r="N1311" s="229">
        <v>1</v>
      </c>
      <c r="O1311" s="216">
        <f>M1311*N1311/100</f>
        <v>202.4448326</v>
      </c>
    </row>
    <row r="1312" customHeight="1" spans="1:30">
      <c r="A1312" s="204" t="s">
        <v>21</v>
      </c>
      <c r="B1312" s="215" t="s">
        <v>895</v>
      </c>
      <c r="C1312" s="215"/>
      <c r="D1312" s="215"/>
      <c r="E1312" s="214"/>
      <c r="F1312" s="214"/>
      <c r="G1312" s="216">
        <f>SUM(G1313:G1317)</f>
        <v>2565.9997440379</v>
      </c>
      <c r="I1312" s="204" t="s">
        <v>21</v>
      </c>
      <c r="J1312" s="215" t="s">
        <v>895</v>
      </c>
      <c r="K1312" s="215"/>
      <c r="L1312" s="215"/>
      <c r="M1312" s="214"/>
      <c r="N1312" s="214"/>
      <c r="O1312" s="216">
        <f>SUM(O1313:O1317)</f>
        <v>2565.9997440379</v>
      </c>
    </row>
    <row r="1313" customHeight="1" spans="1:15">
      <c r="A1313" s="204"/>
      <c r="B1313" s="218" t="s">
        <v>1423</v>
      </c>
      <c r="C1313" s="219"/>
      <c r="D1313" s="54" t="s">
        <v>896</v>
      </c>
      <c r="E1313" s="214">
        <v>14.53</v>
      </c>
      <c r="F1313" s="214">
        <f>施工机械台时费!$E$21</f>
        <v>37.4199521340247</v>
      </c>
      <c r="G1313" s="216">
        <f t="shared" ref="G1313:G1316" si="119">E1313*F1313</f>
        <v>543.711904507379</v>
      </c>
      <c r="I1313" s="204"/>
      <c r="J1313" s="218" t="s">
        <v>1423</v>
      </c>
      <c r="K1313" s="219"/>
      <c r="L1313" s="54" t="s">
        <v>896</v>
      </c>
      <c r="M1313" s="214">
        <v>14.53</v>
      </c>
      <c r="N1313" s="214">
        <f>施工机械台时费!$E$21</f>
        <v>37.4199521340247</v>
      </c>
      <c r="O1313" s="216">
        <f t="shared" ref="O1313:O1316" si="120">M1313*N1313</f>
        <v>543.711904507379</v>
      </c>
    </row>
    <row r="1314" ht="25.5" customHeight="1" spans="1:15">
      <c r="A1314" s="204"/>
      <c r="B1314" s="218" t="s">
        <v>1439</v>
      </c>
      <c r="C1314" s="219"/>
      <c r="D1314" s="54" t="s">
        <v>896</v>
      </c>
      <c r="E1314" s="214">
        <v>64.24</v>
      </c>
      <c r="F1314" s="214">
        <f>施工机械台时费!$E$24</f>
        <v>5.08152772237734</v>
      </c>
      <c r="G1314" s="216">
        <f t="shared" si="119"/>
        <v>326.43734088552</v>
      </c>
      <c r="I1314" s="204"/>
      <c r="J1314" s="218" t="s">
        <v>1439</v>
      </c>
      <c r="K1314" s="219"/>
      <c r="L1314" s="54" t="s">
        <v>896</v>
      </c>
      <c r="M1314" s="214">
        <v>64.24</v>
      </c>
      <c r="N1314" s="214">
        <f>施工机械台时费!$E$24</f>
        <v>5.08152772237734</v>
      </c>
      <c r="O1314" s="216">
        <f t="shared" si="120"/>
        <v>326.43734088552</v>
      </c>
    </row>
    <row r="1315" customHeight="1" spans="1:15">
      <c r="A1315" s="204"/>
      <c r="B1315" s="218" t="s">
        <v>1440</v>
      </c>
      <c r="C1315" s="219"/>
      <c r="D1315" s="54" t="s">
        <v>896</v>
      </c>
      <c r="E1315" s="214">
        <v>94.73</v>
      </c>
      <c r="F1315" s="214">
        <f>施工机械台时费!$E$35</f>
        <v>17.1951356202633</v>
      </c>
      <c r="G1315" s="216">
        <f t="shared" si="119"/>
        <v>1628.89519730754</v>
      </c>
      <c r="I1315" s="204"/>
      <c r="J1315" s="218" t="s">
        <v>1440</v>
      </c>
      <c r="K1315" s="219"/>
      <c r="L1315" s="54" t="s">
        <v>896</v>
      </c>
      <c r="M1315" s="214">
        <v>94.73</v>
      </c>
      <c r="N1315" s="214">
        <f>施工机械台时费!$E$35</f>
        <v>17.1951356202633</v>
      </c>
      <c r="O1315" s="216">
        <f t="shared" si="120"/>
        <v>1628.89519730754</v>
      </c>
    </row>
    <row r="1316" customHeight="1" spans="1:15">
      <c r="A1316" s="204"/>
      <c r="B1316" s="218" t="s">
        <v>901</v>
      </c>
      <c r="C1316" s="219"/>
      <c r="D1316" s="54" t="s">
        <v>896</v>
      </c>
      <c r="E1316" s="214">
        <v>57.6</v>
      </c>
      <c r="F1316" s="214">
        <f>施工机械台时费!$E$36</f>
        <v>0.813242919824491</v>
      </c>
      <c r="G1316" s="216">
        <f t="shared" si="119"/>
        <v>46.8427921818907</v>
      </c>
      <c r="I1316" s="204"/>
      <c r="J1316" s="218" t="s">
        <v>901</v>
      </c>
      <c r="K1316" s="219"/>
      <c r="L1316" s="54" t="s">
        <v>896</v>
      </c>
      <c r="M1316" s="214">
        <v>57.6</v>
      </c>
      <c r="N1316" s="214">
        <f>施工机械台时费!$E$36</f>
        <v>0.813242919824491</v>
      </c>
      <c r="O1316" s="216">
        <f t="shared" si="120"/>
        <v>46.8427921818907</v>
      </c>
    </row>
    <row r="1317" customHeight="1" spans="1:15">
      <c r="A1317" s="204"/>
      <c r="B1317" s="218" t="s">
        <v>902</v>
      </c>
      <c r="C1317" s="219"/>
      <c r="D1317" s="54" t="s">
        <v>894</v>
      </c>
      <c r="E1317" s="214">
        <f>SUM(G1313:G1316)</f>
        <v>2545.88723488233</v>
      </c>
      <c r="F1317" s="214">
        <v>0.79</v>
      </c>
      <c r="G1317" s="216">
        <f>E1317*F1317/100</f>
        <v>20.1125091555704</v>
      </c>
      <c r="I1317" s="204"/>
      <c r="J1317" s="218" t="s">
        <v>902</v>
      </c>
      <c r="K1317" s="219"/>
      <c r="L1317" s="54" t="s">
        <v>894</v>
      </c>
      <c r="M1317" s="214">
        <f>SUM(O1313:O1316)</f>
        <v>2545.88723488233</v>
      </c>
      <c r="N1317" s="214">
        <v>0.79</v>
      </c>
      <c r="O1317" s="216">
        <f>M1317*N1317/100</f>
        <v>20.1125091555704</v>
      </c>
    </row>
    <row r="1318" customHeight="1" spans="1:15">
      <c r="A1318" s="204" t="s">
        <v>905</v>
      </c>
      <c r="B1318" s="215" t="s">
        <v>514</v>
      </c>
      <c r="C1318" s="215"/>
      <c r="D1318" s="54"/>
      <c r="E1318" s="220">
        <f>G1302</f>
        <v>35917.5049980379</v>
      </c>
      <c r="F1318" s="221">
        <f>费率表!$F$4</f>
        <v>0.048</v>
      </c>
      <c r="G1318" s="216">
        <f t="shared" ref="G1318:G1320" si="121">E1318*F1318</f>
        <v>1724.04023990582</v>
      </c>
      <c r="I1318" s="204" t="s">
        <v>905</v>
      </c>
      <c r="J1318" s="215" t="s">
        <v>514</v>
      </c>
      <c r="K1318" s="215"/>
      <c r="L1318" s="54"/>
      <c r="M1318" s="220">
        <f>O1302</f>
        <v>35174.6478366379</v>
      </c>
      <c r="N1318" s="221">
        <f>费率表!$F$4</f>
        <v>0.048</v>
      </c>
      <c r="O1318" s="216">
        <f t="shared" ref="O1318:O1320" si="122">M1318*N1318</f>
        <v>1688.38309615862</v>
      </c>
    </row>
    <row r="1319" customHeight="1" spans="1:15">
      <c r="A1319" s="204" t="s">
        <v>10</v>
      </c>
      <c r="B1319" s="215" t="s">
        <v>770</v>
      </c>
      <c r="C1319" s="215"/>
      <c r="D1319" s="54"/>
      <c r="E1319" s="214">
        <f>G1301</f>
        <v>37641.5452379437</v>
      </c>
      <c r="F1319" s="222">
        <f>费率表!$F$5</f>
        <v>0.085</v>
      </c>
      <c r="G1319" s="216">
        <f t="shared" si="121"/>
        <v>3199.53134522522</v>
      </c>
      <c r="I1319" s="204" t="s">
        <v>10</v>
      </c>
      <c r="J1319" s="215" t="s">
        <v>770</v>
      </c>
      <c r="K1319" s="215"/>
      <c r="L1319" s="54"/>
      <c r="M1319" s="214">
        <f>O1301</f>
        <v>36863.0309327965</v>
      </c>
      <c r="N1319" s="222">
        <f>费率表!$F$5</f>
        <v>0.085</v>
      </c>
      <c r="O1319" s="216">
        <f t="shared" si="122"/>
        <v>3133.3576292877</v>
      </c>
    </row>
    <row r="1320" customHeight="1" spans="1:15">
      <c r="A1320" s="204" t="s">
        <v>12</v>
      </c>
      <c r="B1320" s="215" t="s">
        <v>771</v>
      </c>
      <c r="C1320" s="215"/>
      <c r="D1320" s="54"/>
      <c r="E1320" s="214">
        <f>G1301+G1319</f>
        <v>40841.0765831689</v>
      </c>
      <c r="F1320" s="222">
        <f>费率表!$F$6</f>
        <v>0.07</v>
      </c>
      <c r="G1320" s="216">
        <f t="shared" si="121"/>
        <v>2858.87536082183</v>
      </c>
      <c r="I1320" s="204" t="s">
        <v>12</v>
      </c>
      <c r="J1320" s="215" t="s">
        <v>771</v>
      </c>
      <c r="K1320" s="215"/>
      <c r="L1320" s="54"/>
      <c r="M1320" s="214">
        <f>O1301+O1319</f>
        <v>39996.3885620842</v>
      </c>
      <c r="N1320" s="222">
        <f>费率表!$F$6</f>
        <v>0.07</v>
      </c>
      <c r="O1320" s="216">
        <f t="shared" si="122"/>
        <v>2799.7471993459</v>
      </c>
    </row>
    <row r="1321" customHeight="1" spans="1:15">
      <c r="A1321" s="204" t="s">
        <v>15</v>
      </c>
      <c r="B1321" s="218" t="s">
        <v>517</v>
      </c>
      <c r="C1321" s="219"/>
      <c r="D1321" s="54"/>
      <c r="E1321" s="214"/>
      <c r="F1321" s="230"/>
      <c r="G1321" s="216">
        <f>SUM(G1322:G1325)</f>
        <v>8405.19982561441</v>
      </c>
      <c r="I1321" s="204" t="s">
        <v>15</v>
      </c>
      <c r="J1321" s="218" t="s">
        <v>517</v>
      </c>
      <c r="K1321" s="219"/>
      <c r="L1321" s="54"/>
      <c r="M1321" s="214"/>
      <c r="N1321" s="230"/>
      <c r="O1321" s="216">
        <f>SUM(O1322:O1325)</f>
        <v>7913.38978313545</v>
      </c>
    </row>
    <row r="1322" customHeight="1" spans="1:15">
      <c r="A1322" s="204"/>
      <c r="B1322" s="218" t="s">
        <v>729</v>
      </c>
      <c r="C1322" s="219"/>
      <c r="D1322" s="54" t="s">
        <v>70</v>
      </c>
      <c r="E1322" s="214">
        <f>E1307*混凝土单价计算表!$E$10</f>
        <v>36.72</v>
      </c>
      <c r="F1322" s="214">
        <f>主要材料预算!$N$5</f>
        <v>139.17214</v>
      </c>
      <c r="G1322" s="216">
        <f t="shared" ref="G1322:G1327" si="123">E1322*F1322</f>
        <v>5110.4009808</v>
      </c>
      <c r="I1322" s="204"/>
      <c r="J1322" s="218" t="s">
        <v>729</v>
      </c>
      <c r="K1322" s="219"/>
      <c r="L1322" s="54" t="s">
        <v>70</v>
      </c>
      <c r="M1322" s="214">
        <f>M1307*混凝土单价计算表!$E$7</f>
        <v>33.177276</v>
      </c>
      <c r="N1322" s="214">
        <f>主要材料预算!$N$5</f>
        <v>139.17214</v>
      </c>
      <c r="O1322" s="216">
        <f t="shared" ref="O1322:O1327" si="124">M1322*N1322</f>
        <v>4617.35250029064</v>
      </c>
    </row>
    <row r="1323" customHeight="1" spans="1:15">
      <c r="A1323" s="204"/>
      <c r="B1323" s="218" t="s">
        <v>684</v>
      </c>
      <c r="C1323" s="219"/>
      <c r="D1323" s="54" t="s">
        <v>70</v>
      </c>
      <c r="E1323" s="214">
        <f>E1307*混凝土单价计算表!$G$10</f>
        <v>57.024</v>
      </c>
      <c r="F1323" s="214"/>
      <c r="G1323" s="216">
        <f t="shared" si="123"/>
        <v>0</v>
      </c>
      <c r="I1323" s="204"/>
      <c r="J1323" s="218" t="s">
        <v>684</v>
      </c>
      <c r="K1323" s="219"/>
      <c r="L1323" s="54" t="s">
        <v>70</v>
      </c>
      <c r="M1323" s="214">
        <f>M1307*混凝土单价计算表!$G$7</f>
        <v>59.37624</v>
      </c>
      <c r="N1323" s="214"/>
      <c r="O1323" s="216">
        <f t="shared" si="124"/>
        <v>0</v>
      </c>
    </row>
    <row r="1324" customHeight="1" spans="1:15">
      <c r="A1324" s="204"/>
      <c r="B1324" s="218" t="s">
        <v>1069</v>
      </c>
      <c r="C1324" s="219"/>
      <c r="D1324" s="54"/>
      <c r="E1324" s="214">
        <f>E1307*混凝土单价计算表!I10</f>
        <v>90.828</v>
      </c>
      <c r="F1324" s="214">
        <f>主要材料预算!N9</f>
        <v>26.7921</v>
      </c>
      <c r="G1324" s="216">
        <f t="shared" si="123"/>
        <v>2433.4728588</v>
      </c>
      <c r="I1324" s="204"/>
      <c r="J1324" s="218" t="s">
        <v>1069</v>
      </c>
      <c r="K1324" s="219"/>
      <c r="L1324" s="54"/>
      <c r="M1324" s="214">
        <f>M1307*混凝土单价计算表!I8</f>
        <v>90.874224</v>
      </c>
      <c r="N1324" s="214">
        <f>主要材料预算!N9</f>
        <v>26.7921</v>
      </c>
      <c r="O1324" s="216">
        <f t="shared" si="124"/>
        <v>2434.7112968304</v>
      </c>
    </row>
    <row r="1325" customHeight="1" spans="1:15">
      <c r="A1325" s="204"/>
      <c r="B1325" s="218" t="s">
        <v>694</v>
      </c>
      <c r="C1325" s="219"/>
      <c r="D1325" s="54" t="s">
        <v>695</v>
      </c>
      <c r="E1325" s="214">
        <f>E1315*施工机械台时费!$L$35</f>
        <v>142.095</v>
      </c>
      <c r="F1325" s="214">
        <f>主要材料预算!$N$13</f>
        <v>6.0616206482593</v>
      </c>
      <c r="G1325" s="216">
        <f t="shared" si="123"/>
        <v>861.325986014405</v>
      </c>
      <c r="I1325" s="204"/>
      <c r="J1325" s="218" t="s">
        <v>694</v>
      </c>
      <c r="K1325" s="219"/>
      <c r="L1325" s="54" t="s">
        <v>695</v>
      </c>
      <c r="M1325" s="214">
        <f>M1315*施工机械台时费!$L$35</f>
        <v>142.095</v>
      </c>
      <c r="N1325" s="214">
        <f>主要材料预算!$N$13</f>
        <v>6.0616206482593</v>
      </c>
      <c r="O1325" s="216">
        <f t="shared" si="124"/>
        <v>861.325986014405</v>
      </c>
    </row>
    <row r="1326" customHeight="1" spans="1:15">
      <c r="A1326" s="204" t="s">
        <v>906</v>
      </c>
      <c r="B1326" s="215" t="s">
        <v>772</v>
      </c>
      <c r="C1326" s="215"/>
      <c r="D1326" s="54"/>
      <c r="E1326" s="214">
        <f>G1301+G1319+G1320+G1321</f>
        <v>52105.1517696052</v>
      </c>
      <c r="F1326" s="222">
        <f>费率表!$F$7</f>
        <v>0.09</v>
      </c>
      <c r="G1326" s="216">
        <f t="shared" si="123"/>
        <v>4689.46365926446</v>
      </c>
      <c r="I1326" s="204" t="s">
        <v>906</v>
      </c>
      <c r="J1326" s="215" t="s">
        <v>772</v>
      </c>
      <c r="K1326" s="215"/>
      <c r="L1326" s="54"/>
      <c r="M1326" s="214">
        <f>O1301+O1319+O1320+O1321</f>
        <v>50709.5255445655</v>
      </c>
      <c r="N1326" s="222">
        <f>费率表!$F$7</f>
        <v>0.09</v>
      </c>
      <c r="O1326" s="216">
        <f t="shared" si="124"/>
        <v>4563.8572990109</v>
      </c>
    </row>
    <row r="1327" customHeight="1" spans="1:15">
      <c r="A1327" s="204"/>
      <c r="B1327" s="215" t="s">
        <v>907</v>
      </c>
      <c r="C1327" s="215"/>
      <c r="D1327" s="54"/>
      <c r="E1327" s="214">
        <f>G1301+G1319+G1320+G1321+G1326</f>
        <v>56794.6154288696</v>
      </c>
      <c r="F1327" s="222">
        <f>费率表!$B$19</f>
        <v>0.03</v>
      </c>
      <c r="G1327" s="216">
        <f t="shared" si="123"/>
        <v>1703.83846286609</v>
      </c>
      <c r="I1327" s="204"/>
      <c r="J1327" s="215" t="s">
        <v>907</v>
      </c>
      <c r="K1327" s="215"/>
      <c r="L1327" s="54"/>
      <c r="M1327" s="214">
        <f>O1301+O1319+O1320+O1321+O1326</f>
        <v>55273.3828435764</v>
      </c>
      <c r="N1327" s="222">
        <f>费率表!$B$19</f>
        <v>0.03</v>
      </c>
      <c r="O1327" s="216">
        <f t="shared" si="124"/>
        <v>1658.20148530729</v>
      </c>
    </row>
    <row r="1328" customHeight="1" spans="1:15">
      <c r="A1328" s="223"/>
      <c r="B1328" s="224" t="s">
        <v>39</v>
      </c>
      <c r="C1328" s="224"/>
      <c r="D1328" s="224"/>
      <c r="E1328" s="225"/>
      <c r="F1328" s="224"/>
      <c r="G1328" s="226">
        <f>G1301+G1319+G1320+G1321+G1326+G1327</f>
        <v>58498.4538917357</v>
      </c>
      <c r="I1328" s="223"/>
      <c r="J1328" s="224" t="s">
        <v>39</v>
      </c>
      <c r="K1328" s="224"/>
      <c r="L1328" s="224"/>
      <c r="M1328" s="225"/>
      <c r="N1328" s="224"/>
      <c r="O1328" s="226">
        <f>O1301+O1319+O1320+O1321+O1326+O1327</f>
        <v>56931.5843288837</v>
      </c>
    </row>
    <row r="1331" customHeight="1" spans="1:7">
      <c r="A1331" s="285" t="s">
        <v>868</v>
      </c>
      <c r="B1331" s="285"/>
      <c r="C1331" s="285"/>
      <c r="D1331" s="285"/>
      <c r="E1331" s="285"/>
      <c r="F1331" s="285"/>
      <c r="G1331" s="285"/>
    </row>
    <row r="1332" customHeight="1" spans="1:7">
      <c r="A1332" s="286" t="s">
        <v>869</v>
      </c>
      <c r="B1332" s="287"/>
      <c r="C1332" s="200"/>
      <c r="D1332" s="200" t="s">
        <v>870</v>
      </c>
      <c r="E1332" s="201" t="s">
        <v>1442</v>
      </c>
      <c r="F1332" s="202"/>
      <c r="G1332" s="203"/>
    </row>
    <row r="1333" customHeight="1" spans="1:7">
      <c r="A1333" s="288" t="s">
        <v>507</v>
      </c>
      <c r="B1333" s="289"/>
      <c r="C1333" s="290" t="s">
        <v>1443</v>
      </c>
      <c r="D1333" s="291"/>
      <c r="E1333" s="292"/>
      <c r="F1333" s="54" t="s">
        <v>873</v>
      </c>
      <c r="G1333" s="207" t="s">
        <v>874</v>
      </c>
    </row>
    <row r="1334" customHeight="1" spans="1:7">
      <c r="A1334" s="293" t="s">
        <v>875</v>
      </c>
      <c r="B1334" s="291"/>
      <c r="C1334" s="291"/>
      <c r="D1334" s="291"/>
      <c r="E1334" s="291"/>
      <c r="F1334" s="291"/>
      <c r="G1334" s="294"/>
    </row>
    <row r="1335" customHeight="1" spans="1:7">
      <c r="A1335" s="210" t="s">
        <v>1444</v>
      </c>
      <c r="B1335" s="211"/>
      <c r="C1335" s="211"/>
      <c r="D1335" s="211"/>
      <c r="E1335" s="211"/>
      <c r="F1335" s="211"/>
      <c r="G1335" s="295"/>
    </row>
    <row r="1336" customHeight="1" spans="1:7">
      <c r="A1336" s="204" t="s">
        <v>34</v>
      </c>
      <c r="B1336" s="54" t="s">
        <v>761</v>
      </c>
      <c r="C1336" s="54"/>
      <c r="D1336" s="54" t="s">
        <v>60</v>
      </c>
      <c r="E1336" s="214" t="s">
        <v>877</v>
      </c>
      <c r="F1336" s="54" t="s">
        <v>878</v>
      </c>
      <c r="G1336" s="207" t="s">
        <v>879</v>
      </c>
    </row>
    <row r="1337" customHeight="1" spans="1:7">
      <c r="A1337" s="204" t="s">
        <v>8</v>
      </c>
      <c r="B1337" s="215" t="s">
        <v>880</v>
      </c>
      <c r="C1337" s="215"/>
      <c r="D1337" s="54"/>
      <c r="E1337" s="214"/>
      <c r="F1337" s="214"/>
      <c r="G1337" s="216">
        <f>G1338+G1359</f>
        <v>31768.0748643286</v>
      </c>
    </row>
    <row r="1338" customHeight="1" spans="1:7">
      <c r="A1338" s="204" t="s">
        <v>881</v>
      </c>
      <c r="B1338" s="215" t="s">
        <v>882</v>
      </c>
      <c r="C1338" s="215"/>
      <c r="D1338" s="54"/>
      <c r="E1338" s="214"/>
      <c r="F1338" s="214"/>
      <c r="G1338" s="216">
        <f>G1339+G1342+G1353</f>
        <v>30313.0485346647</v>
      </c>
    </row>
    <row r="1339" ht="26.25" customHeight="1" spans="1:7">
      <c r="A1339" s="204" t="s">
        <v>17</v>
      </c>
      <c r="B1339" s="215" t="s">
        <v>510</v>
      </c>
      <c r="C1339" s="215"/>
      <c r="D1339" s="54"/>
      <c r="E1339" s="214"/>
      <c r="F1339" s="214"/>
      <c r="G1339" s="216">
        <f>SUM(G1340:G1341)</f>
        <v>7514.437</v>
      </c>
    </row>
    <row r="1340" customHeight="1" spans="1:7">
      <c r="A1340" s="204"/>
      <c r="B1340" s="215" t="s">
        <v>704</v>
      </c>
      <c r="C1340" s="215"/>
      <c r="D1340" s="54" t="s">
        <v>705</v>
      </c>
      <c r="E1340" s="214">
        <v>348.5</v>
      </c>
      <c r="F1340" s="214">
        <f>主要材料预算!$D$19</f>
        <v>8.1</v>
      </c>
      <c r="G1340" s="216">
        <f t="shared" ref="G1340:G1343" si="125">E1340*F1340</f>
        <v>2822.85</v>
      </c>
    </row>
    <row r="1341" customHeight="1" spans="1:7">
      <c r="A1341" s="204"/>
      <c r="B1341" s="215" t="s">
        <v>706</v>
      </c>
      <c r="C1341" s="215"/>
      <c r="D1341" s="54" t="s">
        <v>705</v>
      </c>
      <c r="E1341" s="217">
        <v>813.1</v>
      </c>
      <c r="F1341" s="214">
        <f>主要材料预算!$D$20</f>
        <v>5.77</v>
      </c>
      <c r="G1341" s="216">
        <f t="shared" si="125"/>
        <v>4691.587</v>
      </c>
    </row>
    <row r="1342" customHeight="1" spans="1:7">
      <c r="A1342" s="204" t="s">
        <v>19</v>
      </c>
      <c r="B1342" s="218" t="s">
        <v>511</v>
      </c>
      <c r="C1342" s="219"/>
      <c r="D1342" s="54"/>
      <c r="E1342" s="214"/>
      <c r="F1342" s="214"/>
      <c r="G1342" s="216">
        <f>SUM(G1343:G1352)</f>
        <v>19975.49584712</v>
      </c>
    </row>
    <row r="1343" customHeight="1" spans="1:7">
      <c r="A1343" s="204"/>
      <c r="B1343" s="218" t="s">
        <v>921</v>
      </c>
      <c r="C1343" s="219"/>
      <c r="D1343" s="54" t="s">
        <v>70</v>
      </c>
      <c r="E1343" s="214">
        <v>108</v>
      </c>
      <c r="F1343" s="214">
        <f>混凝土单价计算表!$M$7</f>
        <v>176.454345</v>
      </c>
      <c r="G1343" s="216">
        <f t="shared" si="125"/>
        <v>19057.06926</v>
      </c>
    </row>
    <row r="1344" customHeight="1" spans="1:7">
      <c r="A1344" s="204"/>
      <c r="B1344" s="218" t="s">
        <v>1445</v>
      </c>
      <c r="C1344" s="219"/>
      <c r="D1344" s="54" t="s">
        <v>70</v>
      </c>
      <c r="E1344" s="214">
        <v>0.1</v>
      </c>
      <c r="F1344" s="214">
        <f>基础材料!$D$49</f>
        <v>1568</v>
      </c>
      <c r="G1344" s="216">
        <f t="shared" ref="G1344:G1351" si="126">E1344*F1344</f>
        <v>156.8</v>
      </c>
    </row>
    <row r="1345" customHeight="1" spans="1:7">
      <c r="A1345" s="204"/>
      <c r="B1345" s="218" t="s">
        <v>885</v>
      </c>
      <c r="C1345" s="219"/>
      <c r="D1345" s="54" t="s">
        <v>695</v>
      </c>
      <c r="E1345" s="214">
        <v>7.2</v>
      </c>
      <c r="F1345" s="214">
        <f>基础材料!$D$9</f>
        <v>4.44</v>
      </c>
      <c r="G1345" s="216">
        <f t="shared" si="126"/>
        <v>31.968</v>
      </c>
    </row>
    <row r="1346" customHeight="1" spans="1:7">
      <c r="A1346" s="204"/>
      <c r="B1346" s="296" t="s">
        <v>1438</v>
      </c>
      <c r="C1346" s="297"/>
      <c r="D1346" s="54" t="s">
        <v>695</v>
      </c>
      <c r="E1346" s="214">
        <v>7.3</v>
      </c>
      <c r="F1346" s="214">
        <f>基础材料!$D$11</f>
        <v>4.9</v>
      </c>
      <c r="G1346" s="216">
        <f t="shared" si="126"/>
        <v>35.77</v>
      </c>
    </row>
    <row r="1347" customHeight="1" spans="1:7">
      <c r="A1347" s="204"/>
      <c r="B1347" s="218" t="s">
        <v>1446</v>
      </c>
      <c r="C1347" s="219"/>
      <c r="D1347" s="54" t="s">
        <v>695</v>
      </c>
      <c r="E1347" s="214">
        <v>2.8</v>
      </c>
      <c r="F1347" s="214">
        <f>基础材料!$D$12</f>
        <v>4.8</v>
      </c>
      <c r="G1347" s="216">
        <f t="shared" si="126"/>
        <v>13.44</v>
      </c>
    </row>
    <row r="1348" customHeight="1" spans="1:7">
      <c r="A1348" s="204"/>
      <c r="B1348" s="218" t="s">
        <v>1447</v>
      </c>
      <c r="C1348" s="219"/>
      <c r="D1348" s="54" t="s">
        <v>1396</v>
      </c>
      <c r="E1348" s="214">
        <v>4.1</v>
      </c>
      <c r="F1348" s="214">
        <f>基础材料!$D$13</f>
        <v>12</v>
      </c>
      <c r="G1348" s="216">
        <f t="shared" si="126"/>
        <v>49.2</v>
      </c>
    </row>
    <row r="1349" customHeight="1" spans="1:7">
      <c r="A1349" s="204"/>
      <c r="B1349" s="218" t="s">
        <v>1448</v>
      </c>
      <c r="C1349" s="219"/>
      <c r="D1349" s="54" t="s">
        <v>695</v>
      </c>
      <c r="E1349" s="214">
        <v>0.2</v>
      </c>
      <c r="F1349" s="214">
        <f>基础材料!$D$14</f>
        <v>5.5</v>
      </c>
      <c r="G1349" s="216">
        <f t="shared" si="126"/>
        <v>1.1</v>
      </c>
    </row>
    <row r="1350" customHeight="1" spans="1:7">
      <c r="A1350" s="204"/>
      <c r="B1350" s="218" t="s">
        <v>1449</v>
      </c>
      <c r="C1350" s="219"/>
      <c r="D1350" s="54" t="s">
        <v>695</v>
      </c>
      <c r="E1350" s="214">
        <v>0.3</v>
      </c>
      <c r="F1350" s="214">
        <f>基础材料!$D$15</f>
        <v>3.7</v>
      </c>
      <c r="G1350" s="216">
        <f t="shared" si="126"/>
        <v>1.11</v>
      </c>
    </row>
    <row r="1351" customHeight="1" spans="1:7">
      <c r="A1351" s="204"/>
      <c r="B1351" s="218" t="s">
        <v>730</v>
      </c>
      <c r="C1351" s="219"/>
      <c r="D1351" s="54" t="s">
        <v>70</v>
      </c>
      <c r="E1351" s="214">
        <v>94.5</v>
      </c>
      <c r="F1351" s="214">
        <f>主要材料预算!$D$16</f>
        <v>4.15</v>
      </c>
      <c r="G1351" s="216">
        <f t="shared" si="126"/>
        <v>392.175</v>
      </c>
    </row>
    <row r="1352" customHeight="1" spans="1:7">
      <c r="A1352" s="204"/>
      <c r="B1352" s="215" t="s">
        <v>893</v>
      </c>
      <c r="C1352" s="215"/>
      <c r="D1352" s="54" t="s">
        <v>894</v>
      </c>
      <c r="E1352" s="214">
        <f>SUM(G1343:G1351)</f>
        <v>19738.63226</v>
      </c>
      <c r="F1352" s="214">
        <v>1.2</v>
      </c>
      <c r="G1352" s="216">
        <f>E1352*F1352/100</f>
        <v>236.86358712</v>
      </c>
    </row>
    <row r="1353" customHeight="1" spans="1:7">
      <c r="A1353" s="204" t="s">
        <v>21</v>
      </c>
      <c r="B1353" s="215" t="s">
        <v>895</v>
      </c>
      <c r="C1353" s="215"/>
      <c r="D1353" s="215"/>
      <c r="E1353" s="214"/>
      <c r="F1353" s="214"/>
      <c r="G1353" s="216">
        <f>SUM(G1354:G1358)</f>
        <v>2823.11568754466</v>
      </c>
    </row>
    <row r="1354" customHeight="1" spans="1:7">
      <c r="A1354" s="204"/>
      <c r="B1354" s="218" t="s">
        <v>1423</v>
      </c>
      <c r="C1354" s="219"/>
      <c r="D1354" s="54" t="s">
        <v>896</v>
      </c>
      <c r="E1354" s="214">
        <v>14.53</v>
      </c>
      <c r="F1354" s="214">
        <f>施工机械台时费!$E$21</f>
        <v>37.4199521340247</v>
      </c>
      <c r="G1354" s="216">
        <f t="shared" ref="G1354:G1357" si="127">E1354*F1354</f>
        <v>543.711904507379</v>
      </c>
    </row>
    <row r="1355" customHeight="1" spans="1:7">
      <c r="A1355" s="204"/>
      <c r="B1355" s="218" t="s">
        <v>1439</v>
      </c>
      <c r="C1355" s="219"/>
      <c r="D1355" s="54" t="s">
        <v>896</v>
      </c>
      <c r="E1355" s="214">
        <v>35.29</v>
      </c>
      <c r="F1355" s="214">
        <f>施工机械台时费!$E$24</f>
        <v>5.08152772237734</v>
      </c>
      <c r="G1355" s="216">
        <f t="shared" si="127"/>
        <v>179.327113322696</v>
      </c>
    </row>
    <row r="1356" customHeight="1" spans="1:7">
      <c r="A1356" s="204"/>
      <c r="B1356" s="218" t="s">
        <v>1440</v>
      </c>
      <c r="C1356" s="219"/>
      <c r="D1356" s="54" t="s">
        <v>896</v>
      </c>
      <c r="E1356" s="214">
        <v>119.93</v>
      </c>
      <c r="F1356" s="214">
        <f>施工机械台时费!$E$35</f>
        <v>17.1951356202633</v>
      </c>
      <c r="G1356" s="216">
        <f t="shared" si="127"/>
        <v>2062.21261493817</v>
      </c>
    </row>
    <row r="1357" customHeight="1" spans="1:7">
      <c r="A1357" s="204"/>
      <c r="B1357" s="218" t="s">
        <v>901</v>
      </c>
      <c r="C1357" s="219"/>
      <c r="D1357" s="54" t="s">
        <v>896</v>
      </c>
      <c r="E1357" s="214">
        <v>19.35</v>
      </c>
      <c r="F1357" s="214">
        <f>施工机械台时费!$E$36</f>
        <v>0.813242919824491</v>
      </c>
      <c r="G1357" s="216">
        <f t="shared" si="127"/>
        <v>15.7362504986039</v>
      </c>
    </row>
    <row r="1358" customHeight="1" spans="1:7">
      <c r="A1358" s="204"/>
      <c r="B1358" s="218" t="s">
        <v>902</v>
      </c>
      <c r="C1358" s="219"/>
      <c r="D1358" s="54" t="s">
        <v>894</v>
      </c>
      <c r="E1358" s="214">
        <f>SUM(G1354:G1357)</f>
        <v>2800.98788326685</v>
      </c>
      <c r="F1358" s="214">
        <v>0.79</v>
      </c>
      <c r="G1358" s="216">
        <f>E1358*F1358/100</f>
        <v>22.1278042778081</v>
      </c>
    </row>
    <row r="1359" customHeight="1" spans="1:7">
      <c r="A1359" s="204" t="s">
        <v>905</v>
      </c>
      <c r="B1359" s="215" t="s">
        <v>514</v>
      </c>
      <c r="C1359" s="215"/>
      <c r="D1359" s="54"/>
      <c r="E1359" s="220">
        <f>G1338</f>
        <v>30313.0485346647</v>
      </c>
      <c r="F1359" s="221">
        <f>费率表!$F$4</f>
        <v>0.048</v>
      </c>
      <c r="G1359" s="216">
        <f t="shared" ref="G1359:G1361" si="128">E1359*F1359</f>
        <v>1455.0263296639</v>
      </c>
    </row>
    <row r="1360" customHeight="1" spans="1:7">
      <c r="A1360" s="204" t="s">
        <v>10</v>
      </c>
      <c r="B1360" s="215" t="s">
        <v>770</v>
      </c>
      <c r="C1360" s="215"/>
      <c r="D1360" s="54"/>
      <c r="E1360" s="214">
        <f>G1337</f>
        <v>31768.0748643286</v>
      </c>
      <c r="F1360" s="222">
        <f>费率表!$F$5</f>
        <v>0.085</v>
      </c>
      <c r="G1360" s="216">
        <f t="shared" si="128"/>
        <v>2700.28636346793</v>
      </c>
    </row>
    <row r="1361" customHeight="1" spans="1:7">
      <c r="A1361" s="204" t="s">
        <v>12</v>
      </c>
      <c r="B1361" s="215" t="s">
        <v>771</v>
      </c>
      <c r="C1361" s="215"/>
      <c r="D1361" s="54"/>
      <c r="E1361" s="214">
        <f>G1337+G1360</f>
        <v>34468.3612277965</v>
      </c>
      <c r="F1361" s="222">
        <f>费率表!$F$6</f>
        <v>0.07</v>
      </c>
      <c r="G1361" s="216">
        <f t="shared" si="128"/>
        <v>2412.78528594575</v>
      </c>
    </row>
    <row r="1362" customHeight="1" spans="1:7">
      <c r="A1362" s="204" t="s">
        <v>15</v>
      </c>
      <c r="B1362" s="218" t="s">
        <v>517</v>
      </c>
      <c r="C1362" s="219"/>
      <c r="D1362" s="54"/>
      <c r="E1362" s="214"/>
      <c r="F1362" s="230"/>
      <c r="G1362" s="216">
        <f>SUM(G1363:G1366)</f>
        <v>8142.51904363965</v>
      </c>
    </row>
    <row r="1363" customHeight="1" spans="1:7">
      <c r="A1363" s="204"/>
      <c r="B1363" s="218" t="s">
        <v>729</v>
      </c>
      <c r="C1363" s="219"/>
      <c r="D1363" s="54" t="s">
        <v>70</v>
      </c>
      <c r="E1363" s="214">
        <f>E1343*混凝土单价计算表!$E$7</f>
        <v>33.177276</v>
      </c>
      <c r="F1363" s="214">
        <f>主要材料预算!$N$5</f>
        <v>139.17214</v>
      </c>
      <c r="G1363" s="216">
        <f t="shared" ref="G1363:G1368" si="129">E1363*F1363</f>
        <v>4617.35250029064</v>
      </c>
    </row>
    <row r="1364" customHeight="1" spans="1:7">
      <c r="A1364" s="204"/>
      <c r="B1364" s="218" t="s">
        <v>684</v>
      </c>
      <c r="C1364" s="219"/>
      <c r="D1364" s="54" t="s">
        <v>70</v>
      </c>
      <c r="E1364" s="214">
        <f>E1343*混凝土单价计算表!$G$7</f>
        <v>59.37624</v>
      </c>
      <c r="F1364" s="214"/>
      <c r="G1364" s="216">
        <f t="shared" si="129"/>
        <v>0</v>
      </c>
    </row>
    <row r="1365" customHeight="1" spans="1:7">
      <c r="A1365" s="204"/>
      <c r="B1365" s="218"/>
      <c r="C1365" s="219"/>
      <c r="D1365" s="54"/>
      <c r="E1365" s="214">
        <f>E1343*混凝土单价计算表!I8</f>
        <v>90.874224</v>
      </c>
      <c r="F1365" s="214">
        <f>主要材料预算!N9</f>
        <v>26.7921</v>
      </c>
      <c r="G1365" s="216">
        <f t="shared" si="129"/>
        <v>2434.7112968304</v>
      </c>
    </row>
    <row r="1366" customHeight="1" spans="1:7">
      <c r="A1366" s="204"/>
      <c r="B1366" s="218" t="s">
        <v>694</v>
      </c>
      <c r="C1366" s="219"/>
      <c r="D1366" s="54" t="s">
        <v>695</v>
      </c>
      <c r="E1366" s="214">
        <f>E1356*施工机械台时费!$L$35</f>
        <v>179.895</v>
      </c>
      <c r="F1366" s="214">
        <f>主要材料预算!$N$13</f>
        <v>6.0616206482593</v>
      </c>
      <c r="G1366" s="216">
        <f t="shared" si="129"/>
        <v>1090.45524651861</v>
      </c>
    </row>
    <row r="1367" customHeight="1" spans="1:7">
      <c r="A1367" s="204" t="s">
        <v>906</v>
      </c>
      <c r="B1367" s="215" t="s">
        <v>772</v>
      </c>
      <c r="C1367" s="215"/>
      <c r="D1367" s="54"/>
      <c r="E1367" s="214">
        <f>G1337+G1360+G1361+G1362</f>
        <v>45023.6655573819</v>
      </c>
      <c r="F1367" s="222">
        <f>费率表!$F$7</f>
        <v>0.09</v>
      </c>
      <c r="G1367" s="216">
        <f t="shared" si="129"/>
        <v>4052.12990016437</v>
      </c>
    </row>
    <row r="1368" customHeight="1" spans="1:7">
      <c r="A1368" s="204"/>
      <c r="B1368" s="215" t="s">
        <v>907</v>
      </c>
      <c r="C1368" s="215"/>
      <c r="D1368" s="54"/>
      <c r="E1368" s="214">
        <f>G1337+G1360+G1361+G1362+G1367</f>
        <v>49075.7954575463</v>
      </c>
      <c r="F1368" s="222">
        <f>费率表!$B$19</f>
        <v>0.03</v>
      </c>
      <c r="G1368" s="216">
        <f t="shared" si="129"/>
        <v>1472.27386372639</v>
      </c>
    </row>
    <row r="1369" customHeight="1" spans="1:7">
      <c r="A1369" s="223"/>
      <c r="B1369" s="224" t="s">
        <v>39</v>
      </c>
      <c r="C1369" s="224"/>
      <c r="D1369" s="224"/>
      <c r="E1369" s="225"/>
      <c r="F1369" s="224"/>
      <c r="G1369" s="226">
        <f>G1337+G1360+G1361+G1362+G1367+G1368</f>
        <v>50548.0693212727</v>
      </c>
    </row>
    <row r="1370" customHeight="1" spans="1:7">
      <c r="A1370" s="298"/>
      <c r="B1370" s="298"/>
      <c r="C1370" s="298"/>
      <c r="D1370" s="298"/>
      <c r="E1370" s="299"/>
      <c r="F1370" s="298"/>
      <c r="G1370" s="299"/>
    </row>
    <row r="1371" ht="26.25" customHeight="1" spans="1:7">
      <c r="A1371" s="285" t="s">
        <v>868</v>
      </c>
      <c r="B1371" s="285"/>
      <c r="C1371" s="285"/>
      <c r="D1371" s="285"/>
      <c r="E1371" s="285"/>
      <c r="F1371" s="285"/>
      <c r="G1371" s="285"/>
    </row>
    <row r="1372" customHeight="1" spans="1:7">
      <c r="A1372" s="286" t="s">
        <v>869</v>
      </c>
      <c r="B1372" s="287"/>
      <c r="C1372" s="200"/>
      <c r="D1372" s="200" t="s">
        <v>870</v>
      </c>
      <c r="E1372" s="201" t="s">
        <v>1450</v>
      </c>
      <c r="F1372" s="202"/>
      <c r="G1372" s="203"/>
    </row>
    <row r="1373" customHeight="1" spans="1:7">
      <c r="A1373" s="288" t="s">
        <v>507</v>
      </c>
      <c r="B1373" s="289"/>
      <c r="C1373" s="290" t="s">
        <v>1451</v>
      </c>
      <c r="D1373" s="291"/>
      <c r="E1373" s="292"/>
      <c r="F1373" s="54" t="s">
        <v>873</v>
      </c>
      <c r="G1373" s="207" t="s">
        <v>874</v>
      </c>
    </row>
    <row r="1374" customHeight="1" spans="1:7">
      <c r="A1374" s="293" t="s">
        <v>875</v>
      </c>
      <c r="B1374" s="291"/>
      <c r="C1374" s="291"/>
      <c r="D1374" s="291"/>
      <c r="E1374" s="291"/>
      <c r="F1374" s="291"/>
      <c r="G1374" s="294"/>
    </row>
    <row r="1375" customHeight="1" spans="1:7">
      <c r="A1375" s="210" t="s">
        <v>1444</v>
      </c>
      <c r="B1375" s="211"/>
      <c r="C1375" s="211"/>
      <c r="D1375" s="211"/>
      <c r="E1375" s="211"/>
      <c r="F1375" s="211"/>
      <c r="G1375" s="295"/>
    </row>
    <row r="1376" customHeight="1" spans="1:7">
      <c r="A1376" s="204" t="s">
        <v>34</v>
      </c>
      <c r="B1376" s="54" t="s">
        <v>761</v>
      </c>
      <c r="C1376" s="54"/>
      <c r="D1376" s="54" t="s">
        <v>60</v>
      </c>
      <c r="E1376" s="214" t="s">
        <v>877</v>
      </c>
      <c r="F1376" s="54" t="s">
        <v>878</v>
      </c>
      <c r="G1376" s="207" t="s">
        <v>879</v>
      </c>
    </row>
    <row r="1377" customHeight="1" spans="1:7">
      <c r="A1377" s="204" t="s">
        <v>8</v>
      </c>
      <c r="B1377" s="215" t="s">
        <v>880</v>
      </c>
      <c r="C1377" s="215"/>
      <c r="D1377" s="54"/>
      <c r="E1377" s="214"/>
      <c r="F1377" s="214"/>
      <c r="G1377" s="216">
        <f>G1378+G1399</f>
        <v>32548.1307819612</v>
      </c>
    </row>
    <row r="1378" customHeight="1" spans="1:7">
      <c r="A1378" s="204" t="s">
        <v>881</v>
      </c>
      <c r="B1378" s="215" t="s">
        <v>882</v>
      </c>
      <c r="C1378" s="215"/>
      <c r="D1378" s="54"/>
      <c r="E1378" s="214"/>
      <c r="F1378" s="214"/>
      <c r="G1378" s="216">
        <f>G1379+G1382+G1393</f>
        <v>31057.3767003447</v>
      </c>
    </row>
    <row r="1379" customHeight="1" spans="1:7">
      <c r="A1379" s="204" t="s">
        <v>17</v>
      </c>
      <c r="B1379" s="215" t="s">
        <v>510</v>
      </c>
      <c r="C1379" s="215"/>
      <c r="D1379" s="54"/>
      <c r="E1379" s="214"/>
      <c r="F1379" s="214"/>
      <c r="G1379" s="216">
        <f>SUM(G1380:G1381)</f>
        <v>7514.437</v>
      </c>
    </row>
    <row r="1380" customHeight="1" spans="1:7">
      <c r="A1380" s="204"/>
      <c r="B1380" s="215" t="s">
        <v>704</v>
      </c>
      <c r="C1380" s="215"/>
      <c r="D1380" s="54" t="s">
        <v>705</v>
      </c>
      <c r="E1380" s="214">
        <v>348.5</v>
      </c>
      <c r="F1380" s="214">
        <f>主要材料预算!$D$19</f>
        <v>8.1</v>
      </c>
      <c r="G1380" s="216">
        <f t="shared" ref="G1380:G1383" si="130">E1380*F1380</f>
        <v>2822.85</v>
      </c>
    </row>
    <row r="1381" customHeight="1" spans="1:7">
      <c r="A1381" s="204"/>
      <c r="B1381" s="215" t="s">
        <v>706</v>
      </c>
      <c r="C1381" s="215"/>
      <c r="D1381" s="54" t="s">
        <v>705</v>
      </c>
      <c r="E1381" s="217">
        <v>813.1</v>
      </c>
      <c r="F1381" s="214">
        <f>主要材料预算!$D$20</f>
        <v>5.77</v>
      </c>
      <c r="G1381" s="216">
        <f t="shared" si="130"/>
        <v>4691.587</v>
      </c>
    </row>
    <row r="1382" customHeight="1" spans="1:7">
      <c r="A1382" s="204" t="s">
        <v>19</v>
      </c>
      <c r="B1382" s="218" t="s">
        <v>511</v>
      </c>
      <c r="C1382" s="219"/>
      <c r="D1382" s="54"/>
      <c r="E1382" s="214"/>
      <c r="F1382" s="214"/>
      <c r="G1382" s="216">
        <f>SUM(G1383:G1392)</f>
        <v>20719.8240128</v>
      </c>
    </row>
    <row r="1383" customHeight="1" spans="1:7">
      <c r="A1383" s="204"/>
      <c r="B1383" s="218" t="s">
        <v>1452</v>
      </c>
      <c r="C1383" s="219"/>
      <c r="D1383" s="54" t="s">
        <v>70</v>
      </c>
      <c r="E1383" s="214">
        <v>108</v>
      </c>
      <c r="F1383" s="214">
        <f>混凝土单价计算表!$M$10</f>
        <v>183.26455</v>
      </c>
      <c r="G1383" s="216">
        <f t="shared" si="130"/>
        <v>19792.5714</v>
      </c>
    </row>
    <row r="1384" customHeight="1" spans="1:7">
      <c r="A1384" s="204"/>
      <c r="B1384" s="218" t="s">
        <v>1445</v>
      </c>
      <c r="C1384" s="219"/>
      <c r="D1384" s="54" t="s">
        <v>70</v>
      </c>
      <c r="E1384" s="214">
        <v>0.1</v>
      </c>
      <c r="F1384" s="214">
        <f>基础材料!$D$49</f>
        <v>1568</v>
      </c>
      <c r="G1384" s="216">
        <f t="shared" ref="G1384:G1391" si="131">E1384*F1384</f>
        <v>156.8</v>
      </c>
    </row>
    <row r="1385" customHeight="1" spans="1:7">
      <c r="A1385" s="204"/>
      <c r="B1385" s="218" t="s">
        <v>885</v>
      </c>
      <c r="C1385" s="219"/>
      <c r="D1385" s="54" t="s">
        <v>695</v>
      </c>
      <c r="E1385" s="214">
        <v>7.2</v>
      </c>
      <c r="F1385" s="214">
        <f>基础材料!$D$9</f>
        <v>4.44</v>
      </c>
      <c r="G1385" s="216">
        <f t="shared" si="131"/>
        <v>31.968</v>
      </c>
    </row>
    <row r="1386" customHeight="1" spans="1:7">
      <c r="A1386" s="204"/>
      <c r="B1386" s="296" t="s">
        <v>1438</v>
      </c>
      <c r="C1386" s="297"/>
      <c r="D1386" s="54" t="s">
        <v>695</v>
      </c>
      <c r="E1386" s="214">
        <v>7.3</v>
      </c>
      <c r="F1386" s="214">
        <f>基础材料!$D$11</f>
        <v>4.9</v>
      </c>
      <c r="G1386" s="216">
        <f t="shared" si="131"/>
        <v>35.77</v>
      </c>
    </row>
    <row r="1387" customHeight="1" spans="1:7">
      <c r="A1387" s="204"/>
      <c r="B1387" s="218" t="s">
        <v>1446</v>
      </c>
      <c r="C1387" s="219"/>
      <c r="D1387" s="54" t="s">
        <v>695</v>
      </c>
      <c r="E1387" s="214">
        <v>2.8</v>
      </c>
      <c r="F1387" s="214">
        <f>基础材料!$D$12</f>
        <v>4.8</v>
      </c>
      <c r="G1387" s="216">
        <f t="shared" si="131"/>
        <v>13.44</v>
      </c>
    </row>
    <row r="1388" customHeight="1" spans="1:7">
      <c r="A1388" s="204"/>
      <c r="B1388" s="218" t="s">
        <v>1447</v>
      </c>
      <c r="C1388" s="219"/>
      <c r="D1388" s="54" t="s">
        <v>1396</v>
      </c>
      <c r="E1388" s="214">
        <v>4.1</v>
      </c>
      <c r="F1388" s="214">
        <f>基础材料!$D$13</f>
        <v>12</v>
      </c>
      <c r="G1388" s="216">
        <f t="shared" si="131"/>
        <v>49.2</v>
      </c>
    </row>
    <row r="1389" customHeight="1" spans="1:7">
      <c r="A1389" s="204"/>
      <c r="B1389" s="218" t="s">
        <v>1448</v>
      </c>
      <c r="C1389" s="219"/>
      <c r="D1389" s="54" t="s">
        <v>695</v>
      </c>
      <c r="E1389" s="214">
        <v>0.2</v>
      </c>
      <c r="F1389" s="214">
        <f>基础材料!$D$14</f>
        <v>5.5</v>
      </c>
      <c r="G1389" s="216">
        <f t="shared" si="131"/>
        <v>1.1</v>
      </c>
    </row>
    <row r="1390" customHeight="1" spans="1:7">
      <c r="A1390" s="204"/>
      <c r="B1390" s="218" t="s">
        <v>1449</v>
      </c>
      <c r="C1390" s="219"/>
      <c r="D1390" s="54" t="s">
        <v>695</v>
      </c>
      <c r="E1390" s="214">
        <v>0.3</v>
      </c>
      <c r="F1390" s="214">
        <f>基础材料!$D$15</f>
        <v>3.7</v>
      </c>
      <c r="G1390" s="216">
        <f t="shared" si="131"/>
        <v>1.11</v>
      </c>
    </row>
    <row r="1391" customHeight="1" spans="1:7">
      <c r="A1391" s="204"/>
      <c r="B1391" s="218" t="s">
        <v>730</v>
      </c>
      <c r="C1391" s="219"/>
      <c r="D1391" s="54" t="s">
        <v>70</v>
      </c>
      <c r="E1391" s="214">
        <v>94.5</v>
      </c>
      <c r="F1391" s="214">
        <f>主要材料预算!$D$16</f>
        <v>4.15</v>
      </c>
      <c r="G1391" s="216">
        <f t="shared" si="131"/>
        <v>392.175</v>
      </c>
    </row>
    <row r="1392" customHeight="1" spans="1:7">
      <c r="A1392" s="204"/>
      <c r="B1392" s="215" t="s">
        <v>893</v>
      </c>
      <c r="C1392" s="215"/>
      <c r="D1392" s="54" t="s">
        <v>894</v>
      </c>
      <c r="E1392" s="214">
        <f>SUM(G1383:G1391)</f>
        <v>20474.1344</v>
      </c>
      <c r="F1392" s="214">
        <v>1.2</v>
      </c>
      <c r="G1392" s="216">
        <f>E1392*F1392/100</f>
        <v>245.6896128</v>
      </c>
    </row>
    <row r="1393" customHeight="1" spans="1:7">
      <c r="A1393" s="204" t="s">
        <v>21</v>
      </c>
      <c r="B1393" s="215" t="s">
        <v>895</v>
      </c>
      <c r="C1393" s="215"/>
      <c r="D1393" s="215"/>
      <c r="E1393" s="214"/>
      <c r="F1393" s="214"/>
      <c r="G1393" s="216">
        <f>SUM(G1394:G1398)</f>
        <v>2823.11568754466</v>
      </c>
    </row>
    <row r="1394" customHeight="1" spans="1:7">
      <c r="A1394" s="204"/>
      <c r="B1394" s="218" t="s">
        <v>1423</v>
      </c>
      <c r="C1394" s="219"/>
      <c r="D1394" s="54" t="s">
        <v>896</v>
      </c>
      <c r="E1394" s="214">
        <v>14.53</v>
      </c>
      <c r="F1394" s="214">
        <f>施工机械台时费!$E$21</f>
        <v>37.4199521340247</v>
      </c>
      <c r="G1394" s="216">
        <f t="shared" ref="G1394:G1397" si="132">E1394*F1394</f>
        <v>543.711904507379</v>
      </c>
    </row>
    <row r="1395" customHeight="1" spans="1:7">
      <c r="A1395" s="204"/>
      <c r="B1395" s="218" t="s">
        <v>1439</v>
      </c>
      <c r="C1395" s="219"/>
      <c r="D1395" s="54" t="s">
        <v>896</v>
      </c>
      <c r="E1395" s="214">
        <v>35.29</v>
      </c>
      <c r="F1395" s="214">
        <f>施工机械台时费!$E$24</f>
        <v>5.08152772237734</v>
      </c>
      <c r="G1395" s="216">
        <f t="shared" si="132"/>
        <v>179.327113322696</v>
      </c>
    </row>
    <row r="1396" customHeight="1" spans="1:7">
      <c r="A1396" s="204"/>
      <c r="B1396" s="218" t="s">
        <v>1440</v>
      </c>
      <c r="C1396" s="219"/>
      <c r="D1396" s="54" t="s">
        <v>896</v>
      </c>
      <c r="E1396" s="214">
        <v>119.93</v>
      </c>
      <c r="F1396" s="214">
        <f>施工机械台时费!$E$35</f>
        <v>17.1951356202633</v>
      </c>
      <c r="G1396" s="216">
        <f t="shared" si="132"/>
        <v>2062.21261493817</v>
      </c>
    </row>
    <row r="1397" customHeight="1" spans="1:7">
      <c r="A1397" s="204"/>
      <c r="B1397" s="218" t="s">
        <v>901</v>
      </c>
      <c r="C1397" s="219"/>
      <c r="D1397" s="54" t="s">
        <v>896</v>
      </c>
      <c r="E1397" s="214">
        <v>19.35</v>
      </c>
      <c r="F1397" s="214">
        <f>施工机械台时费!$E$36</f>
        <v>0.813242919824491</v>
      </c>
      <c r="G1397" s="216">
        <f t="shared" si="132"/>
        <v>15.7362504986039</v>
      </c>
    </row>
    <row r="1398" customHeight="1" spans="1:7">
      <c r="A1398" s="204"/>
      <c r="B1398" s="218" t="s">
        <v>902</v>
      </c>
      <c r="C1398" s="219"/>
      <c r="D1398" s="54" t="s">
        <v>894</v>
      </c>
      <c r="E1398" s="214">
        <f>SUM(G1394:G1397)</f>
        <v>2800.98788326685</v>
      </c>
      <c r="F1398" s="214">
        <v>0.79</v>
      </c>
      <c r="G1398" s="216">
        <f>E1398*F1398/100</f>
        <v>22.1278042778081</v>
      </c>
    </row>
    <row r="1399" customHeight="1" spans="1:7">
      <c r="A1399" s="204" t="s">
        <v>905</v>
      </c>
      <c r="B1399" s="215" t="s">
        <v>514</v>
      </c>
      <c r="C1399" s="215"/>
      <c r="D1399" s="54"/>
      <c r="E1399" s="220">
        <f>G1378</f>
        <v>31057.3767003447</v>
      </c>
      <c r="F1399" s="221">
        <f>费率表!$F$4</f>
        <v>0.048</v>
      </c>
      <c r="G1399" s="216">
        <f t="shared" ref="G1399:G1401" si="133">E1399*F1399</f>
        <v>1490.75408161654</v>
      </c>
    </row>
    <row r="1400" customHeight="1" spans="1:7">
      <c r="A1400" s="204" t="s">
        <v>10</v>
      </c>
      <c r="B1400" s="215" t="s">
        <v>770</v>
      </c>
      <c r="C1400" s="215"/>
      <c r="D1400" s="54"/>
      <c r="E1400" s="214">
        <f>G1377</f>
        <v>32548.1307819612</v>
      </c>
      <c r="F1400" s="222">
        <f>费率表!$F$5</f>
        <v>0.085</v>
      </c>
      <c r="G1400" s="216">
        <f t="shared" si="133"/>
        <v>2766.5911164667</v>
      </c>
    </row>
    <row r="1401" customHeight="1" spans="1:7">
      <c r="A1401" s="204" t="s">
        <v>12</v>
      </c>
      <c r="B1401" s="215" t="s">
        <v>771</v>
      </c>
      <c r="C1401" s="215"/>
      <c r="D1401" s="54"/>
      <c r="E1401" s="214">
        <f>G1377+G1400</f>
        <v>35314.7218984279</v>
      </c>
      <c r="F1401" s="222">
        <f>费率表!$F$6</f>
        <v>0.07</v>
      </c>
      <c r="G1401" s="216">
        <f t="shared" si="133"/>
        <v>2472.03053288995</v>
      </c>
    </row>
    <row r="1402" customHeight="1" spans="1:7">
      <c r="A1402" s="204" t="s">
        <v>15</v>
      </c>
      <c r="B1402" s="218" t="s">
        <v>517</v>
      </c>
      <c r="C1402" s="219"/>
      <c r="D1402" s="54"/>
      <c r="E1402" s="214"/>
      <c r="F1402" s="230"/>
      <c r="G1402" s="216">
        <f>SUM(G1403:G1405)</f>
        <v>6200.85622731861</v>
      </c>
    </row>
    <row r="1403" customHeight="1" spans="1:7">
      <c r="A1403" s="204"/>
      <c r="B1403" s="218" t="s">
        <v>729</v>
      </c>
      <c r="C1403" s="219"/>
      <c r="D1403" s="54" t="s">
        <v>70</v>
      </c>
      <c r="E1403" s="214">
        <f>E1383*混凝土单价计算表!$E$10</f>
        <v>36.72</v>
      </c>
      <c r="F1403" s="214">
        <f>主要材料预算!$N$5</f>
        <v>139.17214</v>
      </c>
      <c r="G1403" s="216">
        <f t="shared" ref="G1403:G1407" si="134">E1403*F1403</f>
        <v>5110.4009808</v>
      </c>
    </row>
    <row r="1404" customHeight="1" spans="1:7">
      <c r="A1404" s="204"/>
      <c r="B1404" s="218" t="s">
        <v>684</v>
      </c>
      <c r="C1404" s="219"/>
      <c r="D1404" s="54" t="s">
        <v>70</v>
      </c>
      <c r="E1404" s="214">
        <f>E1383*混凝土单价计算表!$G$10</f>
        <v>57.024</v>
      </c>
      <c r="F1404" s="214"/>
      <c r="G1404" s="216">
        <f t="shared" si="134"/>
        <v>0</v>
      </c>
    </row>
    <row r="1405" customHeight="1" spans="1:7">
      <c r="A1405" s="204"/>
      <c r="B1405" s="218" t="s">
        <v>694</v>
      </c>
      <c r="C1405" s="219"/>
      <c r="D1405" s="54" t="s">
        <v>695</v>
      </c>
      <c r="E1405" s="214">
        <f>E1396*施工机械台时费!$L$35</f>
        <v>179.895</v>
      </c>
      <c r="F1405" s="214">
        <f>主要材料预算!$N$13</f>
        <v>6.0616206482593</v>
      </c>
      <c r="G1405" s="216">
        <f t="shared" si="134"/>
        <v>1090.45524651861</v>
      </c>
    </row>
    <row r="1406" customHeight="1" spans="1:7">
      <c r="A1406" s="204" t="s">
        <v>906</v>
      </c>
      <c r="B1406" s="215" t="s">
        <v>772</v>
      </c>
      <c r="C1406" s="215"/>
      <c r="D1406" s="54"/>
      <c r="E1406" s="214">
        <f>G1377+G1400+G1401+G1402</f>
        <v>43987.6086586365</v>
      </c>
      <c r="F1406" s="222">
        <f>费率表!$F$7</f>
        <v>0.09</v>
      </c>
      <c r="G1406" s="216">
        <f t="shared" si="134"/>
        <v>3958.88477927728</v>
      </c>
    </row>
    <row r="1407" customHeight="1" spans="1:7">
      <c r="A1407" s="204"/>
      <c r="B1407" s="215" t="s">
        <v>907</v>
      </c>
      <c r="C1407" s="215"/>
      <c r="D1407" s="54"/>
      <c r="E1407" s="214">
        <f>G1377+G1400+G1401+G1402+G1406</f>
        <v>47946.4934379137</v>
      </c>
      <c r="F1407" s="222">
        <f>费率表!$B$19</f>
        <v>0.03</v>
      </c>
      <c r="G1407" s="216">
        <f t="shared" si="134"/>
        <v>1438.39480313741</v>
      </c>
    </row>
    <row r="1408" customHeight="1" spans="1:7">
      <c r="A1408" s="223"/>
      <c r="B1408" s="224" t="s">
        <v>39</v>
      </c>
      <c r="C1408" s="224"/>
      <c r="D1408" s="224"/>
      <c r="E1408" s="225"/>
      <c r="F1408" s="224"/>
      <c r="G1408" s="226">
        <f>G1377+G1400+G1401+G1402+G1406+G1407</f>
        <v>49384.8882410512</v>
      </c>
    </row>
    <row r="1409" customHeight="1" spans="1:7">
      <c r="A1409" s="123"/>
      <c r="B1409" s="123"/>
      <c r="C1409" s="123"/>
      <c r="D1409" s="123"/>
      <c r="E1409" s="124"/>
      <c r="F1409" s="123"/>
      <c r="G1409" s="124"/>
    </row>
    <row r="1410" customHeight="1" spans="1:7">
      <c r="A1410" s="285" t="s">
        <v>868</v>
      </c>
      <c r="B1410" s="285"/>
      <c r="C1410" s="285"/>
      <c r="D1410" s="285"/>
      <c r="E1410" s="285"/>
      <c r="F1410" s="285"/>
      <c r="G1410" s="285"/>
    </row>
    <row r="1411" customHeight="1" spans="1:7">
      <c r="A1411" s="286" t="s">
        <v>869</v>
      </c>
      <c r="B1411" s="287"/>
      <c r="C1411" s="200"/>
      <c r="D1411" s="200" t="s">
        <v>870</v>
      </c>
      <c r="E1411" s="201" t="s">
        <v>1453</v>
      </c>
      <c r="F1411" s="202"/>
      <c r="G1411" s="203"/>
    </row>
    <row r="1412" customHeight="1" spans="1:7">
      <c r="A1412" s="288" t="s">
        <v>507</v>
      </c>
      <c r="B1412" s="289"/>
      <c r="C1412" s="290" t="s">
        <v>1451</v>
      </c>
      <c r="D1412" s="291"/>
      <c r="E1412" s="292"/>
      <c r="F1412" s="54" t="s">
        <v>873</v>
      </c>
      <c r="G1412" s="207" t="s">
        <v>874</v>
      </c>
    </row>
    <row r="1413" customHeight="1" spans="1:7">
      <c r="A1413" s="293" t="s">
        <v>875</v>
      </c>
      <c r="B1413" s="291"/>
      <c r="C1413" s="291"/>
      <c r="D1413" s="291"/>
      <c r="E1413" s="291"/>
      <c r="F1413" s="291"/>
      <c r="G1413" s="294"/>
    </row>
    <row r="1414" customHeight="1" spans="1:7">
      <c r="A1414" s="210" t="s">
        <v>1444</v>
      </c>
      <c r="B1414" s="211"/>
      <c r="C1414" s="211"/>
      <c r="D1414" s="211"/>
      <c r="E1414" s="211"/>
      <c r="F1414" s="211"/>
      <c r="G1414" s="295"/>
    </row>
    <row r="1415" customHeight="1" spans="1:7">
      <c r="A1415" s="204" t="s">
        <v>34</v>
      </c>
      <c r="B1415" s="54" t="s">
        <v>761</v>
      </c>
      <c r="C1415" s="54"/>
      <c r="D1415" s="54" t="s">
        <v>60</v>
      </c>
      <c r="E1415" s="214" t="s">
        <v>877</v>
      </c>
      <c r="F1415" s="54" t="s">
        <v>878</v>
      </c>
      <c r="G1415" s="207" t="s">
        <v>879</v>
      </c>
    </row>
    <row r="1416" customHeight="1" spans="1:7">
      <c r="A1416" s="204" t="s">
        <v>8</v>
      </c>
      <c r="B1416" s="215" t="s">
        <v>880</v>
      </c>
      <c r="C1416" s="215"/>
      <c r="D1416" s="54"/>
      <c r="E1416" s="214"/>
      <c r="F1416" s="214"/>
      <c r="G1416" s="216">
        <f>G1417+G1438</f>
        <v>33109.9603122012</v>
      </c>
    </row>
    <row r="1417" customHeight="1" spans="1:7">
      <c r="A1417" s="204" t="s">
        <v>881</v>
      </c>
      <c r="B1417" s="215" t="s">
        <v>882</v>
      </c>
      <c r="C1417" s="215"/>
      <c r="D1417" s="54"/>
      <c r="E1417" s="214"/>
      <c r="F1417" s="214"/>
      <c r="G1417" s="216">
        <f>G1418+G1421+G1432</f>
        <v>31593.4735803447</v>
      </c>
    </row>
    <row r="1418" customHeight="1" spans="1:7">
      <c r="A1418" s="204" t="s">
        <v>17</v>
      </c>
      <c r="B1418" s="215" t="s">
        <v>510</v>
      </c>
      <c r="C1418" s="215"/>
      <c r="D1418" s="54"/>
      <c r="E1418" s="214"/>
      <c r="F1418" s="214"/>
      <c r="G1418" s="216">
        <f>SUM(G1419:G1420)</f>
        <v>7514.437</v>
      </c>
    </row>
    <row r="1419" customHeight="1" spans="1:7">
      <c r="A1419" s="204"/>
      <c r="B1419" s="215" t="s">
        <v>704</v>
      </c>
      <c r="C1419" s="215"/>
      <c r="D1419" s="54" t="s">
        <v>705</v>
      </c>
      <c r="E1419" s="214">
        <v>348.5</v>
      </c>
      <c r="F1419" s="214">
        <f>主要材料预算!$D$19</f>
        <v>8.1</v>
      </c>
      <c r="G1419" s="216">
        <f t="shared" ref="G1419:G1430" si="135">E1419*F1419</f>
        <v>2822.85</v>
      </c>
    </row>
    <row r="1420" customHeight="1" spans="1:7">
      <c r="A1420" s="204"/>
      <c r="B1420" s="215" t="s">
        <v>706</v>
      </c>
      <c r="C1420" s="215"/>
      <c r="D1420" s="54" t="s">
        <v>705</v>
      </c>
      <c r="E1420" s="217">
        <v>813.1</v>
      </c>
      <c r="F1420" s="214">
        <f>主要材料预算!$D$20</f>
        <v>5.77</v>
      </c>
      <c r="G1420" s="216">
        <f t="shared" si="135"/>
        <v>4691.587</v>
      </c>
    </row>
    <row r="1421" customHeight="1" spans="1:7">
      <c r="A1421" s="204" t="s">
        <v>19</v>
      </c>
      <c r="B1421" s="218" t="s">
        <v>511</v>
      </c>
      <c r="C1421" s="219"/>
      <c r="D1421" s="54"/>
      <c r="E1421" s="214"/>
      <c r="F1421" s="214"/>
      <c r="G1421" s="216">
        <f>SUM(G1422:G1431)</f>
        <v>21255.9208928</v>
      </c>
    </row>
    <row r="1422" customHeight="1" spans="1:7">
      <c r="A1422" s="204"/>
      <c r="B1422" s="218" t="s">
        <v>1454</v>
      </c>
      <c r="C1422" s="219"/>
      <c r="D1422" s="54" t="s">
        <v>70</v>
      </c>
      <c r="E1422" s="214">
        <v>108</v>
      </c>
      <c r="F1422" s="214">
        <f>混凝土单价计算表!$M$11</f>
        <v>188.16955</v>
      </c>
      <c r="G1422" s="216">
        <f t="shared" si="135"/>
        <v>20322.3114</v>
      </c>
    </row>
    <row r="1423" customHeight="1" spans="1:7">
      <c r="A1423" s="204"/>
      <c r="B1423" s="218" t="s">
        <v>1445</v>
      </c>
      <c r="C1423" s="219"/>
      <c r="D1423" s="54" t="s">
        <v>70</v>
      </c>
      <c r="E1423" s="214">
        <v>0.1</v>
      </c>
      <c r="F1423" s="214">
        <f>基础材料!$D$49</f>
        <v>1568</v>
      </c>
      <c r="G1423" s="216">
        <f t="shared" si="135"/>
        <v>156.8</v>
      </c>
    </row>
    <row r="1424" customHeight="1" spans="1:7">
      <c r="A1424" s="204"/>
      <c r="B1424" s="218" t="s">
        <v>885</v>
      </c>
      <c r="C1424" s="219"/>
      <c r="D1424" s="54" t="s">
        <v>695</v>
      </c>
      <c r="E1424" s="214">
        <v>7.2</v>
      </c>
      <c r="F1424" s="214">
        <f>基础材料!$D$9</f>
        <v>4.44</v>
      </c>
      <c r="G1424" s="216">
        <f t="shared" si="135"/>
        <v>31.968</v>
      </c>
    </row>
    <row r="1425" customHeight="1" spans="1:30">
      <c r="A1425" s="204"/>
      <c r="B1425" s="296" t="s">
        <v>1438</v>
      </c>
      <c r="C1425" s="297"/>
      <c r="D1425" s="54" t="s">
        <v>695</v>
      </c>
      <c r="E1425" s="214">
        <v>7.3</v>
      </c>
      <c r="F1425" s="214">
        <f>基础材料!$D$11</f>
        <v>4.9</v>
      </c>
      <c r="G1425" s="216">
        <f t="shared" si="135"/>
        <v>35.77</v>
      </c>
    </row>
    <row r="1426" customHeight="1" spans="1:30">
      <c r="A1426" s="204"/>
      <c r="B1426" s="218" t="s">
        <v>1446</v>
      </c>
      <c r="C1426" s="219"/>
      <c r="D1426" s="54" t="s">
        <v>695</v>
      </c>
      <c r="E1426" s="214">
        <v>2.8</v>
      </c>
      <c r="F1426" s="214">
        <f>基础材料!$D$12</f>
        <v>4.8</v>
      </c>
      <c r="G1426" s="216">
        <f t="shared" si="135"/>
        <v>13.44</v>
      </c>
    </row>
    <row r="1427" customHeight="1" spans="1:30">
      <c r="A1427" s="204"/>
      <c r="B1427" s="218" t="s">
        <v>1447</v>
      </c>
      <c r="C1427" s="219"/>
      <c r="D1427" s="54" t="s">
        <v>1396</v>
      </c>
      <c r="E1427" s="214">
        <v>4.1</v>
      </c>
      <c r="F1427" s="214">
        <f>基础材料!$D$13</f>
        <v>12</v>
      </c>
      <c r="G1427" s="216">
        <f t="shared" si="135"/>
        <v>49.2</v>
      </c>
    </row>
    <row r="1428" customHeight="1" spans="1:30">
      <c r="A1428" s="204"/>
      <c r="B1428" s="218" t="s">
        <v>1448</v>
      </c>
      <c r="C1428" s="219"/>
      <c r="D1428" s="54" t="s">
        <v>695</v>
      </c>
      <c r="E1428" s="214">
        <v>0.2</v>
      </c>
      <c r="F1428" s="214">
        <f>基础材料!$D$14</f>
        <v>5.5</v>
      </c>
      <c r="G1428" s="216">
        <f t="shared" si="135"/>
        <v>1.1</v>
      </c>
    </row>
    <row r="1429" customHeight="1" spans="1:30">
      <c r="A1429" s="204"/>
      <c r="B1429" s="218" t="s">
        <v>1449</v>
      </c>
      <c r="C1429" s="219"/>
      <c r="D1429" s="54" t="s">
        <v>695</v>
      </c>
      <c r="E1429" s="214">
        <v>0.3</v>
      </c>
      <c r="F1429" s="214">
        <f>基础材料!$D$15</f>
        <v>3.7</v>
      </c>
      <c r="G1429" s="216">
        <f t="shared" si="135"/>
        <v>1.11</v>
      </c>
    </row>
    <row r="1430" customHeight="1" spans="1:30">
      <c r="A1430" s="204"/>
      <c r="B1430" s="218" t="s">
        <v>730</v>
      </c>
      <c r="C1430" s="219"/>
      <c r="D1430" s="54" t="s">
        <v>70</v>
      </c>
      <c r="E1430" s="214">
        <v>94.5</v>
      </c>
      <c r="F1430" s="214">
        <f>主要材料预算!$D$16</f>
        <v>4.15</v>
      </c>
      <c r="G1430" s="216">
        <f t="shared" si="135"/>
        <v>392.175</v>
      </c>
      <c r="S1430" s="92"/>
      <c r="T1430" s="92"/>
      <c r="U1430" s="92"/>
      <c r="V1430" s="92"/>
      <c r="W1430" s="92"/>
      <c r="X1430" s="92"/>
      <c r="Y1430" s="92"/>
      <c r="Z1430" s="92"/>
      <c r="AA1430" s="92"/>
      <c r="AB1430" s="92"/>
      <c r="AC1430" s="92"/>
      <c r="AD1430" s="92"/>
    </row>
    <row r="1431" customHeight="1" spans="1:30">
      <c r="A1431" s="204"/>
      <c r="B1431" s="215" t="s">
        <v>893</v>
      </c>
      <c r="C1431" s="215"/>
      <c r="D1431" s="54" t="s">
        <v>894</v>
      </c>
      <c r="E1431" s="214">
        <f>SUM(G1422:G1430)</f>
        <v>21003.8744</v>
      </c>
      <c r="F1431" s="214">
        <v>1.2</v>
      </c>
      <c r="G1431" s="216">
        <f>E1431*F1431/100</f>
        <v>252.0464928</v>
      </c>
      <c r="S1431" s="92"/>
      <c r="T1431" s="92"/>
      <c r="U1431" s="92"/>
      <c r="V1431" s="92"/>
      <c r="W1431" s="92"/>
      <c r="X1431" s="92"/>
      <c r="Y1431" s="92"/>
      <c r="Z1431" s="92"/>
      <c r="AA1431" s="92"/>
      <c r="AB1431" s="92"/>
      <c r="AC1431" s="92"/>
      <c r="AD1431" s="92"/>
    </row>
    <row r="1432" customHeight="1" spans="1:30">
      <c r="A1432" s="204" t="s">
        <v>21</v>
      </c>
      <c r="B1432" s="215" t="s">
        <v>895</v>
      </c>
      <c r="C1432" s="215"/>
      <c r="D1432" s="215"/>
      <c r="E1432" s="214"/>
      <c r="F1432" s="214"/>
      <c r="G1432" s="216">
        <f>SUM(G1433:G1437)</f>
        <v>2823.11568754466</v>
      </c>
      <c r="S1432" s="92"/>
      <c r="T1432" s="92"/>
      <c r="U1432" s="92"/>
      <c r="V1432" s="92"/>
      <c r="W1432" s="92"/>
      <c r="X1432" s="92"/>
      <c r="Y1432" s="92"/>
      <c r="Z1432" s="92"/>
      <c r="AA1432" s="92"/>
      <c r="AB1432" s="92"/>
      <c r="AC1432" s="92"/>
      <c r="AD1432" s="92"/>
    </row>
    <row r="1433" customHeight="1" spans="1:30">
      <c r="A1433" s="204"/>
      <c r="B1433" s="218" t="s">
        <v>1423</v>
      </c>
      <c r="C1433" s="219"/>
      <c r="D1433" s="54" t="s">
        <v>896</v>
      </c>
      <c r="E1433" s="214">
        <v>14.53</v>
      </c>
      <c r="F1433" s="214">
        <f>施工机械台时费!$E$21</f>
        <v>37.4199521340247</v>
      </c>
      <c r="G1433" s="216">
        <f t="shared" ref="G1433:G1436" si="136">E1433*F1433</f>
        <v>543.711904507379</v>
      </c>
      <c r="S1433" s="92"/>
      <c r="T1433" s="92"/>
      <c r="U1433" s="92"/>
      <c r="V1433" s="92"/>
      <c r="W1433" s="92"/>
      <c r="X1433" s="92"/>
      <c r="Y1433" s="92"/>
      <c r="Z1433" s="92"/>
      <c r="AA1433" s="92"/>
      <c r="AB1433" s="92"/>
      <c r="AC1433" s="92"/>
      <c r="AD1433" s="92"/>
    </row>
    <row r="1434" customHeight="1" spans="1:30">
      <c r="A1434" s="204"/>
      <c r="B1434" s="218" t="s">
        <v>1439</v>
      </c>
      <c r="C1434" s="219"/>
      <c r="D1434" s="54" t="s">
        <v>896</v>
      </c>
      <c r="E1434" s="214">
        <v>35.29</v>
      </c>
      <c r="F1434" s="214">
        <f>施工机械台时费!$E$24</f>
        <v>5.08152772237734</v>
      </c>
      <c r="G1434" s="216">
        <f t="shared" si="136"/>
        <v>179.327113322696</v>
      </c>
      <c r="S1434" s="92"/>
      <c r="T1434" s="92"/>
      <c r="U1434" s="92"/>
      <c r="V1434" s="92"/>
      <c r="W1434" s="92"/>
      <c r="X1434" s="92"/>
      <c r="Y1434" s="92"/>
      <c r="Z1434" s="92"/>
      <c r="AA1434" s="92"/>
      <c r="AB1434" s="92"/>
      <c r="AC1434" s="92"/>
      <c r="AD1434" s="92"/>
    </row>
    <row r="1435" customHeight="1" spans="1:30">
      <c r="A1435" s="204"/>
      <c r="B1435" s="218" t="s">
        <v>1440</v>
      </c>
      <c r="C1435" s="219"/>
      <c r="D1435" s="54" t="s">
        <v>896</v>
      </c>
      <c r="E1435" s="214">
        <v>119.93</v>
      </c>
      <c r="F1435" s="214">
        <f>施工机械台时费!$E$35</f>
        <v>17.1951356202633</v>
      </c>
      <c r="G1435" s="216">
        <f t="shared" si="136"/>
        <v>2062.21261493817</v>
      </c>
      <c r="S1435" s="92"/>
      <c r="T1435" s="92"/>
      <c r="U1435" s="92"/>
      <c r="V1435" s="92"/>
      <c r="W1435" s="92"/>
      <c r="X1435" s="92"/>
      <c r="Y1435" s="92"/>
      <c r="Z1435" s="92"/>
      <c r="AA1435" s="92"/>
      <c r="AB1435" s="92"/>
      <c r="AC1435" s="92"/>
      <c r="AD1435" s="92"/>
    </row>
    <row r="1436" customHeight="1" spans="1:30">
      <c r="A1436" s="204"/>
      <c r="B1436" s="218" t="s">
        <v>901</v>
      </c>
      <c r="C1436" s="219"/>
      <c r="D1436" s="54" t="s">
        <v>896</v>
      </c>
      <c r="E1436" s="214">
        <v>19.35</v>
      </c>
      <c r="F1436" s="214">
        <f>施工机械台时费!$E$36</f>
        <v>0.813242919824491</v>
      </c>
      <c r="G1436" s="216">
        <f t="shared" si="136"/>
        <v>15.7362504986039</v>
      </c>
      <c r="S1436" s="92"/>
      <c r="T1436" s="92"/>
      <c r="U1436" s="92"/>
      <c r="V1436" s="92"/>
      <c r="W1436" s="92"/>
      <c r="X1436" s="92"/>
      <c r="Y1436" s="92"/>
      <c r="Z1436" s="92"/>
      <c r="AA1436" s="92"/>
      <c r="AB1436" s="92"/>
      <c r="AC1436" s="92"/>
      <c r="AD1436" s="92"/>
    </row>
    <row r="1437" customHeight="1" spans="1:30">
      <c r="A1437" s="204"/>
      <c r="B1437" s="218" t="s">
        <v>902</v>
      </c>
      <c r="C1437" s="219"/>
      <c r="D1437" s="54" t="s">
        <v>894</v>
      </c>
      <c r="E1437" s="214">
        <f>SUM(G1433:G1436)</f>
        <v>2800.98788326685</v>
      </c>
      <c r="F1437" s="214">
        <v>0.79</v>
      </c>
      <c r="G1437" s="216">
        <f>E1437*F1437/100</f>
        <v>22.1278042778081</v>
      </c>
      <c r="S1437" s="92"/>
      <c r="T1437" s="92"/>
      <c r="U1437" s="92"/>
      <c r="V1437" s="92"/>
      <c r="W1437" s="92"/>
      <c r="X1437" s="92"/>
      <c r="Y1437" s="92"/>
      <c r="Z1437" s="92"/>
      <c r="AA1437" s="92"/>
      <c r="AB1437" s="92"/>
      <c r="AC1437" s="92"/>
      <c r="AD1437" s="92"/>
    </row>
    <row r="1438" customHeight="1" spans="1:30">
      <c r="A1438" s="204" t="s">
        <v>905</v>
      </c>
      <c r="B1438" s="215" t="s">
        <v>514</v>
      </c>
      <c r="C1438" s="215"/>
      <c r="D1438" s="54"/>
      <c r="E1438" s="220">
        <f>G1417</f>
        <v>31593.4735803447</v>
      </c>
      <c r="F1438" s="221">
        <f>费率表!$F$4</f>
        <v>0.048</v>
      </c>
      <c r="G1438" s="216">
        <f t="shared" ref="G1438:G1440" si="137">E1438*F1438</f>
        <v>1516.48673185654</v>
      </c>
      <c r="S1438" s="92"/>
      <c r="T1438" s="92"/>
      <c r="U1438" s="92"/>
      <c r="V1438" s="92"/>
      <c r="W1438" s="92"/>
      <c r="X1438" s="92"/>
      <c r="Y1438" s="92"/>
      <c r="Z1438" s="92"/>
      <c r="AA1438" s="92"/>
      <c r="AB1438" s="92"/>
      <c r="AC1438" s="92"/>
      <c r="AD1438" s="92"/>
    </row>
    <row r="1439" customHeight="1" spans="1:30">
      <c r="A1439" s="204" t="s">
        <v>10</v>
      </c>
      <c r="B1439" s="215" t="s">
        <v>770</v>
      </c>
      <c r="C1439" s="215"/>
      <c r="D1439" s="54"/>
      <c r="E1439" s="214">
        <f>G1416</f>
        <v>33109.9603122012</v>
      </c>
      <c r="F1439" s="222">
        <f>费率表!$F$5</f>
        <v>0.085</v>
      </c>
      <c r="G1439" s="216">
        <f t="shared" si="137"/>
        <v>2814.3466265371</v>
      </c>
      <c r="S1439" s="92"/>
      <c r="T1439" s="92"/>
      <c r="U1439" s="92"/>
      <c r="V1439" s="92"/>
      <c r="W1439" s="92"/>
      <c r="X1439" s="92"/>
      <c r="Y1439" s="92"/>
      <c r="Z1439" s="92"/>
      <c r="AA1439" s="92"/>
      <c r="AB1439" s="92"/>
      <c r="AC1439" s="92"/>
      <c r="AD1439" s="92"/>
    </row>
    <row r="1440" customHeight="1" spans="1:30">
      <c r="A1440" s="204" t="s">
        <v>12</v>
      </c>
      <c r="B1440" s="215" t="s">
        <v>771</v>
      </c>
      <c r="C1440" s="215"/>
      <c r="D1440" s="54"/>
      <c r="E1440" s="214">
        <f>G1416+G1439</f>
        <v>35924.3069387383</v>
      </c>
      <c r="F1440" s="222">
        <f>费率表!$F$6</f>
        <v>0.07</v>
      </c>
      <c r="G1440" s="216">
        <f t="shared" si="137"/>
        <v>2514.70148571168</v>
      </c>
      <c r="S1440" s="92"/>
      <c r="T1440" s="92"/>
      <c r="U1440" s="92"/>
      <c r="V1440" s="92"/>
      <c r="W1440" s="92"/>
      <c r="X1440" s="92"/>
      <c r="Y1440" s="92"/>
      <c r="Z1440" s="92"/>
      <c r="AA1440" s="92"/>
      <c r="AB1440" s="92"/>
      <c r="AC1440" s="92"/>
      <c r="AD1440" s="92"/>
    </row>
    <row r="1441" customHeight="1" spans="1:30">
      <c r="A1441" s="204" t="s">
        <v>15</v>
      </c>
      <c r="B1441" s="218" t="s">
        <v>517</v>
      </c>
      <c r="C1441" s="219"/>
      <c r="D1441" s="54"/>
      <c r="E1441" s="214"/>
      <c r="F1441" s="230"/>
      <c r="G1441" s="216">
        <f>SUM(G1442:G1444)</f>
        <v>6576.62100531861</v>
      </c>
      <c r="S1441" s="92"/>
      <c r="T1441" s="92"/>
      <c r="U1441" s="92"/>
      <c r="V1441" s="92"/>
      <c r="W1441" s="92"/>
      <c r="X1441" s="92"/>
      <c r="Y1441" s="92"/>
      <c r="Z1441" s="92"/>
      <c r="AA1441" s="92"/>
      <c r="AB1441" s="92"/>
      <c r="AC1441" s="92"/>
      <c r="AD1441" s="92"/>
    </row>
    <row r="1442" customHeight="1" spans="1:30">
      <c r="A1442" s="204"/>
      <c r="B1442" s="218" t="s">
        <v>729</v>
      </c>
      <c r="C1442" s="219"/>
      <c r="D1442" s="54" t="s">
        <v>70</v>
      </c>
      <c r="E1442" s="214">
        <f>E1422*混凝土单价计算表!$E$11</f>
        <v>39.42</v>
      </c>
      <c r="F1442" s="214">
        <f>主要材料预算!$N$5</f>
        <v>139.17214</v>
      </c>
      <c r="G1442" s="216">
        <f t="shared" ref="G1442:G1446" si="138">E1442*F1442</f>
        <v>5486.1657588</v>
      </c>
      <c r="S1442" s="92"/>
      <c r="T1442" s="92"/>
      <c r="U1442" s="92"/>
      <c r="V1442" s="92"/>
      <c r="W1442" s="92"/>
      <c r="X1442" s="92"/>
      <c r="Y1442" s="92"/>
      <c r="Z1442" s="92"/>
      <c r="AA1442" s="92"/>
      <c r="AB1442" s="92"/>
      <c r="AC1442" s="92"/>
      <c r="AD1442" s="92"/>
    </row>
    <row r="1443" customHeight="1" spans="1:30">
      <c r="A1443" s="204"/>
      <c r="B1443" s="218" t="s">
        <v>684</v>
      </c>
      <c r="C1443" s="219"/>
      <c r="D1443" s="54" t="s">
        <v>70</v>
      </c>
      <c r="E1443" s="214">
        <f>E1422*混凝土单价计算表!$G$11</f>
        <v>54.756</v>
      </c>
      <c r="F1443" s="214"/>
      <c r="G1443" s="216">
        <f t="shared" si="138"/>
        <v>0</v>
      </c>
      <c r="S1443" s="92"/>
      <c r="T1443" s="92"/>
      <c r="U1443" s="92"/>
      <c r="V1443" s="92"/>
      <c r="W1443" s="92"/>
      <c r="X1443" s="92"/>
      <c r="Y1443" s="92"/>
      <c r="Z1443" s="92"/>
      <c r="AA1443" s="92"/>
      <c r="AB1443" s="92"/>
      <c r="AC1443" s="92"/>
      <c r="AD1443" s="92"/>
    </row>
    <row r="1444" customHeight="1" spans="1:30">
      <c r="A1444" s="204"/>
      <c r="B1444" s="218" t="s">
        <v>694</v>
      </c>
      <c r="C1444" s="219"/>
      <c r="D1444" s="54" t="s">
        <v>695</v>
      </c>
      <c r="E1444" s="214">
        <f>E1435*施工机械台时费!$L$35</f>
        <v>179.895</v>
      </c>
      <c r="F1444" s="214">
        <f>主要材料预算!$N$13</f>
        <v>6.0616206482593</v>
      </c>
      <c r="G1444" s="216">
        <f t="shared" si="138"/>
        <v>1090.45524651861</v>
      </c>
      <c r="S1444" s="92"/>
      <c r="T1444" s="92"/>
      <c r="U1444" s="92"/>
      <c r="V1444" s="92"/>
      <c r="W1444" s="92"/>
      <c r="X1444" s="92"/>
      <c r="Y1444" s="92"/>
      <c r="Z1444" s="92"/>
      <c r="AA1444" s="92"/>
      <c r="AB1444" s="92"/>
      <c r="AC1444" s="92"/>
      <c r="AD1444" s="92"/>
    </row>
    <row r="1445" customHeight="1" spans="1:30">
      <c r="A1445" s="204" t="s">
        <v>906</v>
      </c>
      <c r="B1445" s="215" t="s">
        <v>772</v>
      </c>
      <c r="C1445" s="215"/>
      <c r="D1445" s="54"/>
      <c r="E1445" s="214">
        <f>G1416+G1439+G1440+G1441</f>
        <v>45015.6294297686</v>
      </c>
      <c r="F1445" s="222">
        <f>费率表!$F$7</f>
        <v>0.09</v>
      </c>
      <c r="G1445" s="216">
        <f t="shared" si="138"/>
        <v>4051.40664867917</v>
      </c>
      <c r="S1445" s="92"/>
      <c r="T1445" s="92"/>
      <c r="U1445" s="92"/>
      <c r="V1445" s="92"/>
      <c r="W1445" s="92"/>
      <c r="X1445" s="92"/>
      <c r="Y1445" s="92"/>
      <c r="Z1445" s="92"/>
      <c r="AA1445" s="92"/>
      <c r="AB1445" s="92"/>
      <c r="AC1445" s="92"/>
      <c r="AD1445" s="92"/>
    </row>
    <row r="1446" customHeight="1" spans="1:30">
      <c r="A1446" s="204"/>
      <c r="B1446" s="215" t="s">
        <v>907</v>
      </c>
      <c r="C1446" s="215"/>
      <c r="D1446" s="54"/>
      <c r="E1446" s="214">
        <f>G1416+G1439+G1440+G1441+G1445</f>
        <v>49067.0360784478</v>
      </c>
      <c r="F1446" s="222">
        <f>费率表!$B$19</f>
        <v>0.03</v>
      </c>
      <c r="G1446" s="216">
        <f t="shared" si="138"/>
        <v>1472.01108235343</v>
      </c>
      <c r="S1446" s="92"/>
      <c r="T1446" s="92"/>
      <c r="U1446" s="92"/>
      <c r="V1446" s="92"/>
      <c r="W1446" s="92"/>
      <c r="X1446" s="92"/>
      <c r="Y1446" s="92"/>
      <c r="Z1446" s="92"/>
      <c r="AA1446" s="92"/>
      <c r="AB1446" s="92"/>
      <c r="AC1446" s="92"/>
      <c r="AD1446" s="92"/>
    </row>
    <row r="1447" customHeight="1" spans="1:30">
      <c r="A1447" s="223"/>
      <c r="B1447" s="224" t="s">
        <v>39</v>
      </c>
      <c r="C1447" s="224"/>
      <c r="D1447" s="224"/>
      <c r="E1447" s="225"/>
      <c r="F1447" s="224"/>
      <c r="G1447" s="226">
        <f>G1416+G1439+G1440+G1441+G1445+G1446</f>
        <v>50539.0471608012</v>
      </c>
      <c r="S1447" s="92"/>
      <c r="T1447" s="92"/>
      <c r="U1447" s="92"/>
      <c r="V1447" s="92"/>
      <c r="W1447" s="92"/>
      <c r="X1447" s="92"/>
      <c r="Y1447" s="92"/>
      <c r="Z1447" s="92"/>
      <c r="AA1447" s="92"/>
      <c r="AB1447" s="92"/>
      <c r="AC1447" s="92"/>
      <c r="AD1447" s="92"/>
    </row>
    <row r="1448" customHeight="1" spans="1:30">
      <c r="A1448" s="298"/>
      <c r="B1448" s="298"/>
      <c r="C1448" s="298"/>
      <c r="D1448" s="298"/>
      <c r="E1448" s="299"/>
      <c r="F1448" s="298"/>
      <c r="G1448" s="299"/>
      <c r="S1448" s="92"/>
      <c r="T1448" s="92"/>
      <c r="U1448" s="92"/>
      <c r="V1448" s="92"/>
      <c r="W1448" s="92"/>
      <c r="X1448" s="92"/>
      <c r="Y1448" s="92"/>
      <c r="Z1448" s="92"/>
      <c r="AA1448" s="92"/>
      <c r="AB1448" s="92"/>
      <c r="AC1448" s="92"/>
      <c r="AD1448" s="92"/>
    </row>
    <row r="1449" customHeight="1" spans="1:30">
      <c r="S1449" s="92"/>
      <c r="T1449" s="92"/>
      <c r="U1449" s="92"/>
      <c r="V1449" s="92"/>
      <c r="W1449" s="92"/>
      <c r="X1449" s="92"/>
      <c r="Y1449" s="92"/>
      <c r="Z1449" s="92"/>
      <c r="AA1449" s="92"/>
      <c r="AB1449" s="92"/>
      <c r="AC1449" s="92"/>
      <c r="AD1449" s="92"/>
    </row>
    <row r="1450" customHeight="1" spans="1:30">
      <c r="A1450" s="285" t="s">
        <v>868</v>
      </c>
      <c r="B1450" s="285"/>
      <c r="C1450" s="285"/>
      <c r="D1450" s="285"/>
      <c r="E1450" s="285"/>
      <c r="F1450" s="285"/>
      <c r="G1450" s="285"/>
    </row>
    <row r="1451" customHeight="1" spans="1:30">
      <c r="A1451" s="286" t="s">
        <v>869</v>
      </c>
      <c r="B1451" s="287"/>
      <c r="C1451" s="200"/>
      <c r="D1451" s="200" t="s">
        <v>870</v>
      </c>
      <c r="E1451" s="201" t="s">
        <v>1455</v>
      </c>
      <c r="F1451" s="202"/>
      <c r="G1451" s="203"/>
      <c r="S1451" s="92"/>
      <c r="T1451" s="92"/>
      <c r="U1451" s="92"/>
      <c r="V1451" s="92"/>
      <c r="W1451" s="92"/>
      <c r="X1451" s="92"/>
      <c r="Y1451" s="92"/>
      <c r="Z1451" s="92"/>
      <c r="AA1451" s="92"/>
      <c r="AB1451" s="92"/>
      <c r="AC1451" s="92"/>
      <c r="AD1451" s="92"/>
    </row>
    <row r="1452" customHeight="1" spans="1:30">
      <c r="A1452" s="288" t="s">
        <v>507</v>
      </c>
      <c r="B1452" s="289"/>
      <c r="C1452" s="290" t="s">
        <v>1456</v>
      </c>
      <c r="D1452" s="291"/>
      <c r="E1452" s="292"/>
      <c r="F1452" s="54" t="s">
        <v>873</v>
      </c>
      <c r="G1452" s="207" t="s">
        <v>874</v>
      </c>
      <c r="S1452" s="92"/>
      <c r="T1452" s="92"/>
      <c r="U1452" s="92"/>
      <c r="V1452" s="92"/>
      <c r="W1452" s="92"/>
      <c r="X1452" s="92"/>
      <c r="Y1452" s="92"/>
      <c r="Z1452" s="92"/>
      <c r="AA1452" s="92"/>
      <c r="AB1452" s="92"/>
      <c r="AC1452" s="92"/>
      <c r="AD1452" s="92"/>
    </row>
    <row r="1453" customHeight="1" spans="1:30">
      <c r="A1453" s="293" t="s">
        <v>875</v>
      </c>
      <c r="B1453" s="291"/>
      <c r="C1453" s="291"/>
      <c r="D1453" s="291"/>
      <c r="E1453" s="291"/>
      <c r="F1453" s="291"/>
      <c r="G1453" s="294"/>
      <c r="S1453" s="92"/>
      <c r="T1453" s="92"/>
      <c r="U1453" s="92"/>
      <c r="V1453" s="92"/>
      <c r="W1453" s="92"/>
      <c r="X1453" s="92"/>
      <c r="Y1453" s="92"/>
      <c r="Z1453" s="92"/>
      <c r="AA1453" s="92"/>
      <c r="AB1453" s="92"/>
      <c r="AC1453" s="92"/>
      <c r="AD1453" s="92"/>
    </row>
    <row r="1454" customHeight="1" spans="1:30">
      <c r="A1454" s="210" t="s">
        <v>1457</v>
      </c>
      <c r="B1454" s="211"/>
      <c r="C1454" s="211"/>
      <c r="D1454" s="211"/>
      <c r="E1454" s="211"/>
      <c r="F1454" s="211"/>
      <c r="G1454" s="295"/>
      <c r="S1454" s="92"/>
      <c r="T1454" s="92"/>
      <c r="U1454" s="92"/>
      <c r="V1454" s="92"/>
      <c r="W1454" s="92"/>
      <c r="X1454" s="92"/>
      <c r="Y1454" s="92"/>
      <c r="Z1454" s="92"/>
      <c r="AA1454" s="92"/>
      <c r="AB1454" s="92"/>
      <c r="AC1454" s="92"/>
      <c r="AD1454" s="92"/>
    </row>
    <row r="1455" customHeight="1" spans="1:30">
      <c r="A1455" s="204" t="s">
        <v>34</v>
      </c>
      <c r="B1455" s="54" t="s">
        <v>761</v>
      </c>
      <c r="C1455" s="54"/>
      <c r="D1455" s="54" t="s">
        <v>60</v>
      </c>
      <c r="E1455" s="214" t="s">
        <v>877</v>
      </c>
      <c r="F1455" s="54" t="s">
        <v>878</v>
      </c>
      <c r="G1455" s="207" t="s">
        <v>879</v>
      </c>
      <c r="S1455" s="92"/>
      <c r="T1455" s="92"/>
      <c r="U1455" s="92"/>
      <c r="V1455" s="92"/>
      <c r="W1455" s="92"/>
      <c r="X1455" s="92"/>
      <c r="Y1455" s="92"/>
      <c r="Z1455" s="92"/>
      <c r="AA1455" s="92"/>
      <c r="AB1455" s="92"/>
      <c r="AC1455" s="92"/>
      <c r="AD1455" s="92"/>
    </row>
    <row r="1456" customHeight="1" spans="1:30">
      <c r="A1456" s="204" t="s">
        <v>8</v>
      </c>
      <c r="B1456" s="215" t="s">
        <v>880</v>
      </c>
      <c r="C1456" s="215"/>
      <c r="D1456" s="54"/>
      <c r="E1456" s="214"/>
      <c r="F1456" s="214"/>
      <c r="G1456" s="216">
        <f>G1457+G1473</f>
        <v>46768.8985679047</v>
      </c>
      <c r="S1456" s="92"/>
      <c r="T1456" s="92"/>
      <c r="U1456" s="92"/>
      <c r="V1456" s="92"/>
      <c r="W1456" s="92"/>
      <c r="X1456" s="92"/>
      <c r="Y1456" s="92"/>
      <c r="Z1456" s="92"/>
      <c r="AA1456" s="92"/>
      <c r="AB1456" s="92"/>
      <c r="AC1456" s="92"/>
      <c r="AD1456" s="92"/>
    </row>
    <row r="1457" customHeight="1" spans="1:30">
      <c r="A1457" s="204" t="s">
        <v>881</v>
      </c>
      <c r="B1457" s="215" t="s">
        <v>882</v>
      </c>
      <c r="C1457" s="215"/>
      <c r="D1457" s="54"/>
      <c r="E1457" s="214"/>
      <c r="F1457" s="214"/>
      <c r="G1457" s="216">
        <f>G1458+G1461+G1467</f>
        <v>44626.8116105961</v>
      </c>
      <c r="S1457" s="92"/>
      <c r="T1457" s="92"/>
      <c r="U1457" s="92"/>
      <c r="V1457" s="92"/>
      <c r="W1457" s="92"/>
      <c r="X1457" s="92"/>
      <c r="Y1457" s="92"/>
      <c r="Z1457" s="92"/>
      <c r="AA1457" s="92"/>
      <c r="AB1457" s="92"/>
      <c r="AC1457" s="92"/>
      <c r="AD1457" s="92"/>
    </row>
    <row r="1458" customHeight="1" spans="1:30">
      <c r="A1458" s="204" t="s">
        <v>17</v>
      </c>
      <c r="B1458" s="215" t="s">
        <v>510</v>
      </c>
      <c r="C1458" s="215"/>
      <c r="D1458" s="54"/>
      <c r="E1458" s="214"/>
      <c r="F1458" s="214"/>
      <c r="G1458" s="216">
        <f>SUM(G1459:G1460)</f>
        <v>14656.213</v>
      </c>
      <c r="S1458" s="92"/>
      <c r="T1458" s="92"/>
      <c r="U1458" s="92"/>
      <c r="V1458" s="92"/>
      <c r="W1458" s="92"/>
      <c r="X1458" s="92"/>
      <c r="Y1458" s="92"/>
      <c r="Z1458" s="92"/>
      <c r="AA1458" s="92"/>
      <c r="AB1458" s="92"/>
      <c r="AC1458" s="92"/>
      <c r="AD1458" s="92"/>
    </row>
    <row r="1459" customHeight="1" spans="1:30">
      <c r="A1459" s="204"/>
      <c r="B1459" s="215" t="s">
        <v>704</v>
      </c>
      <c r="C1459" s="215"/>
      <c r="D1459" s="54" t="s">
        <v>705</v>
      </c>
      <c r="E1459" s="214">
        <v>679.7</v>
      </c>
      <c r="F1459" s="214">
        <f>主要材料预算!$D$19</f>
        <v>8.1</v>
      </c>
      <c r="G1459" s="216">
        <f t="shared" ref="G1459:G1465" si="139">E1459*F1459</f>
        <v>5505.57</v>
      </c>
      <c r="S1459" s="92"/>
      <c r="T1459" s="92"/>
      <c r="U1459" s="92"/>
      <c r="V1459" s="92"/>
      <c r="W1459" s="92"/>
      <c r="X1459" s="92"/>
      <c r="Y1459" s="92"/>
      <c r="Z1459" s="92"/>
      <c r="AA1459" s="92"/>
      <c r="AB1459" s="92"/>
      <c r="AC1459" s="92"/>
      <c r="AD1459" s="92"/>
    </row>
    <row r="1460" customHeight="1" spans="1:30">
      <c r="A1460" s="204"/>
      <c r="B1460" s="215" t="s">
        <v>706</v>
      </c>
      <c r="C1460" s="215"/>
      <c r="D1460" s="54" t="s">
        <v>705</v>
      </c>
      <c r="E1460" s="217">
        <v>1585.9</v>
      </c>
      <c r="F1460" s="214">
        <f>主要材料预算!$D$20</f>
        <v>5.77</v>
      </c>
      <c r="G1460" s="216">
        <f t="shared" si="139"/>
        <v>9150.643</v>
      </c>
      <c r="S1460" s="92"/>
      <c r="T1460" s="92"/>
      <c r="U1460" s="92"/>
      <c r="V1460" s="92"/>
      <c r="W1460" s="92"/>
      <c r="X1460" s="92"/>
      <c r="Y1460" s="92"/>
      <c r="Z1460" s="92"/>
      <c r="AA1460" s="92"/>
      <c r="AB1460" s="92"/>
      <c r="AC1460" s="92"/>
      <c r="AD1460" s="92"/>
    </row>
    <row r="1461" customHeight="1" spans="1:30">
      <c r="A1461" s="204" t="s">
        <v>19</v>
      </c>
      <c r="B1461" s="218" t="s">
        <v>511</v>
      </c>
      <c r="C1461" s="219"/>
      <c r="D1461" s="54"/>
      <c r="E1461" s="214"/>
      <c r="F1461" s="214"/>
      <c r="G1461" s="216">
        <f>SUM(G1462:G1466)</f>
        <v>19950.8194519611</v>
      </c>
      <c r="S1461" s="92"/>
      <c r="T1461" s="92"/>
      <c r="U1461" s="92"/>
      <c r="V1461" s="92"/>
      <c r="W1461" s="92"/>
      <c r="X1461" s="92"/>
      <c r="Y1461" s="92"/>
      <c r="Z1461" s="92"/>
      <c r="AA1461" s="92"/>
      <c r="AB1461" s="92"/>
      <c r="AC1461" s="92"/>
      <c r="AD1461" s="92"/>
    </row>
    <row r="1462" customHeight="1" spans="1:30">
      <c r="A1462" s="204"/>
      <c r="B1462" s="218" t="s">
        <v>921</v>
      </c>
      <c r="C1462" s="219"/>
      <c r="D1462" s="54" t="s">
        <v>70</v>
      </c>
      <c r="E1462" s="214">
        <v>107.1</v>
      </c>
      <c r="F1462" s="214">
        <f>混凝土单价计算表!$M$8</f>
        <v>176.454345</v>
      </c>
      <c r="G1462" s="216">
        <f t="shared" si="139"/>
        <v>18898.2603495</v>
      </c>
      <c r="S1462" s="92"/>
      <c r="T1462" s="92"/>
      <c r="U1462" s="92"/>
      <c r="V1462" s="92"/>
      <c r="W1462" s="92"/>
      <c r="X1462" s="92"/>
      <c r="Y1462" s="92"/>
      <c r="Z1462" s="92"/>
      <c r="AA1462" s="92"/>
      <c r="AB1462" s="92"/>
      <c r="AC1462" s="92"/>
      <c r="AD1462" s="92"/>
    </row>
    <row r="1463" customHeight="1" spans="1:30">
      <c r="A1463" s="204"/>
      <c r="B1463" s="218" t="s">
        <v>1458</v>
      </c>
      <c r="C1463" s="219"/>
      <c r="D1463" s="54" t="s">
        <v>70</v>
      </c>
      <c r="E1463" s="214">
        <v>96.5</v>
      </c>
      <c r="F1463" s="214">
        <f>基础材料!$D$10</f>
        <v>4.44</v>
      </c>
      <c r="G1463" s="216">
        <f t="shared" si="139"/>
        <v>428.46</v>
      </c>
      <c r="S1463" s="92"/>
      <c r="T1463" s="92"/>
      <c r="U1463" s="92"/>
      <c r="V1463" s="92"/>
      <c r="W1463" s="92"/>
      <c r="X1463" s="92"/>
      <c r="Y1463" s="92"/>
      <c r="Z1463" s="92"/>
      <c r="AA1463" s="92"/>
      <c r="AB1463" s="92"/>
      <c r="AC1463" s="92"/>
      <c r="AD1463" s="92"/>
    </row>
    <row r="1464" customHeight="1" spans="1:30">
      <c r="A1464" s="204"/>
      <c r="B1464" s="300" t="s">
        <v>1459</v>
      </c>
      <c r="C1464" s="301"/>
      <c r="D1464" s="54" t="s">
        <v>695</v>
      </c>
      <c r="E1464" s="214">
        <v>18.7</v>
      </c>
      <c r="F1464" s="214">
        <f>基础材料!$D$3</f>
        <v>4.04</v>
      </c>
      <c r="G1464" s="216">
        <f t="shared" si="139"/>
        <v>75.548</v>
      </c>
      <c r="S1464" s="92"/>
      <c r="T1464" s="92"/>
      <c r="U1464" s="92"/>
      <c r="V1464" s="92"/>
      <c r="W1464" s="92"/>
      <c r="X1464" s="92"/>
      <c r="Y1464" s="92"/>
      <c r="Z1464" s="92"/>
      <c r="AA1464" s="92"/>
      <c r="AB1464" s="92"/>
      <c r="AC1464" s="92"/>
      <c r="AD1464" s="92"/>
    </row>
    <row r="1465" customHeight="1" spans="1:30">
      <c r="A1465" s="204"/>
      <c r="B1465" s="218" t="s">
        <v>730</v>
      </c>
      <c r="C1465" s="219"/>
      <c r="D1465" s="54" t="s">
        <v>70</v>
      </c>
      <c r="E1465" s="214">
        <v>94.5</v>
      </c>
      <c r="F1465" s="214">
        <f>主要材料预算!$D$16</f>
        <v>4.15</v>
      </c>
      <c r="G1465" s="216">
        <f t="shared" si="139"/>
        <v>392.175</v>
      </c>
      <c r="S1465" s="92"/>
      <c r="T1465" s="92"/>
      <c r="U1465" s="92"/>
      <c r="V1465" s="92"/>
      <c r="W1465" s="92"/>
      <c r="X1465" s="92"/>
      <c r="Y1465" s="92"/>
      <c r="Z1465" s="92"/>
      <c r="AA1465" s="92"/>
      <c r="AB1465" s="92"/>
      <c r="AC1465" s="92"/>
      <c r="AD1465" s="92"/>
    </row>
    <row r="1466" customHeight="1" spans="1:30">
      <c r="A1466" s="204"/>
      <c r="B1466" s="215" t="s">
        <v>893</v>
      </c>
      <c r="C1466" s="215"/>
      <c r="D1466" s="54" t="s">
        <v>894</v>
      </c>
      <c r="E1466" s="214">
        <f>SUM(G1462:G1465)</f>
        <v>19794.4433495</v>
      </c>
      <c r="F1466" s="214">
        <v>0.79</v>
      </c>
      <c r="G1466" s="216">
        <f>E1466*F1466/100</f>
        <v>156.37610246105</v>
      </c>
      <c r="S1466" s="92"/>
      <c r="T1466" s="92"/>
      <c r="U1466" s="92"/>
      <c r="V1466" s="92"/>
      <c r="W1466" s="92"/>
      <c r="X1466" s="92"/>
      <c r="Y1466" s="92"/>
      <c r="Z1466" s="92"/>
      <c r="AA1466" s="92"/>
      <c r="AB1466" s="92"/>
      <c r="AC1466" s="92"/>
      <c r="AD1466" s="92"/>
    </row>
    <row r="1467" customHeight="1" spans="1:30">
      <c r="A1467" s="204" t="s">
        <v>21</v>
      </c>
      <c r="B1467" s="215" t="s">
        <v>895</v>
      </c>
      <c r="C1467" s="215"/>
      <c r="D1467" s="215"/>
      <c r="E1467" s="214"/>
      <c r="F1467" s="214"/>
      <c r="G1467" s="216">
        <f>SUM(G1468:G1472)</f>
        <v>10019.779158635</v>
      </c>
      <c r="S1467" s="92"/>
      <c r="T1467" s="92"/>
      <c r="U1467" s="92"/>
      <c r="V1467" s="92"/>
      <c r="W1467" s="92"/>
      <c r="X1467" s="92"/>
      <c r="Y1467" s="92"/>
      <c r="Z1467" s="92"/>
      <c r="AA1467" s="92"/>
      <c r="AB1467" s="92"/>
      <c r="AC1467" s="92"/>
      <c r="AD1467" s="92"/>
    </row>
    <row r="1468" customHeight="1" spans="1:30">
      <c r="A1468" s="204"/>
      <c r="B1468" s="215" t="s">
        <v>1423</v>
      </c>
      <c r="C1468" s="215"/>
      <c r="D1468" s="54" t="s">
        <v>896</v>
      </c>
      <c r="E1468" s="214">
        <v>251.16</v>
      </c>
      <c r="F1468" s="214">
        <f>施工机械台时费!$E$21</f>
        <v>37.4199521340247</v>
      </c>
      <c r="G1468" s="216">
        <f t="shared" ref="G1468:G1471" si="140">E1468*F1468</f>
        <v>9398.39517798165</v>
      </c>
      <c r="S1468" s="92"/>
      <c r="T1468" s="92"/>
      <c r="U1468" s="92"/>
      <c r="V1468" s="92"/>
      <c r="W1468" s="92"/>
      <c r="X1468" s="92"/>
      <c r="Y1468" s="92"/>
      <c r="Z1468" s="92"/>
      <c r="AA1468" s="92"/>
      <c r="AB1468" s="92"/>
      <c r="AC1468" s="92"/>
      <c r="AD1468" s="92"/>
    </row>
    <row r="1469" customHeight="1" spans="1:30">
      <c r="A1469" s="204"/>
      <c r="B1469" s="215" t="s">
        <v>1440</v>
      </c>
      <c r="C1469" s="215"/>
      <c r="D1469" s="54" t="s">
        <v>896</v>
      </c>
      <c r="E1469" s="214">
        <v>9.33</v>
      </c>
      <c r="F1469" s="214">
        <f>施工机械台时费!$E$35</f>
        <v>17.1951356202633</v>
      </c>
      <c r="G1469" s="216">
        <f t="shared" si="140"/>
        <v>160.430615337056</v>
      </c>
      <c r="S1469" s="92"/>
      <c r="T1469" s="92"/>
      <c r="U1469" s="92"/>
      <c r="V1469" s="92"/>
      <c r="W1469" s="92"/>
      <c r="X1469" s="92"/>
      <c r="Y1469" s="92"/>
      <c r="Z1469" s="92"/>
      <c r="AA1469" s="92"/>
      <c r="AB1469" s="92"/>
      <c r="AC1469" s="92"/>
      <c r="AD1469" s="92"/>
    </row>
    <row r="1470" customHeight="1" spans="1:30">
      <c r="A1470" s="204"/>
      <c r="B1470" s="215" t="s">
        <v>901</v>
      </c>
      <c r="C1470" s="215"/>
      <c r="D1470" s="54" t="s">
        <v>896</v>
      </c>
      <c r="E1470" s="214">
        <v>112.95</v>
      </c>
      <c r="F1470" s="214">
        <f>施工机械台时费!$E$36</f>
        <v>0.813242919824491</v>
      </c>
      <c r="G1470" s="216">
        <f t="shared" si="140"/>
        <v>91.8557877941763</v>
      </c>
      <c r="S1470" s="92"/>
      <c r="T1470" s="92"/>
      <c r="U1470" s="92"/>
      <c r="V1470" s="92"/>
      <c r="W1470" s="92"/>
      <c r="X1470" s="92"/>
      <c r="Y1470" s="92"/>
      <c r="Z1470" s="92"/>
      <c r="AA1470" s="92"/>
      <c r="AB1470" s="92"/>
      <c r="AC1470" s="92"/>
      <c r="AD1470" s="92"/>
    </row>
    <row r="1471" customHeight="1" spans="1:30">
      <c r="A1471" s="204"/>
      <c r="B1471" s="218" t="s">
        <v>1439</v>
      </c>
      <c r="C1471" s="219"/>
      <c r="D1471" s="54" t="s">
        <v>896</v>
      </c>
      <c r="E1471" s="214">
        <v>57.18</v>
      </c>
      <c r="F1471" s="214">
        <f>施工机械台时费!$E$24</f>
        <v>5.08152772237734</v>
      </c>
      <c r="G1471" s="216">
        <f t="shared" si="140"/>
        <v>290.561755165536</v>
      </c>
      <c r="S1471" s="92"/>
      <c r="T1471" s="92"/>
      <c r="U1471" s="92"/>
      <c r="V1471" s="92"/>
      <c r="W1471" s="92"/>
      <c r="X1471" s="92"/>
      <c r="Y1471" s="92"/>
      <c r="Z1471" s="92"/>
      <c r="AA1471" s="92"/>
      <c r="AB1471" s="92"/>
      <c r="AC1471" s="92"/>
      <c r="AD1471" s="92"/>
    </row>
    <row r="1472" customHeight="1" spans="1:30">
      <c r="A1472" s="204"/>
      <c r="B1472" s="218" t="s">
        <v>902</v>
      </c>
      <c r="C1472" s="219"/>
      <c r="D1472" s="54" t="s">
        <v>894</v>
      </c>
      <c r="E1472" s="214">
        <f>SUM(G1468:G1471)</f>
        <v>9941.24333627842</v>
      </c>
      <c r="F1472" s="214">
        <v>0.79</v>
      </c>
      <c r="G1472" s="216">
        <f>E1472*F1472/100</f>
        <v>78.5358223565995</v>
      </c>
      <c r="S1472" s="92"/>
      <c r="T1472" s="92"/>
      <c r="U1472" s="92"/>
      <c r="V1472" s="92"/>
      <c r="W1472" s="92"/>
      <c r="X1472" s="92"/>
      <c r="Y1472" s="92"/>
      <c r="Z1472" s="92"/>
      <c r="AA1472" s="92"/>
      <c r="AB1472" s="92"/>
      <c r="AC1472" s="92"/>
      <c r="AD1472" s="92"/>
    </row>
    <row r="1473" customHeight="1" spans="1:30">
      <c r="A1473" s="204" t="s">
        <v>905</v>
      </c>
      <c r="B1473" s="215" t="s">
        <v>514</v>
      </c>
      <c r="C1473" s="215"/>
      <c r="D1473" s="54"/>
      <c r="E1473" s="220">
        <f>G1457</f>
        <v>44626.8116105961</v>
      </c>
      <c r="F1473" s="221">
        <f>费率表!$F$4</f>
        <v>0.048</v>
      </c>
      <c r="G1473" s="216">
        <f t="shared" ref="G1473:G1475" si="141">E1473*F1473</f>
        <v>2142.08695730861</v>
      </c>
      <c r="S1473" s="92"/>
      <c r="T1473" s="92"/>
      <c r="U1473" s="92"/>
      <c r="V1473" s="92"/>
      <c r="W1473" s="92"/>
      <c r="X1473" s="92"/>
      <c r="Y1473" s="92"/>
      <c r="Z1473" s="92"/>
      <c r="AA1473" s="92"/>
      <c r="AB1473" s="92"/>
      <c r="AC1473" s="92"/>
      <c r="AD1473" s="92"/>
    </row>
    <row r="1474" customHeight="1" spans="1:30">
      <c r="A1474" s="204" t="s">
        <v>10</v>
      </c>
      <c r="B1474" s="215" t="s">
        <v>770</v>
      </c>
      <c r="C1474" s="215"/>
      <c r="D1474" s="54"/>
      <c r="E1474" s="214">
        <f>G1456</f>
        <v>46768.8985679047</v>
      </c>
      <c r="F1474" s="222">
        <f>费率表!$F$5</f>
        <v>0.085</v>
      </c>
      <c r="G1474" s="216">
        <f t="shared" si="141"/>
        <v>3975.3563782719</v>
      </c>
    </row>
    <row r="1475" customHeight="1" spans="1:30">
      <c r="A1475" s="204" t="s">
        <v>12</v>
      </c>
      <c r="B1475" s="215" t="s">
        <v>771</v>
      </c>
      <c r="C1475" s="215"/>
      <c r="D1475" s="54"/>
      <c r="E1475" s="214">
        <f>G1456+G1474</f>
        <v>50744.2549461766</v>
      </c>
      <c r="F1475" s="222">
        <f>费率表!$F$6</f>
        <v>0.07</v>
      </c>
      <c r="G1475" s="216">
        <f t="shared" si="141"/>
        <v>3552.09784623236</v>
      </c>
    </row>
    <row r="1476" customHeight="1" spans="1:30">
      <c r="A1476" s="204" t="s">
        <v>15</v>
      </c>
      <c r="B1476" s="218" t="s">
        <v>517</v>
      </c>
      <c r="C1476" s="219"/>
      <c r="D1476" s="54"/>
      <c r="E1476" s="214"/>
      <c r="F1476" s="230"/>
      <c r="G1476" s="216">
        <f>SUM(G1477:G1479)</f>
        <v>4663.70694376061</v>
      </c>
    </row>
    <row r="1477" customHeight="1" spans="1:30">
      <c r="A1477" s="204"/>
      <c r="B1477" s="218" t="s">
        <v>729</v>
      </c>
      <c r="C1477" s="219"/>
      <c r="D1477" s="54" t="s">
        <v>70</v>
      </c>
      <c r="E1477" s="214">
        <f>E1462*混凝土单价计算表!$E$8</f>
        <v>32.9007987</v>
      </c>
      <c r="F1477" s="214">
        <f>主要材料预算!$N$5</f>
        <v>139.17214</v>
      </c>
      <c r="G1477" s="216">
        <f t="shared" ref="G1477:G1481" si="142">E1477*F1477</f>
        <v>4578.87456278822</v>
      </c>
    </row>
    <row r="1478" customHeight="1" spans="1:30">
      <c r="A1478" s="204"/>
      <c r="B1478" s="218" t="s">
        <v>684</v>
      </c>
      <c r="C1478" s="219"/>
      <c r="D1478" s="54" t="s">
        <v>70</v>
      </c>
      <c r="E1478" s="214">
        <f>E1462*混凝土单价计算表!$G$8</f>
        <v>58.881438</v>
      </c>
      <c r="F1478" s="214"/>
      <c r="G1478" s="216">
        <f t="shared" si="142"/>
        <v>0</v>
      </c>
      <c r="S1478" s="92"/>
      <c r="T1478" s="92"/>
      <c r="U1478" s="92"/>
      <c r="V1478" s="92"/>
      <c r="W1478" s="92"/>
      <c r="X1478" s="92"/>
      <c r="Y1478" s="92"/>
      <c r="Z1478" s="92"/>
      <c r="AA1478" s="92"/>
      <c r="AB1478" s="92"/>
      <c r="AC1478" s="92"/>
      <c r="AD1478" s="92"/>
    </row>
    <row r="1479" customHeight="1" spans="1:30">
      <c r="A1479" s="204"/>
      <c r="B1479" s="218" t="s">
        <v>694</v>
      </c>
      <c r="C1479" s="219"/>
      <c r="D1479" s="54" t="s">
        <v>695</v>
      </c>
      <c r="E1479" s="214">
        <f>E1469*施工机械台时费!$L$35</f>
        <v>13.995</v>
      </c>
      <c r="F1479" s="214">
        <f>主要材料预算!$N$13</f>
        <v>6.0616206482593</v>
      </c>
      <c r="G1479" s="216">
        <f t="shared" si="142"/>
        <v>84.8323809723889</v>
      </c>
      <c r="S1479" s="92"/>
      <c r="T1479" s="92"/>
      <c r="U1479" s="92"/>
      <c r="V1479" s="92"/>
      <c r="W1479" s="92"/>
      <c r="X1479" s="92"/>
      <c r="Y1479" s="92"/>
      <c r="Z1479" s="92"/>
      <c r="AA1479" s="92"/>
      <c r="AB1479" s="92"/>
      <c r="AC1479" s="92"/>
      <c r="AD1479" s="92"/>
    </row>
    <row r="1480" customHeight="1" spans="1:30">
      <c r="A1480" s="204" t="s">
        <v>906</v>
      </c>
      <c r="B1480" s="215" t="s">
        <v>772</v>
      </c>
      <c r="C1480" s="215"/>
      <c r="D1480" s="54"/>
      <c r="E1480" s="214">
        <f>G1456+G1474+G1475+G1476</f>
        <v>58960.0597361696</v>
      </c>
      <c r="F1480" s="222">
        <f>费率表!$F$7</f>
        <v>0.09</v>
      </c>
      <c r="G1480" s="216">
        <f t="shared" si="142"/>
        <v>5306.40537625526</v>
      </c>
      <c r="S1480" s="92"/>
      <c r="T1480" s="92"/>
      <c r="U1480" s="92"/>
      <c r="V1480" s="92"/>
      <c r="W1480" s="92"/>
      <c r="X1480" s="92"/>
      <c r="Y1480" s="92"/>
      <c r="Z1480" s="92"/>
      <c r="AA1480" s="92"/>
      <c r="AB1480" s="92"/>
      <c r="AC1480" s="92"/>
      <c r="AD1480" s="92"/>
    </row>
    <row r="1481" customHeight="1" spans="1:30">
      <c r="A1481" s="204"/>
      <c r="B1481" s="215" t="s">
        <v>907</v>
      </c>
      <c r="C1481" s="215"/>
      <c r="D1481" s="54"/>
      <c r="E1481" s="214">
        <f>G1456+G1474+G1475+G1476+G1480</f>
        <v>64266.4651124248</v>
      </c>
      <c r="F1481" s="222">
        <f>费率表!$B$19</f>
        <v>0.03</v>
      </c>
      <c r="G1481" s="216">
        <f t="shared" si="142"/>
        <v>1927.99395337274</v>
      </c>
      <c r="S1481" s="92"/>
      <c r="T1481" s="92"/>
      <c r="U1481" s="92"/>
      <c r="V1481" s="92"/>
      <c r="W1481" s="92"/>
      <c r="X1481" s="92"/>
      <c r="Y1481" s="92"/>
      <c r="Z1481" s="92"/>
      <c r="AA1481" s="92"/>
      <c r="AB1481" s="92"/>
      <c r="AC1481" s="92"/>
      <c r="AD1481" s="92"/>
    </row>
    <row r="1482" customHeight="1" spans="1:30">
      <c r="A1482" s="223"/>
      <c r="B1482" s="224" t="s">
        <v>39</v>
      </c>
      <c r="C1482" s="224"/>
      <c r="D1482" s="224"/>
      <c r="E1482" s="225"/>
      <c r="F1482" s="224"/>
      <c r="G1482" s="226">
        <f>G1456+G1474+G1475+G1476+G1480+G1481</f>
        <v>66194.4590657976</v>
      </c>
      <c r="S1482" s="92"/>
      <c r="T1482" s="92"/>
      <c r="U1482" s="92"/>
      <c r="V1482" s="92"/>
      <c r="W1482" s="92"/>
      <c r="X1482" s="92"/>
      <c r="Y1482" s="92"/>
      <c r="Z1482" s="92"/>
      <c r="AA1482" s="92"/>
      <c r="AB1482" s="92"/>
      <c r="AC1482" s="92"/>
      <c r="AD1482" s="92"/>
    </row>
    <row r="1483" customHeight="1" spans="1:30">
      <c r="S1483" s="92"/>
      <c r="T1483" s="92"/>
      <c r="U1483" s="92"/>
      <c r="V1483" s="92"/>
      <c r="W1483" s="92"/>
      <c r="X1483" s="92"/>
      <c r="Y1483" s="92"/>
      <c r="Z1483" s="92"/>
      <c r="AA1483" s="92"/>
      <c r="AB1483" s="92"/>
      <c r="AC1483" s="92"/>
      <c r="AD1483" s="92"/>
    </row>
    <row r="1484" customHeight="1" spans="1:30">
      <c r="A1484" s="285" t="s">
        <v>868</v>
      </c>
      <c r="B1484" s="285"/>
      <c r="C1484" s="285"/>
      <c r="D1484" s="285"/>
      <c r="E1484" s="285"/>
      <c r="F1484" s="285"/>
      <c r="G1484" s="285"/>
      <c r="S1484" s="92"/>
      <c r="T1484" s="92"/>
      <c r="U1484" s="92"/>
      <c r="V1484" s="92"/>
      <c r="W1484" s="92"/>
      <c r="X1484" s="92"/>
      <c r="Y1484" s="92"/>
      <c r="Z1484" s="92"/>
      <c r="AA1484" s="92"/>
      <c r="AB1484" s="92"/>
      <c r="AC1484" s="92"/>
      <c r="AD1484" s="92"/>
    </row>
    <row r="1485" customHeight="1" spans="1:30">
      <c r="A1485" s="286" t="s">
        <v>869</v>
      </c>
      <c r="B1485" s="287"/>
      <c r="C1485" s="200"/>
      <c r="D1485" s="200" t="s">
        <v>870</v>
      </c>
      <c r="E1485" s="201" t="s">
        <v>1460</v>
      </c>
      <c r="F1485" s="202"/>
      <c r="G1485" s="203"/>
      <c r="S1485" s="92"/>
      <c r="T1485" s="92"/>
      <c r="U1485" s="92"/>
      <c r="V1485" s="92"/>
      <c r="W1485" s="92"/>
      <c r="X1485" s="92"/>
      <c r="Y1485" s="92"/>
      <c r="Z1485" s="92"/>
      <c r="AA1485" s="92"/>
      <c r="AB1485" s="92"/>
      <c r="AC1485" s="92"/>
      <c r="AD1485" s="92"/>
    </row>
    <row r="1486" customHeight="1" spans="1:30">
      <c r="A1486" s="288" t="s">
        <v>507</v>
      </c>
      <c r="B1486" s="289"/>
      <c r="C1486" s="290" t="s">
        <v>1461</v>
      </c>
      <c r="D1486" s="291"/>
      <c r="E1486" s="292"/>
      <c r="F1486" s="54" t="s">
        <v>873</v>
      </c>
      <c r="G1486" s="207" t="s">
        <v>874</v>
      </c>
      <c r="S1486" s="92"/>
      <c r="T1486" s="92"/>
      <c r="U1486" s="92"/>
      <c r="V1486" s="92"/>
      <c r="W1486" s="92"/>
      <c r="X1486" s="92"/>
      <c r="Y1486" s="92"/>
      <c r="Z1486" s="92"/>
      <c r="AA1486" s="92"/>
      <c r="AB1486" s="92"/>
      <c r="AC1486" s="92"/>
      <c r="AD1486" s="92"/>
    </row>
    <row r="1487" customHeight="1" spans="1:30">
      <c r="A1487" s="293" t="s">
        <v>875</v>
      </c>
      <c r="B1487" s="291"/>
      <c r="C1487" s="291"/>
      <c r="D1487" s="291"/>
      <c r="E1487" s="291"/>
      <c r="F1487" s="291"/>
      <c r="G1487" s="294"/>
      <c r="S1487" s="92"/>
      <c r="T1487" s="92"/>
      <c r="U1487" s="92"/>
      <c r="V1487" s="92"/>
      <c r="W1487" s="92"/>
      <c r="X1487" s="92"/>
      <c r="Y1487" s="92"/>
      <c r="Z1487" s="92"/>
      <c r="AA1487" s="92"/>
      <c r="AB1487" s="92"/>
      <c r="AC1487" s="92"/>
      <c r="AD1487" s="92"/>
    </row>
    <row r="1488" customHeight="1" spans="1:30">
      <c r="A1488" s="210" t="s">
        <v>1457</v>
      </c>
      <c r="B1488" s="211"/>
      <c r="C1488" s="211"/>
      <c r="D1488" s="211"/>
      <c r="E1488" s="211"/>
      <c r="F1488" s="211"/>
      <c r="G1488" s="295"/>
      <c r="S1488" s="92"/>
      <c r="T1488" s="92"/>
      <c r="U1488" s="92"/>
      <c r="V1488" s="92"/>
      <c r="W1488" s="92"/>
      <c r="X1488" s="92"/>
      <c r="Y1488" s="92"/>
      <c r="Z1488" s="92"/>
      <c r="AA1488" s="92"/>
      <c r="AB1488" s="92"/>
      <c r="AC1488" s="92"/>
      <c r="AD1488" s="92"/>
    </row>
    <row r="1489" customHeight="1" spans="1:30">
      <c r="A1489" s="204" t="s">
        <v>34</v>
      </c>
      <c r="B1489" s="54" t="s">
        <v>761</v>
      </c>
      <c r="C1489" s="54"/>
      <c r="D1489" s="54" t="s">
        <v>60</v>
      </c>
      <c r="E1489" s="214" t="s">
        <v>877</v>
      </c>
      <c r="F1489" s="54" t="s">
        <v>878</v>
      </c>
      <c r="G1489" s="207" t="s">
        <v>879</v>
      </c>
      <c r="S1489" s="92"/>
      <c r="T1489" s="92"/>
      <c r="U1489" s="92"/>
      <c r="V1489" s="92"/>
      <c r="W1489" s="92"/>
      <c r="X1489" s="92"/>
      <c r="Y1489" s="92"/>
      <c r="Z1489" s="92"/>
      <c r="AA1489" s="92"/>
      <c r="AB1489" s="92"/>
      <c r="AC1489" s="92"/>
      <c r="AD1489" s="92"/>
    </row>
    <row r="1490" customHeight="1" spans="1:30">
      <c r="A1490" s="204" t="s">
        <v>8</v>
      </c>
      <c r="B1490" s="215" t="s">
        <v>880</v>
      </c>
      <c r="C1490" s="215"/>
      <c r="D1490" s="54"/>
      <c r="E1490" s="214"/>
      <c r="F1490" s="214"/>
      <c r="G1490" s="216">
        <f>G1491+G1504</f>
        <v>71906.4885372502</v>
      </c>
      <c r="S1490" s="92"/>
      <c r="T1490" s="92"/>
      <c r="U1490" s="92"/>
      <c r="V1490" s="92"/>
      <c r="W1490" s="92"/>
      <c r="X1490" s="92"/>
      <c r="Y1490" s="92"/>
      <c r="Z1490" s="92"/>
      <c r="AA1490" s="92"/>
      <c r="AB1490" s="92"/>
      <c r="AC1490" s="92"/>
      <c r="AD1490" s="92"/>
    </row>
    <row r="1491" customHeight="1" spans="1:30">
      <c r="A1491" s="204" t="s">
        <v>881</v>
      </c>
      <c r="B1491" s="215" t="s">
        <v>882</v>
      </c>
      <c r="C1491" s="215"/>
      <c r="D1491" s="54"/>
      <c r="E1491" s="214"/>
      <c r="F1491" s="214"/>
      <c r="G1491" s="216">
        <f>G1492+G1495+G1499+G1503</f>
        <v>68613.0615813456</v>
      </c>
      <c r="S1491" s="92"/>
      <c r="T1491" s="92"/>
      <c r="U1491" s="92"/>
      <c r="V1491" s="92"/>
      <c r="W1491" s="92"/>
      <c r="X1491" s="92"/>
      <c r="Y1491" s="92"/>
      <c r="Z1491" s="92"/>
      <c r="AA1491" s="92"/>
      <c r="AB1491" s="92"/>
      <c r="AC1491" s="92"/>
      <c r="AD1491" s="92"/>
    </row>
    <row r="1492" customHeight="1" spans="1:30">
      <c r="A1492" s="204" t="s">
        <v>17</v>
      </c>
      <c r="B1492" s="215" t="s">
        <v>510</v>
      </c>
      <c r="C1492" s="215"/>
      <c r="D1492" s="54"/>
      <c r="E1492" s="214"/>
      <c r="F1492" s="214"/>
      <c r="G1492" s="216">
        <f>SUM(G1493:G1494)</f>
        <v>10179.665</v>
      </c>
      <c r="S1492" s="92"/>
      <c r="T1492" s="92"/>
      <c r="U1492" s="92"/>
      <c r="V1492" s="92"/>
      <c r="W1492" s="92"/>
      <c r="X1492" s="92"/>
      <c r="Y1492" s="92"/>
      <c r="Z1492" s="92"/>
      <c r="AA1492" s="92"/>
      <c r="AB1492" s="92"/>
      <c r="AC1492" s="92"/>
      <c r="AD1492" s="92"/>
    </row>
    <row r="1493" customHeight="1" spans="1:30">
      <c r="A1493" s="204"/>
      <c r="B1493" s="215" t="s">
        <v>704</v>
      </c>
      <c r="C1493" s="215"/>
      <c r="D1493" s="54" t="s">
        <v>705</v>
      </c>
      <c r="E1493" s="214">
        <v>472.1</v>
      </c>
      <c r="F1493" s="214">
        <f>主要材料预算!$D$19</f>
        <v>8.1</v>
      </c>
      <c r="G1493" s="216">
        <f t="shared" ref="G1493:G1498" si="143">E1493*F1493</f>
        <v>3824.01</v>
      </c>
      <c r="S1493" s="92"/>
      <c r="T1493" s="92"/>
      <c r="U1493" s="92"/>
      <c r="V1493" s="92"/>
      <c r="W1493" s="92"/>
      <c r="X1493" s="92"/>
      <c r="Y1493" s="92"/>
      <c r="Z1493" s="92"/>
      <c r="AA1493" s="92"/>
      <c r="AB1493" s="92"/>
      <c r="AC1493" s="92"/>
      <c r="AD1493" s="92"/>
    </row>
    <row r="1494" customHeight="1" spans="1:30">
      <c r="A1494" s="204"/>
      <c r="B1494" s="215" t="s">
        <v>706</v>
      </c>
      <c r="C1494" s="215"/>
      <c r="D1494" s="54" t="s">
        <v>705</v>
      </c>
      <c r="E1494" s="217">
        <v>1101.5</v>
      </c>
      <c r="F1494" s="214">
        <f>主要材料预算!$D$20</f>
        <v>5.77</v>
      </c>
      <c r="G1494" s="216">
        <f t="shared" si="143"/>
        <v>6355.655</v>
      </c>
      <c r="S1494" s="92"/>
      <c r="T1494" s="92"/>
      <c r="U1494" s="92"/>
      <c r="V1494" s="92"/>
      <c r="W1494" s="92"/>
      <c r="X1494" s="92"/>
      <c r="Y1494" s="92"/>
      <c r="Z1494" s="92"/>
      <c r="AA1494" s="92"/>
      <c r="AB1494" s="92"/>
      <c r="AC1494" s="92"/>
      <c r="AD1494" s="92"/>
    </row>
    <row r="1495" customHeight="1" spans="1:30">
      <c r="A1495" s="204" t="s">
        <v>19</v>
      </c>
      <c r="B1495" s="218" t="s">
        <v>511</v>
      </c>
      <c r="C1495" s="219"/>
      <c r="D1495" s="54"/>
      <c r="E1495" s="214"/>
      <c r="F1495" s="214"/>
      <c r="G1495" s="216">
        <f>SUM(G1496:G1498)</f>
        <v>44910.8247992676</v>
      </c>
    </row>
    <row r="1496" customHeight="1" spans="1:30">
      <c r="A1496" s="204"/>
      <c r="B1496" s="218" t="s">
        <v>921</v>
      </c>
      <c r="C1496" s="219"/>
      <c r="D1496" s="54" t="s">
        <v>70</v>
      </c>
      <c r="E1496" s="214">
        <v>7.6</v>
      </c>
      <c r="F1496" s="236">
        <f>混凝土单价计算表!M9</f>
        <v>182.9560235</v>
      </c>
      <c r="G1496" s="216">
        <f t="shared" si="143"/>
        <v>1390.4657786</v>
      </c>
      <c r="S1496" s="92"/>
      <c r="T1496" s="92"/>
      <c r="U1496" s="92"/>
      <c r="V1496" s="92"/>
      <c r="W1496" s="92"/>
      <c r="X1496" s="92"/>
      <c r="Y1496" s="92"/>
      <c r="Z1496" s="92"/>
      <c r="AA1496" s="92"/>
      <c r="AB1496" s="92"/>
      <c r="AC1496" s="92"/>
      <c r="AD1496" s="92"/>
    </row>
    <row r="1497" customHeight="1" spans="1:30">
      <c r="A1497" s="204"/>
      <c r="B1497" s="218" t="s">
        <v>1462</v>
      </c>
      <c r="C1497" s="219"/>
      <c r="D1497" s="54" t="s">
        <v>70</v>
      </c>
      <c r="E1497" s="214">
        <v>96.9</v>
      </c>
      <c r="F1497" s="236">
        <f>G1457/100</f>
        <v>446.268116105961</v>
      </c>
      <c r="G1497" s="216">
        <f t="shared" si="143"/>
        <v>43243.3804506676</v>
      </c>
      <c r="S1497" s="92"/>
      <c r="T1497" s="92"/>
      <c r="U1497" s="92"/>
      <c r="V1497" s="92"/>
      <c r="W1497" s="92"/>
      <c r="X1497" s="92"/>
      <c r="Y1497" s="92"/>
      <c r="Z1497" s="92"/>
      <c r="AA1497" s="92"/>
      <c r="AB1497" s="92"/>
      <c r="AC1497" s="92"/>
      <c r="AD1497" s="92"/>
    </row>
    <row r="1498" customHeight="1" spans="1:30">
      <c r="A1498" s="204"/>
      <c r="B1498" s="218" t="s">
        <v>1002</v>
      </c>
      <c r="C1498" s="219"/>
      <c r="D1498" s="54" t="s">
        <v>70</v>
      </c>
      <c r="E1498" s="214">
        <v>2.2</v>
      </c>
      <c r="F1498" s="214">
        <f>混凝土单价计算表!$M$12</f>
        <v>125.89935</v>
      </c>
      <c r="G1498" s="216">
        <f t="shared" si="143"/>
        <v>276.97857</v>
      </c>
      <c r="S1498" s="92"/>
      <c r="T1498" s="92"/>
      <c r="U1498" s="92"/>
      <c r="V1498" s="92"/>
      <c r="W1498" s="92"/>
      <c r="X1498" s="92"/>
      <c r="Y1498" s="92"/>
      <c r="Z1498" s="92"/>
      <c r="AA1498" s="92"/>
      <c r="AB1498" s="92"/>
      <c r="AC1498" s="92"/>
      <c r="AD1498" s="92"/>
    </row>
    <row r="1499" customHeight="1" spans="1:30">
      <c r="A1499" s="204" t="s">
        <v>21</v>
      </c>
      <c r="B1499" s="215" t="s">
        <v>895</v>
      </c>
      <c r="C1499" s="215"/>
      <c r="D1499" s="215"/>
      <c r="E1499" s="214"/>
      <c r="F1499" s="214"/>
      <c r="G1499" s="216">
        <f>SUM(G1500:G1502)</f>
        <v>9650.68158111288</v>
      </c>
      <c r="S1499" s="92"/>
      <c r="T1499" s="92"/>
      <c r="U1499" s="92"/>
      <c r="V1499" s="92"/>
      <c r="W1499" s="92"/>
      <c r="X1499" s="92"/>
      <c r="Y1499" s="92"/>
      <c r="Z1499" s="92"/>
      <c r="AA1499" s="92"/>
      <c r="AB1499" s="92"/>
      <c r="AC1499" s="92"/>
      <c r="AD1499" s="92"/>
    </row>
    <row r="1500" customHeight="1" spans="1:30">
      <c r="A1500" s="204"/>
      <c r="B1500" s="215" t="s">
        <v>1423</v>
      </c>
      <c r="C1500" s="215"/>
      <c r="D1500" s="54" t="s">
        <v>896</v>
      </c>
      <c r="E1500" s="214">
        <v>251.16</v>
      </c>
      <c r="F1500" s="214">
        <f>施工机械台时费!$E$21</f>
        <v>37.4199521340247</v>
      </c>
      <c r="G1500" s="216">
        <f t="shared" ref="G1500:G1506" si="144">E1500*F1500</f>
        <v>9398.39517798165</v>
      </c>
      <c r="S1500" s="92"/>
      <c r="T1500" s="92"/>
      <c r="U1500" s="92"/>
      <c r="V1500" s="92"/>
      <c r="W1500" s="92"/>
      <c r="X1500" s="92"/>
      <c r="Y1500" s="92"/>
      <c r="Z1500" s="92"/>
      <c r="AA1500" s="92"/>
      <c r="AB1500" s="92"/>
      <c r="AC1500" s="92"/>
      <c r="AD1500" s="92"/>
    </row>
    <row r="1501" customHeight="1" spans="1:30">
      <c r="A1501" s="204"/>
      <c r="B1501" s="215" t="s">
        <v>1440</v>
      </c>
      <c r="C1501" s="215"/>
      <c r="D1501" s="54" t="s">
        <v>896</v>
      </c>
      <c r="E1501" s="214">
        <v>9.33</v>
      </c>
      <c r="F1501" s="214">
        <f>施工机械台时费!$E$35</f>
        <v>17.1951356202633</v>
      </c>
      <c r="G1501" s="216">
        <f t="shared" si="144"/>
        <v>160.430615337056</v>
      </c>
      <c r="S1501" s="92"/>
      <c r="T1501" s="92"/>
      <c r="U1501" s="92"/>
      <c r="V1501" s="92"/>
      <c r="W1501" s="92"/>
      <c r="X1501" s="92"/>
      <c r="Y1501" s="92"/>
      <c r="Z1501" s="92"/>
      <c r="AA1501" s="92"/>
      <c r="AB1501" s="92"/>
      <c r="AC1501" s="92"/>
      <c r="AD1501" s="92"/>
    </row>
    <row r="1502" customHeight="1" spans="1:30">
      <c r="A1502" s="204"/>
      <c r="B1502" s="215" t="s">
        <v>901</v>
      </c>
      <c r="C1502" s="215"/>
      <c r="D1502" s="54" t="s">
        <v>896</v>
      </c>
      <c r="E1502" s="214">
        <v>112.95</v>
      </c>
      <c r="F1502" s="214">
        <f>施工机械台时费!$E$36</f>
        <v>0.813242919824491</v>
      </c>
      <c r="G1502" s="216">
        <f t="shared" si="144"/>
        <v>91.8557877941763</v>
      </c>
      <c r="S1502" s="92"/>
      <c r="T1502" s="92"/>
      <c r="U1502" s="92"/>
      <c r="V1502" s="92"/>
      <c r="W1502" s="92"/>
      <c r="X1502" s="92"/>
      <c r="Y1502" s="92"/>
      <c r="Z1502" s="92"/>
      <c r="AA1502" s="92"/>
      <c r="AB1502" s="92"/>
      <c r="AC1502" s="92"/>
      <c r="AD1502" s="92"/>
    </row>
    <row r="1503" customHeight="1" spans="1:30">
      <c r="A1503" s="302">
        <v>4</v>
      </c>
      <c r="B1503" s="303" t="s">
        <v>973</v>
      </c>
      <c r="C1503" s="303"/>
      <c r="D1503" s="304" t="s">
        <v>70</v>
      </c>
      <c r="E1503" s="214">
        <f>E1497</f>
        <v>96.9</v>
      </c>
      <c r="F1503" s="236">
        <f>混凝土!G1063/100</f>
        <v>39.9575872132621</v>
      </c>
      <c r="G1503" s="216">
        <f t="shared" si="144"/>
        <v>3871.89020096509</v>
      </c>
      <c r="S1503" s="92"/>
      <c r="T1503" s="92"/>
      <c r="U1503" s="92"/>
      <c r="V1503" s="92"/>
      <c r="W1503" s="92"/>
      <c r="X1503" s="92"/>
      <c r="Y1503" s="92"/>
      <c r="Z1503" s="92"/>
      <c r="AA1503" s="92"/>
      <c r="AB1503" s="92"/>
      <c r="AC1503" s="92"/>
      <c r="AD1503" s="92"/>
    </row>
    <row r="1504" customHeight="1" spans="1:30">
      <c r="A1504" s="204" t="s">
        <v>905</v>
      </c>
      <c r="B1504" s="215" t="s">
        <v>514</v>
      </c>
      <c r="C1504" s="215"/>
      <c r="D1504" s="54"/>
      <c r="E1504" s="220">
        <f>G1491</f>
        <v>68613.0615813456</v>
      </c>
      <c r="F1504" s="221">
        <f>费率表!$F$4</f>
        <v>0.048</v>
      </c>
      <c r="G1504" s="216">
        <f t="shared" si="144"/>
        <v>3293.42695590459</v>
      </c>
      <c r="S1504" s="92"/>
      <c r="T1504" s="92"/>
      <c r="U1504" s="92"/>
      <c r="V1504" s="92"/>
      <c r="W1504" s="92"/>
      <c r="X1504" s="92"/>
      <c r="Y1504" s="92"/>
      <c r="Z1504" s="92"/>
      <c r="AA1504" s="92"/>
      <c r="AB1504" s="92"/>
      <c r="AC1504" s="92"/>
      <c r="AD1504" s="92"/>
    </row>
    <row r="1505" customHeight="1" spans="1:30">
      <c r="A1505" s="204" t="s">
        <v>10</v>
      </c>
      <c r="B1505" s="215" t="s">
        <v>770</v>
      </c>
      <c r="C1505" s="215"/>
      <c r="D1505" s="54"/>
      <c r="E1505" s="214">
        <f>G1490</f>
        <v>71906.4885372502</v>
      </c>
      <c r="F1505" s="222">
        <f>费率表!$F$5</f>
        <v>0.085</v>
      </c>
      <c r="G1505" s="216">
        <f t="shared" si="144"/>
        <v>6112.05152566627</v>
      </c>
      <c r="S1505" s="92"/>
      <c r="T1505" s="92"/>
      <c r="U1505" s="92"/>
      <c r="V1505" s="92"/>
      <c r="W1505" s="92"/>
      <c r="X1505" s="92"/>
      <c r="Y1505" s="92"/>
      <c r="Z1505" s="92"/>
      <c r="AA1505" s="92"/>
      <c r="AB1505" s="92"/>
      <c r="AC1505" s="92"/>
      <c r="AD1505" s="92"/>
    </row>
    <row r="1506" customHeight="1" spans="1:30">
      <c r="A1506" s="204" t="s">
        <v>12</v>
      </c>
      <c r="B1506" s="215" t="s">
        <v>771</v>
      </c>
      <c r="C1506" s="215"/>
      <c r="D1506" s="54"/>
      <c r="E1506" s="214">
        <f>G1490+G1505</f>
        <v>78018.5400629164</v>
      </c>
      <c r="F1506" s="222">
        <f>费率表!$F$6</f>
        <v>0.07</v>
      </c>
      <c r="G1506" s="216">
        <f t="shared" si="144"/>
        <v>5461.29780440415</v>
      </c>
      <c r="S1506" s="92"/>
      <c r="T1506" s="92"/>
      <c r="U1506" s="92"/>
      <c r="V1506" s="92"/>
      <c r="W1506" s="92"/>
      <c r="X1506" s="92"/>
      <c r="Y1506" s="92"/>
      <c r="Z1506" s="92"/>
      <c r="AA1506" s="92"/>
      <c r="AB1506" s="92"/>
      <c r="AC1506" s="92"/>
      <c r="AD1506" s="92"/>
    </row>
    <row r="1507" customHeight="1" spans="1:30">
      <c r="A1507" s="204" t="s">
        <v>15</v>
      </c>
      <c r="B1507" s="218" t="s">
        <v>517</v>
      </c>
      <c r="C1507" s="219"/>
      <c r="D1507" s="54"/>
      <c r="E1507" s="214"/>
      <c r="F1507" s="230"/>
      <c r="G1507" s="216">
        <f>SUM(G1508:G1511)</f>
        <v>9215.09214450073</v>
      </c>
      <c r="S1507" s="92"/>
      <c r="T1507" s="92"/>
      <c r="U1507" s="92"/>
      <c r="V1507" s="92"/>
      <c r="W1507" s="92"/>
      <c r="X1507" s="92"/>
      <c r="Y1507" s="92"/>
      <c r="Z1507" s="92"/>
      <c r="AA1507" s="92"/>
      <c r="AB1507" s="92"/>
      <c r="AC1507" s="92"/>
      <c r="AD1507" s="92"/>
    </row>
    <row r="1508" customHeight="1" spans="1:30">
      <c r="A1508" s="204"/>
      <c r="B1508" s="218" t="s">
        <v>729</v>
      </c>
      <c r="C1508" s="219"/>
      <c r="D1508" s="54" t="s">
        <v>70</v>
      </c>
      <c r="E1508" s="236">
        <f>$E$1497*$E$1462/100*混凝土单价计算表!E8+混凝土单价计算表!E9*维修!$E$1496</f>
        <v>34.5107627403</v>
      </c>
      <c r="F1508" s="214">
        <f>主要材料预算!$N$5</f>
        <v>139.17214</v>
      </c>
      <c r="G1508" s="216">
        <f t="shared" ref="G1508:G1513" si="145">E1508*F1508</f>
        <v>4802.93670359982</v>
      </c>
      <c r="S1508" s="92"/>
      <c r="T1508" s="92"/>
      <c r="U1508" s="92"/>
      <c r="V1508" s="92"/>
      <c r="W1508" s="92"/>
      <c r="X1508" s="92"/>
      <c r="Y1508" s="92"/>
      <c r="Z1508" s="92"/>
      <c r="AA1508" s="92"/>
      <c r="AB1508" s="92"/>
      <c r="AC1508" s="92"/>
      <c r="AD1508" s="92"/>
    </row>
    <row r="1509" customHeight="1" spans="1:30">
      <c r="A1509" s="204"/>
      <c r="B1509" s="218" t="s">
        <v>684</v>
      </c>
      <c r="C1509" s="219"/>
      <c r="D1509" s="54" t="s">
        <v>70</v>
      </c>
      <c r="E1509" s="236">
        <f>$E$1497*$E$1462/100*混凝土单价计算表!G8+混凝土单价计算表!G9*维修!$E$1496</f>
        <v>61.644081422</v>
      </c>
      <c r="F1509" s="214"/>
      <c r="G1509" s="216">
        <f t="shared" si="145"/>
        <v>0</v>
      </c>
      <c r="S1509" s="92"/>
      <c r="T1509" s="92"/>
      <c r="U1509" s="92"/>
      <c r="V1509" s="92"/>
      <c r="W1509" s="92"/>
      <c r="X1509" s="92"/>
      <c r="Y1509" s="92"/>
      <c r="Z1509" s="92"/>
      <c r="AA1509" s="92"/>
      <c r="AB1509" s="92"/>
      <c r="AC1509" s="92"/>
      <c r="AD1509" s="92"/>
    </row>
    <row r="1510" customHeight="1" spans="1:30">
      <c r="A1510" s="204"/>
      <c r="B1510" s="218" t="s">
        <v>687</v>
      </c>
      <c r="C1510" s="219"/>
      <c r="D1510" s="54"/>
      <c r="E1510" s="236">
        <f>$E$1497*$E$1462/100*混凝土单价计算表!I8+混凝土单价计算表!I9*维修!$E$1496</f>
        <v>92.9286784972</v>
      </c>
      <c r="F1510" s="214">
        <f>主要材料预算!N9</f>
        <v>26.7921</v>
      </c>
      <c r="G1510" s="216">
        <f t="shared" si="145"/>
        <v>2489.75444716483</v>
      </c>
      <c r="S1510" s="92"/>
      <c r="T1510" s="92"/>
      <c r="U1510" s="92"/>
      <c r="V1510" s="92"/>
      <c r="W1510" s="92"/>
      <c r="X1510" s="92"/>
      <c r="Y1510" s="92"/>
      <c r="Z1510" s="92"/>
      <c r="AA1510" s="92"/>
      <c r="AB1510" s="92"/>
      <c r="AC1510" s="92"/>
      <c r="AD1510" s="92"/>
    </row>
    <row r="1511" customHeight="1" spans="1:30">
      <c r="A1511" s="204"/>
      <c r="B1511" s="218" t="s">
        <v>694</v>
      </c>
      <c r="C1511" s="219"/>
      <c r="D1511" s="54" t="s">
        <v>695</v>
      </c>
      <c r="E1511" s="236">
        <f>E1497*E1462/100*混凝土!E1074/100</f>
        <v>317.143072008</v>
      </c>
      <c r="F1511" s="214">
        <f>主要材料预算!$N$13</f>
        <v>6.0616206482593</v>
      </c>
      <c r="G1511" s="216">
        <f t="shared" si="145"/>
        <v>1922.40099373608</v>
      </c>
      <c r="S1511" s="92"/>
      <c r="T1511" s="92"/>
      <c r="U1511" s="92"/>
      <c r="V1511" s="92"/>
      <c r="W1511" s="92"/>
      <c r="X1511" s="92"/>
      <c r="Y1511" s="92"/>
      <c r="Z1511" s="92"/>
      <c r="AA1511" s="92"/>
      <c r="AB1511" s="92"/>
      <c r="AC1511" s="92"/>
      <c r="AD1511" s="92"/>
    </row>
    <row r="1512" customHeight="1" spans="1:30">
      <c r="A1512" s="204" t="s">
        <v>906</v>
      </c>
      <c r="B1512" s="215" t="s">
        <v>772</v>
      </c>
      <c r="C1512" s="215"/>
      <c r="D1512" s="54"/>
      <c r="E1512" s="214">
        <f>G1490+G1505+G1506+G1507</f>
        <v>92694.9300118214</v>
      </c>
      <c r="F1512" s="222">
        <f>费率表!$F$7</f>
        <v>0.09</v>
      </c>
      <c r="G1512" s="216">
        <f t="shared" si="145"/>
        <v>8342.54370106392</v>
      </c>
      <c r="S1512" s="92"/>
      <c r="T1512" s="92"/>
      <c r="U1512" s="92"/>
      <c r="V1512" s="92"/>
      <c r="W1512" s="92"/>
      <c r="X1512" s="92"/>
      <c r="Y1512" s="92"/>
      <c r="Z1512" s="92"/>
      <c r="AA1512" s="92"/>
      <c r="AB1512" s="92"/>
      <c r="AC1512" s="92"/>
      <c r="AD1512" s="92"/>
    </row>
    <row r="1513" customHeight="1" spans="1:30">
      <c r="A1513" s="204"/>
      <c r="B1513" s="215" t="s">
        <v>907</v>
      </c>
      <c r="C1513" s="215"/>
      <c r="D1513" s="54"/>
      <c r="E1513" s="214">
        <f>G1490+G1505+G1506+G1507+G1512</f>
        <v>101037.473712885</v>
      </c>
      <c r="F1513" s="222">
        <f>费率表!$B$19</f>
        <v>0.03</v>
      </c>
      <c r="G1513" s="216">
        <f t="shared" si="145"/>
        <v>3031.12421138656</v>
      </c>
      <c r="S1513" s="92"/>
      <c r="T1513" s="92"/>
      <c r="U1513" s="92"/>
      <c r="V1513" s="92"/>
      <c r="W1513" s="92"/>
      <c r="X1513" s="92"/>
      <c r="Y1513" s="92"/>
      <c r="Z1513" s="92"/>
      <c r="AA1513" s="92"/>
      <c r="AB1513" s="92"/>
      <c r="AC1513" s="92"/>
      <c r="AD1513" s="92"/>
    </row>
    <row r="1514" customHeight="1" spans="1:30">
      <c r="A1514" s="223"/>
      <c r="B1514" s="224" t="s">
        <v>39</v>
      </c>
      <c r="C1514" s="224"/>
      <c r="D1514" s="224"/>
      <c r="E1514" s="225"/>
      <c r="F1514" s="224"/>
      <c r="G1514" s="226">
        <f>G1490+G1505+G1506+G1507+G1512+G1513</f>
        <v>104068.597924272</v>
      </c>
    </row>
    <row r="1516" customHeight="1" spans="1:30">
      <c r="A1516" s="285" t="s">
        <v>868</v>
      </c>
      <c r="B1516" s="285"/>
      <c r="C1516" s="285"/>
      <c r="D1516" s="285"/>
      <c r="E1516" s="285"/>
      <c r="F1516" s="285"/>
      <c r="G1516" s="285"/>
    </row>
    <row r="1517" customHeight="1" spans="1:30">
      <c r="A1517" s="286" t="s">
        <v>869</v>
      </c>
      <c r="B1517" s="287"/>
      <c r="C1517" s="200"/>
      <c r="D1517" s="200" t="s">
        <v>870</v>
      </c>
      <c r="E1517" s="201" t="s">
        <v>1463</v>
      </c>
      <c r="F1517" s="202"/>
      <c r="G1517" s="203"/>
    </row>
    <row r="1518" customHeight="1" spans="1:30">
      <c r="A1518" s="288" t="s">
        <v>507</v>
      </c>
      <c r="B1518" s="289"/>
      <c r="C1518" s="290" t="s">
        <v>1464</v>
      </c>
      <c r="D1518" s="291"/>
      <c r="E1518" s="292"/>
      <c r="F1518" s="54" t="s">
        <v>873</v>
      </c>
      <c r="G1518" s="207" t="s">
        <v>1146</v>
      </c>
    </row>
    <row r="1519" customHeight="1" spans="1:30">
      <c r="A1519" s="293" t="s">
        <v>875</v>
      </c>
      <c r="B1519" s="291"/>
      <c r="C1519" s="291"/>
      <c r="D1519" s="291"/>
      <c r="E1519" s="291"/>
      <c r="F1519" s="291"/>
      <c r="G1519" s="294"/>
    </row>
    <row r="1520" customHeight="1" spans="1:30">
      <c r="A1520" s="210" t="s">
        <v>1465</v>
      </c>
      <c r="B1520" s="211"/>
      <c r="C1520" s="211"/>
      <c r="D1520" s="211"/>
      <c r="E1520" s="211"/>
      <c r="F1520" s="211"/>
      <c r="G1520" s="295"/>
    </row>
    <row r="1521" customHeight="1" spans="1:7">
      <c r="A1521" s="204" t="s">
        <v>34</v>
      </c>
      <c r="B1521" s="54" t="s">
        <v>761</v>
      </c>
      <c r="C1521" s="54"/>
      <c r="D1521" s="54" t="s">
        <v>60</v>
      </c>
      <c r="E1521" s="214" t="s">
        <v>877</v>
      </c>
      <c r="F1521" s="54" t="s">
        <v>878</v>
      </c>
      <c r="G1521" s="207" t="s">
        <v>879</v>
      </c>
    </row>
    <row r="1522" customHeight="1" spans="1:7">
      <c r="A1522" s="204" t="s">
        <v>8</v>
      </c>
      <c r="B1522" s="215" t="s">
        <v>880</v>
      </c>
      <c r="C1522" s="215"/>
      <c r="D1522" s="54"/>
      <c r="E1522" s="214"/>
      <c r="F1522" s="214"/>
      <c r="G1522" s="216">
        <f>G1523+G1533</f>
        <v>88.19735069424</v>
      </c>
    </row>
    <row r="1523" customHeight="1" spans="1:7">
      <c r="A1523" s="204" t="s">
        <v>881</v>
      </c>
      <c r="B1523" s="215" t="s">
        <v>882</v>
      </c>
      <c r="C1523" s="215"/>
      <c r="D1523" s="54"/>
      <c r="E1523" s="214"/>
      <c r="F1523" s="214"/>
      <c r="G1523" s="216">
        <f>G1524+G1527+G1531</f>
        <v>84.15777738</v>
      </c>
    </row>
    <row r="1524" customHeight="1" spans="1:7">
      <c r="A1524" s="204" t="s">
        <v>17</v>
      </c>
      <c r="B1524" s="215" t="s">
        <v>510</v>
      </c>
      <c r="C1524" s="215"/>
      <c r="D1524" s="54"/>
      <c r="E1524" s="214"/>
      <c r="F1524" s="214"/>
      <c r="G1524" s="216">
        <f>SUM(G1525:G1526)</f>
        <v>75.087</v>
      </c>
    </row>
    <row r="1525" customHeight="1" spans="1:7">
      <c r="A1525" s="204"/>
      <c r="B1525" s="215" t="s">
        <v>704</v>
      </c>
      <c r="C1525" s="215"/>
      <c r="D1525" s="54" t="s">
        <v>705</v>
      </c>
      <c r="E1525" s="214">
        <v>3.5</v>
      </c>
      <c r="F1525" s="214">
        <f>主要材料预算!$D$19</f>
        <v>8.1</v>
      </c>
      <c r="G1525" s="216">
        <f t="shared" ref="G1525:G1529" si="146">E1525*F1525</f>
        <v>28.35</v>
      </c>
    </row>
    <row r="1526" customHeight="1" spans="1:7">
      <c r="A1526" s="204"/>
      <c r="B1526" s="215" t="s">
        <v>706</v>
      </c>
      <c r="C1526" s="215"/>
      <c r="D1526" s="54" t="s">
        <v>705</v>
      </c>
      <c r="E1526" s="217">
        <v>8.1</v>
      </c>
      <c r="F1526" s="214">
        <f>主要材料预算!$D$20</f>
        <v>5.77</v>
      </c>
      <c r="G1526" s="216">
        <f t="shared" si="146"/>
        <v>46.737</v>
      </c>
    </row>
    <row r="1527" customHeight="1" spans="1:7">
      <c r="A1527" s="204" t="s">
        <v>19</v>
      </c>
      <c r="B1527" s="218" t="s">
        <v>511</v>
      </c>
      <c r="C1527" s="219"/>
      <c r="D1527" s="54"/>
      <c r="E1527" s="214"/>
      <c r="F1527" s="214"/>
      <c r="G1527" s="216">
        <f>SUM(G1528:G1530)</f>
        <v>9.07077738</v>
      </c>
    </row>
    <row r="1528" customHeight="1" spans="1:7">
      <c r="A1528" s="204"/>
      <c r="B1528" s="218" t="s">
        <v>1466</v>
      </c>
      <c r="C1528" s="219"/>
      <c r="D1528" s="54" t="s">
        <v>70</v>
      </c>
      <c r="E1528" s="214">
        <v>0.02</v>
      </c>
      <c r="F1528" s="214">
        <f>混凝土单价计算表!M14</f>
        <v>144.64595</v>
      </c>
      <c r="G1528" s="216">
        <f t="shared" si="146"/>
        <v>2.892919</v>
      </c>
    </row>
    <row r="1529" customHeight="1" spans="1:7">
      <c r="A1529" s="204"/>
      <c r="B1529" s="218" t="s">
        <v>1395</v>
      </c>
      <c r="C1529" s="219"/>
      <c r="D1529" s="54" t="s">
        <v>1396</v>
      </c>
      <c r="E1529" s="214">
        <v>2</v>
      </c>
      <c r="F1529" s="214">
        <f>基础材料!D17</f>
        <v>3</v>
      </c>
      <c r="G1529" s="216">
        <f t="shared" si="146"/>
        <v>6</v>
      </c>
    </row>
    <row r="1530" customHeight="1" spans="1:7">
      <c r="A1530" s="204"/>
      <c r="B1530" s="218" t="s">
        <v>893</v>
      </c>
      <c r="C1530" s="219"/>
      <c r="D1530" s="54" t="s">
        <v>894</v>
      </c>
      <c r="E1530" s="214">
        <v>2</v>
      </c>
      <c r="F1530" s="214">
        <f>SUM(G1528:G1529)</f>
        <v>8.892919</v>
      </c>
      <c r="G1530" s="216">
        <f>E1530*F1530/100</f>
        <v>0.17785838</v>
      </c>
    </row>
    <row r="1531" customHeight="1" spans="1:7">
      <c r="A1531" s="204" t="s">
        <v>21</v>
      </c>
      <c r="B1531" s="215" t="s">
        <v>895</v>
      </c>
      <c r="C1531" s="215"/>
      <c r="D1531" s="215"/>
      <c r="E1531" s="214"/>
      <c r="F1531" s="214"/>
      <c r="G1531" s="216">
        <f>SUM(G1532:G1532)</f>
        <v>0</v>
      </c>
    </row>
    <row r="1532" customHeight="1" spans="1:7">
      <c r="A1532" s="204"/>
      <c r="B1532" s="218" t="s">
        <v>1467</v>
      </c>
      <c r="C1532" s="219"/>
      <c r="D1532" s="54" t="s">
        <v>896</v>
      </c>
      <c r="E1532" s="214"/>
      <c r="F1532" s="214"/>
      <c r="G1532" s="216">
        <f t="shared" ref="G1532:G1535" si="147">E1532*F1532</f>
        <v>0</v>
      </c>
    </row>
    <row r="1533" customHeight="1" spans="1:7">
      <c r="A1533" s="204" t="s">
        <v>905</v>
      </c>
      <c r="B1533" s="215" t="s">
        <v>514</v>
      </c>
      <c r="C1533" s="215"/>
      <c r="D1533" s="54"/>
      <c r="E1533" s="220">
        <f>G1523</f>
        <v>84.15777738</v>
      </c>
      <c r="F1533" s="221">
        <f>费率表!$F$4</f>
        <v>0.048</v>
      </c>
      <c r="G1533" s="216">
        <f t="shared" si="147"/>
        <v>4.03957331424</v>
      </c>
    </row>
    <row r="1534" customHeight="1" spans="1:7">
      <c r="A1534" s="204" t="s">
        <v>10</v>
      </c>
      <c r="B1534" s="215" t="s">
        <v>770</v>
      </c>
      <c r="C1534" s="215"/>
      <c r="D1534" s="54"/>
      <c r="E1534" s="214">
        <f>G1522</f>
        <v>88.19735069424</v>
      </c>
      <c r="F1534" s="222">
        <f>费率表!$F$5</f>
        <v>0.085</v>
      </c>
      <c r="G1534" s="216">
        <f t="shared" si="147"/>
        <v>7.4967748090104</v>
      </c>
    </row>
    <row r="1535" customHeight="1" spans="1:7">
      <c r="A1535" s="204" t="s">
        <v>12</v>
      </c>
      <c r="B1535" s="215" t="s">
        <v>771</v>
      </c>
      <c r="C1535" s="215"/>
      <c r="D1535" s="54"/>
      <c r="E1535" s="214">
        <f>G1522+G1534</f>
        <v>95.6941255032504</v>
      </c>
      <c r="F1535" s="222">
        <f>费率表!$F$6</f>
        <v>0.07</v>
      </c>
      <c r="G1535" s="216">
        <f t="shared" si="147"/>
        <v>6.69858878522753</v>
      </c>
    </row>
    <row r="1536" customHeight="1" spans="1:7">
      <c r="A1536" s="204" t="s">
        <v>15</v>
      </c>
      <c r="B1536" s="218" t="s">
        <v>517</v>
      </c>
      <c r="C1536" s="219"/>
      <c r="D1536" s="54"/>
      <c r="E1536" s="214"/>
      <c r="F1536" s="230"/>
      <c r="G1536" s="216">
        <f>SUM(G1537:G1538)</f>
        <v>0.73009704644</v>
      </c>
    </row>
    <row r="1537" customHeight="1" spans="1:7">
      <c r="A1537" s="204"/>
      <c r="B1537" s="218" t="s">
        <v>729</v>
      </c>
      <c r="C1537" s="219"/>
      <c r="D1537" s="54" t="s">
        <v>70</v>
      </c>
      <c r="E1537" s="214">
        <f>E1528*混凝土单价计算表!E14</f>
        <v>0.005246</v>
      </c>
      <c r="F1537" s="214">
        <f>主要材料预算!$N$5</f>
        <v>139.17214</v>
      </c>
      <c r="G1537" s="216">
        <f t="shared" ref="G1537:G1540" si="148">E1537*F1537</f>
        <v>0.73009704644</v>
      </c>
    </row>
    <row r="1538" customHeight="1" spans="1:7">
      <c r="A1538" s="204"/>
      <c r="B1538" s="218" t="s">
        <v>684</v>
      </c>
      <c r="C1538" s="219"/>
      <c r="D1538" s="54" t="s">
        <v>70</v>
      </c>
      <c r="E1538" s="214">
        <f>E1528*混凝土单价计算表!G14</f>
        <v>0.022</v>
      </c>
      <c r="F1538" s="214"/>
      <c r="G1538" s="216">
        <f t="shared" si="148"/>
        <v>0</v>
      </c>
    </row>
    <row r="1539" customHeight="1" spans="1:7">
      <c r="A1539" s="204" t="s">
        <v>906</v>
      </c>
      <c r="B1539" s="215" t="s">
        <v>772</v>
      </c>
      <c r="C1539" s="215"/>
      <c r="D1539" s="54"/>
      <c r="E1539" s="214">
        <f>G1522+G1534+G1535+G1536</f>
        <v>103.122811334918</v>
      </c>
      <c r="F1539" s="222">
        <f>费率表!$F$7</f>
        <v>0.09</v>
      </c>
      <c r="G1539" s="216">
        <f t="shared" si="148"/>
        <v>9.28105302014261</v>
      </c>
    </row>
    <row r="1540" customHeight="1" spans="1:7">
      <c r="A1540" s="204"/>
      <c r="B1540" s="215" t="s">
        <v>907</v>
      </c>
      <c r="C1540" s="215"/>
      <c r="D1540" s="54"/>
      <c r="E1540" s="214">
        <f>G1522+G1534+G1535+G1536+G1539</f>
        <v>112.403864355061</v>
      </c>
      <c r="F1540" s="222">
        <f>费率表!$B$19</f>
        <v>0.03</v>
      </c>
      <c r="G1540" s="216">
        <f t="shared" si="148"/>
        <v>3.37211593065182</v>
      </c>
    </row>
    <row r="1541" customHeight="1" spans="1:7">
      <c r="A1541" s="223"/>
      <c r="B1541" s="224" t="s">
        <v>39</v>
      </c>
      <c r="C1541" s="224"/>
      <c r="D1541" s="224"/>
      <c r="E1541" s="225"/>
      <c r="F1541" s="224"/>
      <c r="G1541" s="226">
        <f>G1522+G1534+G1535+G1536+G1539+G1540</f>
        <v>115.775980285712</v>
      </c>
    </row>
    <row r="1543" customHeight="1" spans="1:7">
      <c r="A1543" s="285" t="s">
        <v>868</v>
      </c>
      <c r="B1543" s="285"/>
      <c r="C1543" s="285"/>
      <c r="D1543" s="285"/>
      <c r="E1543" s="285"/>
      <c r="F1543" s="285"/>
      <c r="G1543" s="285"/>
    </row>
    <row r="1544" customHeight="1" spans="1:7">
      <c r="A1544" s="286" t="s">
        <v>869</v>
      </c>
      <c r="B1544" s="287"/>
      <c r="C1544" s="200"/>
      <c r="D1544" s="200" t="s">
        <v>870</v>
      </c>
      <c r="E1544" s="201" t="s">
        <v>1468</v>
      </c>
      <c r="F1544" s="202"/>
      <c r="G1544" s="203"/>
    </row>
    <row r="1545" customHeight="1" spans="1:7">
      <c r="A1545" s="288" t="s">
        <v>507</v>
      </c>
      <c r="B1545" s="289"/>
      <c r="C1545" s="290" t="s">
        <v>1469</v>
      </c>
      <c r="D1545" s="291"/>
      <c r="E1545" s="292"/>
      <c r="F1545" s="54" t="s">
        <v>873</v>
      </c>
      <c r="G1545" s="207" t="s">
        <v>67</v>
      </c>
    </row>
    <row r="1546" customHeight="1" spans="1:7">
      <c r="A1546" s="293" t="s">
        <v>1470</v>
      </c>
      <c r="B1546" s="291"/>
      <c r="C1546" s="291"/>
      <c r="D1546" s="291"/>
      <c r="E1546" s="291"/>
      <c r="F1546" s="291"/>
      <c r="G1546" s="294"/>
    </row>
    <row r="1547" customHeight="1" spans="1:7">
      <c r="A1547" s="210" t="s">
        <v>1471</v>
      </c>
      <c r="B1547" s="211"/>
      <c r="C1547" s="211"/>
      <c r="D1547" s="211"/>
      <c r="E1547" s="211"/>
      <c r="F1547" s="211"/>
      <c r="G1547" s="295"/>
    </row>
    <row r="1548" customHeight="1" spans="1:7">
      <c r="A1548" s="204" t="s">
        <v>34</v>
      </c>
      <c r="B1548" s="54" t="s">
        <v>761</v>
      </c>
      <c r="C1548" s="54"/>
      <c r="D1548" s="54" t="s">
        <v>60</v>
      </c>
      <c r="E1548" s="214" t="s">
        <v>877</v>
      </c>
      <c r="F1548" s="54" t="s">
        <v>878</v>
      </c>
      <c r="G1548" s="207" t="s">
        <v>879</v>
      </c>
    </row>
    <row r="1549" customHeight="1" spans="1:7">
      <c r="A1549" s="204" t="s">
        <v>8</v>
      </c>
      <c r="B1549" s="215" t="s">
        <v>880</v>
      </c>
      <c r="C1549" s="215"/>
      <c r="D1549" s="54"/>
      <c r="E1549" s="214"/>
      <c r="F1549" s="214"/>
      <c r="G1549" s="216">
        <f>G1550+G1571</f>
        <v>333.157512582803</v>
      </c>
    </row>
    <row r="1550" customHeight="1" spans="1:7">
      <c r="A1550" s="204" t="s">
        <v>881</v>
      </c>
      <c r="B1550" s="215" t="s">
        <v>882</v>
      </c>
      <c r="C1550" s="215"/>
      <c r="D1550" s="54"/>
      <c r="E1550" s="214"/>
      <c r="F1550" s="214"/>
      <c r="G1550" s="216">
        <f>G1551+G1554+G1566</f>
        <v>317.898389869087</v>
      </c>
    </row>
    <row r="1551" customHeight="1" spans="1:7">
      <c r="A1551" s="204" t="s">
        <v>17</v>
      </c>
      <c r="B1551" s="215" t="s">
        <v>510</v>
      </c>
      <c r="C1551" s="215"/>
      <c r="D1551" s="54"/>
      <c r="E1551" s="214"/>
      <c r="F1551" s="214"/>
      <c r="G1551" s="216">
        <f>SUM(G1552:G1553)</f>
        <v>155.833</v>
      </c>
    </row>
    <row r="1552" customHeight="1" spans="1:7">
      <c r="A1552" s="204"/>
      <c r="B1552" s="215" t="s">
        <v>704</v>
      </c>
      <c r="C1552" s="215"/>
      <c r="D1552" s="54" t="s">
        <v>705</v>
      </c>
      <c r="E1552" s="214">
        <v>7.2</v>
      </c>
      <c r="F1552" s="214">
        <f>主要材料预算!$D$19</f>
        <v>8.1</v>
      </c>
      <c r="G1552" s="216">
        <f t="shared" ref="G1552:G1555" si="149">E1552*F1552</f>
        <v>58.32</v>
      </c>
    </row>
    <row r="1553" customHeight="1" spans="1:7">
      <c r="A1553" s="204"/>
      <c r="B1553" s="215" t="s">
        <v>706</v>
      </c>
      <c r="C1553" s="215"/>
      <c r="D1553" s="54" t="s">
        <v>705</v>
      </c>
      <c r="E1553" s="217">
        <v>16.9</v>
      </c>
      <c r="F1553" s="214">
        <f>主要材料预算!$D$20</f>
        <v>5.77</v>
      </c>
      <c r="G1553" s="216">
        <f t="shared" si="149"/>
        <v>97.513</v>
      </c>
    </row>
    <row r="1554" customHeight="1" spans="1:7">
      <c r="A1554" s="204" t="s">
        <v>19</v>
      </c>
      <c r="B1554" s="218" t="s">
        <v>511</v>
      </c>
      <c r="C1554" s="219"/>
      <c r="D1554" s="54"/>
      <c r="E1554" s="214"/>
      <c r="F1554" s="214"/>
      <c r="G1554" s="216">
        <f>SUM(G1555:G1565)</f>
        <v>107.5874624</v>
      </c>
    </row>
    <row r="1555" customHeight="1" spans="1:7">
      <c r="A1555" s="204"/>
      <c r="B1555" s="218" t="s">
        <v>1472</v>
      </c>
      <c r="C1555" s="219"/>
      <c r="D1555" s="54" t="s">
        <v>1142</v>
      </c>
      <c r="E1555" s="214">
        <v>1.18</v>
      </c>
      <c r="F1555" s="214">
        <f>基础材料!$D$18</f>
        <v>31</v>
      </c>
      <c r="G1555" s="216">
        <f t="shared" si="149"/>
        <v>36.58</v>
      </c>
    </row>
    <row r="1556" customHeight="1" spans="1:7">
      <c r="A1556" s="204"/>
      <c r="B1556" s="218" t="s">
        <v>1473</v>
      </c>
      <c r="C1556" s="219"/>
      <c r="D1556" s="54" t="s">
        <v>1142</v>
      </c>
      <c r="E1556" s="214">
        <v>0.4732</v>
      </c>
      <c r="F1556" s="214">
        <f>基础材料!$D$19</f>
        <v>8.5</v>
      </c>
      <c r="G1556" s="216">
        <f t="shared" ref="G1556:G1564" si="150">E1556*F1556</f>
        <v>4.0222</v>
      </c>
    </row>
    <row r="1557" customHeight="1" spans="1:7">
      <c r="A1557" s="204"/>
      <c r="B1557" s="296" t="s">
        <v>1474</v>
      </c>
      <c r="C1557" s="297"/>
      <c r="D1557" s="54" t="s">
        <v>1142</v>
      </c>
      <c r="E1557" s="214">
        <v>0.2557</v>
      </c>
      <c r="F1557" s="214">
        <f>基础材料!$D$20</f>
        <v>23.87</v>
      </c>
      <c r="G1557" s="216">
        <f t="shared" si="150"/>
        <v>6.103559</v>
      </c>
    </row>
    <row r="1558" customHeight="1" spans="1:7">
      <c r="A1558" s="204"/>
      <c r="B1558" s="296" t="s">
        <v>1475</v>
      </c>
      <c r="C1558" s="297"/>
      <c r="D1558" s="54" t="s">
        <v>1142</v>
      </c>
      <c r="E1558" s="214">
        <v>0.1177</v>
      </c>
      <c r="F1558" s="214">
        <f>基础材料!$D$21</f>
        <v>15</v>
      </c>
      <c r="G1558" s="216">
        <f t="shared" si="150"/>
        <v>1.7655</v>
      </c>
    </row>
    <row r="1559" customHeight="1" spans="1:7">
      <c r="A1559" s="204"/>
      <c r="B1559" s="296" t="s">
        <v>1476</v>
      </c>
      <c r="C1559" s="297"/>
      <c r="D1559" s="54" t="s">
        <v>1142</v>
      </c>
      <c r="E1559" s="214">
        <v>0.635</v>
      </c>
      <c r="F1559" s="214">
        <f>基础材料!$D$22</f>
        <v>10</v>
      </c>
      <c r="G1559" s="216">
        <f t="shared" si="150"/>
        <v>6.35</v>
      </c>
    </row>
    <row r="1560" customHeight="1" spans="1:7">
      <c r="A1560" s="204"/>
      <c r="B1560" s="296" t="s">
        <v>1477</v>
      </c>
      <c r="C1560" s="297"/>
      <c r="D1560" s="54" t="s">
        <v>1142</v>
      </c>
      <c r="E1560" s="214">
        <v>0.0615</v>
      </c>
      <c r="F1560" s="214">
        <f>基础材料!$D$23</f>
        <v>8.35</v>
      </c>
      <c r="G1560" s="216">
        <f t="shared" si="150"/>
        <v>0.513525</v>
      </c>
    </row>
    <row r="1561" customHeight="1" spans="1:7">
      <c r="A1561" s="204"/>
      <c r="B1561" s="296" t="s">
        <v>1478</v>
      </c>
      <c r="C1561" s="297"/>
      <c r="D1561" s="54" t="s">
        <v>1146</v>
      </c>
      <c r="E1561" s="214">
        <v>0.6</v>
      </c>
      <c r="F1561" s="214">
        <f>基础材料!$D$24</f>
        <v>1.82</v>
      </c>
      <c r="G1561" s="216">
        <f t="shared" si="150"/>
        <v>1.092</v>
      </c>
    </row>
    <row r="1562" customHeight="1" spans="1:7">
      <c r="A1562" s="204"/>
      <c r="B1562" s="296" t="s">
        <v>1479</v>
      </c>
      <c r="C1562" s="297"/>
      <c r="D1562" s="54" t="s">
        <v>1480</v>
      </c>
      <c r="E1562" s="214">
        <v>0.44</v>
      </c>
      <c r="F1562" s="214">
        <f>基础材料!$D$25</f>
        <v>65</v>
      </c>
      <c r="G1562" s="216">
        <f t="shared" si="150"/>
        <v>28.6</v>
      </c>
    </row>
    <row r="1563" customHeight="1" spans="1:7">
      <c r="A1563" s="204"/>
      <c r="B1563" s="296" t="s">
        <v>1481</v>
      </c>
      <c r="C1563" s="297"/>
      <c r="D1563" s="54" t="s">
        <v>1480</v>
      </c>
      <c r="E1563" s="214">
        <v>0.52</v>
      </c>
      <c r="F1563" s="214">
        <f>基础材料!$D$26</f>
        <v>15</v>
      </c>
      <c r="G1563" s="216">
        <f t="shared" si="150"/>
        <v>7.8</v>
      </c>
    </row>
    <row r="1564" customHeight="1" spans="1:7">
      <c r="A1564" s="204"/>
      <c r="B1564" s="218" t="s">
        <v>730</v>
      </c>
      <c r="C1564" s="219"/>
      <c r="D1564" s="54" t="s">
        <v>70</v>
      </c>
      <c r="E1564" s="214">
        <v>1.2</v>
      </c>
      <c r="F1564" s="214">
        <f>主要材料预算!$D$16</f>
        <v>4.15</v>
      </c>
      <c r="G1564" s="216">
        <f t="shared" si="150"/>
        <v>4.98</v>
      </c>
    </row>
    <row r="1565" customHeight="1" spans="1:7">
      <c r="A1565" s="204"/>
      <c r="B1565" s="218" t="s">
        <v>893</v>
      </c>
      <c r="C1565" s="219"/>
      <c r="D1565" s="54" t="s">
        <v>894</v>
      </c>
      <c r="E1565" s="214">
        <v>10</v>
      </c>
      <c r="F1565" s="214">
        <f>SUM(G1555:G1564)</f>
        <v>97.806784</v>
      </c>
      <c r="G1565" s="216">
        <f>E1565*F1565/100</f>
        <v>9.7806784</v>
      </c>
    </row>
    <row r="1566" customHeight="1" spans="1:7">
      <c r="A1566" s="204" t="s">
        <v>21</v>
      </c>
      <c r="B1566" s="215" t="s">
        <v>895</v>
      </c>
      <c r="C1566" s="215"/>
      <c r="D1566" s="215"/>
      <c r="E1566" s="214"/>
      <c r="F1566" s="214"/>
      <c r="G1566" s="216">
        <f>SUM(G1567:G1570)</f>
        <v>54.4779274690866</v>
      </c>
    </row>
    <row r="1567" customHeight="1" spans="1:7">
      <c r="A1567" s="204"/>
      <c r="B1567" s="305" t="s">
        <v>849</v>
      </c>
      <c r="C1567" s="305"/>
      <c r="D1567" s="54" t="s">
        <v>896</v>
      </c>
      <c r="E1567" s="214">
        <v>0.17</v>
      </c>
      <c r="F1567" s="214">
        <f>施工机械台时费!$E$51</f>
        <v>56.1757120063821</v>
      </c>
      <c r="G1567" s="216">
        <f t="shared" ref="G1567:G1575" si="151">E1567*F1567</f>
        <v>9.54987104108496</v>
      </c>
    </row>
    <row r="1568" customHeight="1" spans="1:7">
      <c r="A1568" s="204"/>
      <c r="B1568" s="306" t="s">
        <v>1482</v>
      </c>
      <c r="C1568" s="307"/>
      <c r="D1568" s="54" t="s">
        <v>896</v>
      </c>
      <c r="E1568" s="214">
        <v>0.76</v>
      </c>
      <c r="F1568" s="214">
        <f>施工机械台时费!E52</f>
        <v>46.8632987634623</v>
      </c>
      <c r="G1568" s="216">
        <f t="shared" si="151"/>
        <v>35.6161070602314</v>
      </c>
    </row>
    <row r="1569" customHeight="1" spans="1:7">
      <c r="A1569" s="204"/>
      <c r="B1569" s="305" t="s">
        <v>1483</v>
      </c>
      <c r="C1569" s="305"/>
      <c r="D1569" s="54" t="s">
        <v>896</v>
      </c>
      <c r="E1569" s="214">
        <v>0.14</v>
      </c>
      <c r="F1569" s="214">
        <f>施工机械台时费!$E$27</f>
        <v>47.9840167530913</v>
      </c>
      <c r="G1569" s="216">
        <f t="shared" si="151"/>
        <v>6.71776234543279</v>
      </c>
    </row>
    <row r="1570" customHeight="1" spans="1:7">
      <c r="A1570" s="204"/>
      <c r="B1570" s="215" t="s">
        <v>902</v>
      </c>
      <c r="C1570" s="215"/>
      <c r="D1570" s="54" t="s">
        <v>894</v>
      </c>
      <c r="E1570" s="214">
        <v>5</v>
      </c>
      <c r="F1570" s="214">
        <f>SUM(G1567:G1569)</f>
        <v>51.8837404467491</v>
      </c>
      <c r="G1570" s="216">
        <f>E1570*F1570/100</f>
        <v>2.59418702233746</v>
      </c>
    </row>
    <row r="1571" customHeight="1" spans="1:7">
      <c r="A1571" s="204" t="s">
        <v>905</v>
      </c>
      <c r="B1571" s="215" t="s">
        <v>514</v>
      </c>
      <c r="C1571" s="215"/>
      <c r="D1571" s="54"/>
      <c r="E1571" s="220">
        <f>G1550</f>
        <v>317.898389869087</v>
      </c>
      <c r="F1571" s="221">
        <f>费率表!$F$4</f>
        <v>0.048</v>
      </c>
      <c r="G1571" s="216">
        <f t="shared" si="151"/>
        <v>15.2591227137162</v>
      </c>
    </row>
    <row r="1572" customHeight="1" spans="1:7">
      <c r="A1572" s="204" t="s">
        <v>10</v>
      </c>
      <c r="B1572" s="215" t="s">
        <v>770</v>
      </c>
      <c r="C1572" s="215"/>
      <c r="D1572" s="54"/>
      <c r="E1572" s="214">
        <f>G1549</f>
        <v>333.157512582803</v>
      </c>
      <c r="F1572" s="222">
        <f>费率表!$F$5</f>
        <v>0.085</v>
      </c>
      <c r="G1572" s="216">
        <f t="shared" si="151"/>
        <v>28.3183885695382</v>
      </c>
    </row>
    <row r="1573" customHeight="1" spans="1:7">
      <c r="A1573" s="204" t="s">
        <v>12</v>
      </c>
      <c r="B1573" s="215" t="s">
        <v>771</v>
      </c>
      <c r="C1573" s="215"/>
      <c r="D1573" s="54"/>
      <c r="E1573" s="214">
        <f>G1549+G1572</f>
        <v>361.475901152341</v>
      </c>
      <c r="F1573" s="222">
        <f>费率表!$F$6</f>
        <v>0.07</v>
      </c>
      <c r="G1573" s="216">
        <f t="shared" si="151"/>
        <v>25.3033130806639</v>
      </c>
    </row>
    <row r="1574" customHeight="1" spans="1:7">
      <c r="A1574" s="204" t="s">
        <v>15</v>
      </c>
      <c r="B1574" s="215" t="s">
        <v>772</v>
      </c>
      <c r="C1574" s="215"/>
      <c r="D1574" s="54"/>
      <c r="E1574" s="214">
        <f>G1549+G1572+G1573</f>
        <v>386.779214233005</v>
      </c>
      <c r="F1574" s="222">
        <f>费率表!$F$7</f>
        <v>0.09</v>
      </c>
      <c r="G1574" s="216">
        <f t="shared" si="151"/>
        <v>34.8101292809704</v>
      </c>
    </row>
    <row r="1575" customHeight="1" spans="1:7">
      <c r="A1575" s="204"/>
      <c r="B1575" s="215" t="s">
        <v>907</v>
      </c>
      <c r="C1575" s="215"/>
      <c r="D1575" s="54"/>
      <c r="E1575" s="214">
        <f>G1549+G1572+G1573+G1574</f>
        <v>421.589343513975</v>
      </c>
      <c r="F1575" s="222">
        <f>费率表!$B$19</f>
        <v>0.03</v>
      </c>
      <c r="G1575" s="216">
        <f t="shared" si="151"/>
        <v>12.6476803054193</v>
      </c>
    </row>
    <row r="1576" customHeight="1" spans="1:7">
      <c r="A1576" s="223"/>
      <c r="B1576" s="224" t="s">
        <v>39</v>
      </c>
      <c r="C1576" s="224"/>
      <c r="D1576" s="224"/>
      <c r="E1576" s="225"/>
      <c r="F1576" s="224"/>
      <c r="G1576" s="226">
        <f>G1549+G1572+G1573+G1574+G1575</f>
        <v>434.237023819395</v>
      </c>
    </row>
    <row r="1579" customHeight="1" spans="1:7">
      <c r="A1579" s="164" t="s">
        <v>868</v>
      </c>
      <c r="B1579" s="164"/>
      <c r="C1579" s="164"/>
      <c r="D1579" s="164"/>
      <c r="E1579" s="164"/>
      <c r="F1579" s="164"/>
      <c r="G1579" s="164"/>
    </row>
    <row r="1580" customHeight="1" spans="1:7">
      <c r="A1580" s="165" t="s">
        <v>869</v>
      </c>
      <c r="B1580" s="129"/>
      <c r="C1580" s="129"/>
      <c r="D1580" s="129" t="s">
        <v>870</v>
      </c>
      <c r="E1580" s="130" t="s">
        <v>1484</v>
      </c>
      <c r="F1580" s="131"/>
      <c r="G1580" s="132"/>
    </row>
    <row r="1581" customHeight="1" spans="1:7">
      <c r="A1581" s="144" t="s">
        <v>507</v>
      </c>
      <c r="B1581" s="166"/>
      <c r="C1581" s="167" t="s">
        <v>1485</v>
      </c>
      <c r="D1581" s="167"/>
      <c r="E1581" s="167"/>
      <c r="F1581" s="61" t="s">
        <v>873</v>
      </c>
      <c r="G1581" s="138" t="s">
        <v>1138</v>
      </c>
    </row>
    <row r="1582" customHeight="1" spans="1:7">
      <c r="A1582" s="168" t="s">
        <v>875</v>
      </c>
      <c r="B1582" s="167"/>
      <c r="C1582" s="167"/>
      <c r="D1582" s="167"/>
      <c r="E1582" s="167"/>
      <c r="F1582" s="167"/>
      <c r="G1582" s="169"/>
    </row>
    <row r="1583" customHeight="1" spans="1:7">
      <c r="A1583" s="141" t="s">
        <v>1486</v>
      </c>
      <c r="B1583" s="142"/>
      <c r="C1583" s="170"/>
      <c r="D1583" s="170"/>
      <c r="E1583" s="170"/>
      <c r="F1583" s="170"/>
      <c r="G1583" s="171"/>
    </row>
    <row r="1584" customHeight="1" spans="1:7">
      <c r="A1584" s="144" t="s">
        <v>34</v>
      </c>
      <c r="B1584" s="61" t="s">
        <v>761</v>
      </c>
      <c r="C1584" s="61"/>
      <c r="D1584" s="61" t="s">
        <v>60</v>
      </c>
      <c r="E1584" s="147" t="s">
        <v>877</v>
      </c>
      <c r="F1584" s="61" t="s">
        <v>878</v>
      </c>
      <c r="G1584" s="138" t="s">
        <v>879</v>
      </c>
    </row>
    <row r="1585" customHeight="1" spans="1:7">
      <c r="A1585" s="144" t="s">
        <v>8</v>
      </c>
      <c r="B1585" s="153" t="s">
        <v>880</v>
      </c>
      <c r="C1585" s="153"/>
      <c r="D1585" s="61"/>
      <c r="E1585" s="147"/>
      <c r="F1585" s="147"/>
      <c r="G1585" s="150">
        <f>G1586+G1593</f>
        <v>81.354144</v>
      </c>
    </row>
    <row r="1586" customHeight="1" spans="1:7">
      <c r="A1586" s="144" t="s">
        <v>881</v>
      </c>
      <c r="B1586" s="153" t="s">
        <v>882</v>
      </c>
      <c r="C1586" s="153"/>
      <c r="D1586" s="61"/>
      <c r="E1586" s="147"/>
      <c r="F1586" s="147"/>
      <c r="G1586" s="150">
        <f>G1587+G1590</f>
        <v>77.628</v>
      </c>
    </row>
    <row r="1587" customHeight="1" spans="1:7">
      <c r="A1587" s="144" t="s">
        <v>17</v>
      </c>
      <c r="B1587" s="153" t="s">
        <v>510</v>
      </c>
      <c r="C1587" s="153"/>
      <c r="D1587" s="61"/>
      <c r="E1587" s="147"/>
      <c r="F1587" s="147"/>
      <c r="G1587" s="150">
        <f>SUM(G1588:G1589)</f>
        <v>77.628</v>
      </c>
    </row>
    <row r="1588" customHeight="1" spans="1:7">
      <c r="A1588" s="144"/>
      <c r="B1588" s="153" t="s">
        <v>704</v>
      </c>
      <c r="C1588" s="153"/>
      <c r="D1588" s="61" t="s">
        <v>705</v>
      </c>
      <c r="E1588" s="147">
        <v>3.6</v>
      </c>
      <c r="F1588" s="147">
        <f>主要材料预算!$D$19</f>
        <v>8.1</v>
      </c>
      <c r="G1588" s="150">
        <f t="shared" ref="G1588:G1591" si="152">E1588*F1588</f>
        <v>29.16</v>
      </c>
    </row>
    <row r="1589" customHeight="1" spans="1:7">
      <c r="A1589" s="144"/>
      <c r="B1589" s="153" t="s">
        <v>706</v>
      </c>
      <c r="C1589" s="153"/>
      <c r="D1589" s="61" t="s">
        <v>705</v>
      </c>
      <c r="E1589" s="151">
        <v>8.4</v>
      </c>
      <c r="F1589" s="147">
        <f>主要材料预算!$D$20</f>
        <v>5.77</v>
      </c>
      <c r="G1589" s="150">
        <f t="shared" si="152"/>
        <v>48.468</v>
      </c>
    </row>
    <row r="1590" customHeight="1" spans="1:7">
      <c r="A1590" s="144" t="s">
        <v>19</v>
      </c>
      <c r="B1590" s="148" t="s">
        <v>511</v>
      </c>
      <c r="C1590" s="149"/>
      <c r="D1590" s="61"/>
      <c r="E1590" s="147"/>
      <c r="F1590" s="147"/>
      <c r="G1590" s="150">
        <f>SUM(G1591:G1592)</f>
        <v>0</v>
      </c>
    </row>
    <row r="1591" customHeight="1" spans="1:7">
      <c r="A1591" s="144"/>
      <c r="B1591" s="148" t="s">
        <v>1487</v>
      </c>
      <c r="C1591" s="149"/>
      <c r="D1591" s="61" t="s">
        <v>70</v>
      </c>
      <c r="E1591" s="147"/>
      <c r="F1591" s="147"/>
      <c r="G1591" s="150">
        <f t="shared" si="152"/>
        <v>0</v>
      </c>
    </row>
    <row r="1592" customHeight="1" spans="1:7">
      <c r="A1592" s="144"/>
      <c r="B1592" s="148" t="s">
        <v>893</v>
      </c>
      <c r="C1592" s="149"/>
      <c r="D1592" s="61" t="s">
        <v>894</v>
      </c>
      <c r="E1592" s="147"/>
      <c r="F1592" s="147"/>
      <c r="G1592" s="150">
        <f>E1592*F1592/100</f>
        <v>0</v>
      </c>
    </row>
    <row r="1593" customHeight="1" spans="1:7">
      <c r="A1593" s="144" t="s">
        <v>905</v>
      </c>
      <c r="B1593" s="153" t="s">
        <v>514</v>
      </c>
      <c r="C1593" s="153"/>
      <c r="D1593" s="61"/>
      <c r="E1593" s="154">
        <f>G1586</f>
        <v>77.628</v>
      </c>
      <c r="F1593" s="155">
        <f>费率表!$J$4</f>
        <v>0.048</v>
      </c>
      <c r="G1593" s="150">
        <f t="shared" ref="G1593:G1597" si="153">E1593*F1593</f>
        <v>3.726144</v>
      </c>
    </row>
    <row r="1594" customHeight="1" spans="1:7">
      <c r="A1594" s="144" t="s">
        <v>10</v>
      </c>
      <c r="B1594" s="153" t="s">
        <v>770</v>
      </c>
      <c r="C1594" s="153"/>
      <c r="D1594" s="61"/>
      <c r="E1594" s="147">
        <f>G1585</f>
        <v>81.354144</v>
      </c>
      <c r="F1594" s="156">
        <f>费率表!$J$5</f>
        <v>0.075</v>
      </c>
      <c r="G1594" s="150">
        <f t="shared" si="153"/>
        <v>6.1015608</v>
      </c>
    </row>
    <row r="1595" customHeight="1" spans="1:7">
      <c r="A1595" s="144" t="s">
        <v>12</v>
      </c>
      <c r="B1595" s="153" t="s">
        <v>771</v>
      </c>
      <c r="C1595" s="153"/>
      <c r="D1595" s="61"/>
      <c r="E1595" s="147">
        <f>G1585+G1594</f>
        <v>87.4557048</v>
      </c>
      <c r="F1595" s="156">
        <f>费率表!$J$6</f>
        <v>0.07</v>
      </c>
      <c r="G1595" s="150">
        <f t="shared" si="153"/>
        <v>6.121899336</v>
      </c>
    </row>
    <row r="1596" customHeight="1" spans="1:7">
      <c r="A1596" s="144" t="s">
        <v>15</v>
      </c>
      <c r="B1596" s="153" t="s">
        <v>772</v>
      </c>
      <c r="C1596" s="153"/>
      <c r="D1596" s="61"/>
      <c r="E1596" s="147">
        <f>G1585+G1594+G1595</f>
        <v>93.577604136</v>
      </c>
      <c r="F1596" s="156">
        <f>费率表!$J$7</f>
        <v>0.09</v>
      </c>
      <c r="G1596" s="150">
        <f t="shared" si="153"/>
        <v>8.42198437224</v>
      </c>
    </row>
    <row r="1597" customHeight="1" spans="1:7">
      <c r="A1597" s="144"/>
      <c r="B1597" s="153" t="s">
        <v>907</v>
      </c>
      <c r="C1597" s="153"/>
      <c r="D1597" s="61"/>
      <c r="E1597" s="147">
        <f>G1585+G1594+G1595+G1596</f>
        <v>101.99958850824</v>
      </c>
      <c r="F1597" s="156">
        <f>费率表!$B$19</f>
        <v>0.03</v>
      </c>
      <c r="G1597" s="150">
        <f t="shared" si="153"/>
        <v>3.0599876552472</v>
      </c>
    </row>
    <row r="1598" customHeight="1" spans="1:7">
      <c r="A1598" s="158"/>
      <c r="B1598" s="161" t="s">
        <v>39</v>
      </c>
      <c r="C1598" s="161"/>
      <c r="D1598" s="161"/>
      <c r="E1598" s="162"/>
      <c r="F1598" s="161"/>
      <c r="G1598" s="163">
        <f>G1585+G1594+G1595+G1596+G1597</f>
        <v>105.059576163487</v>
      </c>
    </row>
    <row r="1600" customHeight="1" spans="1:7">
      <c r="A1600" s="164" t="s">
        <v>868</v>
      </c>
      <c r="B1600" s="164"/>
      <c r="C1600" s="164"/>
      <c r="D1600" s="164"/>
      <c r="E1600" s="164"/>
      <c r="F1600" s="164"/>
      <c r="G1600" s="164"/>
    </row>
    <row r="1601" customHeight="1" spans="1:7">
      <c r="A1601" s="165" t="s">
        <v>869</v>
      </c>
      <c r="B1601" s="129"/>
      <c r="C1601" s="129"/>
      <c r="D1601" s="129" t="s">
        <v>870</v>
      </c>
      <c r="E1601" s="130" t="s">
        <v>1488</v>
      </c>
      <c r="F1601" s="131"/>
      <c r="G1601" s="132"/>
    </row>
    <row r="1602" customHeight="1" spans="1:7">
      <c r="A1602" s="144" t="s">
        <v>507</v>
      </c>
      <c r="B1602" s="166"/>
      <c r="C1602" s="167" t="s">
        <v>1485</v>
      </c>
      <c r="D1602" s="167"/>
      <c r="E1602" s="167"/>
      <c r="F1602" s="61" t="s">
        <v>873</v>
      </c>
      <c r="G1602" s="138" t="s">
        <v>1138</v>
      </c>
    </row>
    <row r="1603" customHeight="1" spans="1:7">
      <c r="A1603" s="168" t="s">
        <v>875</v>
      </c>
      <c r="B1603" s="167"/>
      <c r="C1603" s="167"/>
      <c r="D1603" s="167"/>
      <c r="E1603" s="167"/>
      <c r="F1603" s="167"/>
      <c r="G1603" s="169"/>
    </row>
    <row r="1604" customHeight="1" spans="1:7">
      <c r="A1604" s="141" t="s">
        <v>1486</v>
      </c>
      <c r="B1604" s="142"/>
      <c r="C1604" s="170"/>
      <c r="D1604" s="170"/>
      <c r="E1604" s="170"/>
      <c r="F1604" s="170"/>
      <c r="G1604" s="171"/>
    </row>
    <row r="1605" customHeight="1" spans="1:7">
      <c r="A1605" s="144" t="s">
        <v>34</v>
      </c>
      <c r="B1605" s="61" t="s">
        <v>761</v>
      </c>
      <c r="C1605" s="61"/>
      <c r="D1605" s="61" t="s">
        <v>60</v>
      </c>
      <c r="E1605" s="147" t="s">
        <v>877</v>
      </c>
      <c r="F1605" s="61" t="s">
        <v>878</v>
      </c>
      <c r="G1605" s="138" t="s">
        <v>879</v>
      </c>
    </row>
    <row r="1606" customHeight="1" spans="1:7">
      <c r="A1606" s="144" t="s">
        <v>8</v>
      </c>
      <c r="B1606" s="153" t="s">
        <v>880</v>
      </c>
      <c r="C1606" s="153"/>
      <c r="D1606" s="61"/>
      <c r="E1606" s="147"/>
      <c r="F1606" s="147"/>
      <c r="G1606" s="150">
        <f>G1607+G1614</f>
        <v>327.61866213704</v>
      </c>
    </row>
    <row r="1607" customHeight="1" spans="1:7">
      <c r="A1607" s="144" t="s">
        <v>881</v>
      </c>
      <c r="B1607" s="153" t="s">
        <v>882</v>
      </c>
      <c r="C1607" s="153"/>
      <c r="D1607" s="61"/>
      <c r="E1607" s="147"/>
      <c r="F1607" s="147"/>
      <c r="G1607" s="150">
        <f>G1608+G1611</f>
        <v>312.61322723</v>
      </c>
    </row>
    <row r="1608" customHeight="1" spans="1:7">
      <c r="A1608" s="144" t="s">
        <v>17</v>
      </c>
      <c r="B1608" s="153" t="s">
        <v>510</v>
      </c>
      <c r="C1608" s="153"/>
      <c r="D1608" s="61"/>
      <c r="E1608" s="147"/>
      <c r="F1608" s="147"/>
      <c r="G1608" s="150">
        <f>SUM(G1609:G1610)</f>
        <v>112.514</v>
      </c>
    </row>
    <row r="1609" customHeight="1" spans="1:7">
      <c r="A1609" s="144"/>
      <c r="B1609" s="153" t="s">
        <v>704</v>
      </c>
      <c r="C1609" s="153"/>
      <c r="D1609" s="61" t="s">
        <v>705</v>
      </c>
      <c r="E1609" s="147">
        <v>5.2</v>
      </c>
      <c r="F1609" s="147">
        <f>主要材料预算!$D$19</f>
        <v>8.1</v>
      </c>
      <c r="G1609" s="150">
        <f t="shared" ref="G1609:G1612" si="154">E1609*F1609</f>
        <v>42.12</v>
      </c>
    </row>
    <row r="1610" customHeight="1" spans="1:7">
      <c r="A1610" s="144"/>
      <c r="B1610" s="153" t="s">
        <v>706</v>
      </c>
      <c r="C1610" s="153"/>
      <c r="D1610" s="61" t="s">
        <v>705</v>
      </c>
      <c r="E1610" s="151">
        <v>12.2</v>
      </c>
      <c r="F1610" s="147">
        <f>主要材料预算!$D$20</f>
        <v>5.77</v>
      </c>
      <c r="G1610" s="150">
        <f t="shared" si="154"/>
        <v>70.394</v>
      </c>
    </row>
    <row r="1611" customHeight="1" spans="1:7">
      <c r="A1611" s="144" t="s">
        <v>19</v>
      </c>
      <c r="B1611" s="148" t="s">
        <v>511</v>
      </c>
      <c r="C1611" s="149"/>
      <c r="D1611" s="61"/>
      <c r="E1611" s="147"/>
      <c r="F1611" s="147"/>
      <c r="G1611" s="150">
        <f>SUM(G1612:G1613)</f>
        <v>200.09922723</v>
      </c>
    </row>
    <row r="1612" customHeight="1" spans="1:7">
      <c r="A1612" s="144"/>
      <c r="B1612" s="148" t="s">
        <v>1487</v>
      </c>
      <c r="C1612" s="149"/>
      <c r="D1612" s="61" t="s">
        <v>70</v>
      </c>
      <c r="E1612" s="147">
        <v>1.08</v>
      </c>
      <c r="F1612" s="147">
        <f>混凝土单价计算表!M8</f>
        <v>176.454345</v>
      </c>
      <c r="G1612" s="150">
        <f t="shared" si="154"/>
        <v>190.5706926</v>
      </c>
    </row>
    <row r="1613" customHeight="1" spans="1:7">
      <c r="A1613" s="144"/>
      <c r="B1613" s="148" t="s">
        <v>893</v>
      </c>
      <c r="C1613" s="149"/>
      <c r="D1613" s="61" t="s">
        <v>894</v>
      </c>
      <c r="E1613" s="147">
        <f>SUM(G1612:G1612)</f>
        <v>190.5706926</v>
      </c>
      <c r="F1613" s="147">
        <v>5</v>
      </c>
      <c r="G1613" s="150">
        <f>E1613*F1613/100</f>
        <v>9.52853463</v>
      </c>
    </row>
    <row r="1614" customHeight="1" spans="1:7">
      <c r="A1614" s="144" t="s">
        <v>905</v>
      </c>
      <c r="B1614" s="153" t="s">
        <v>514</v>
      </c>
      <c r="C1614" s="153"/>
      <c r="D1614" s="61"/>
      <c r="E1614" s="154">
        <f>G1607</f>
        <v>312.61322723</v>
      </c>
      <c r="F1614" s="155">
        <f>费率表!$J$4</f>
        <v>0.048</v>
      </c>
      <c r="G1614" s="150">
        <f t="shared" ref="G1614:G1616" si="155">E1614*F1614</f>
        <v>15.00543490704</v>
      </c>
    </row>
    <row r="1615" customHeight="1" spans="1:7">
      <c r="A1615" s="144" t="s">
        <v>10</v>
      </c>
      <c r="B1615" s="153" t="s">
        <v>770</v>
      </c>
      <c r="C1615" s="153"/>
      <c r="D1615" s="61"/>
      <c r="E1615" s="147">
        <f>G1606</f>
        <v>327.61866213704</v>
      </c>
      <c r="F1615" s="156">
        <f>费率表!$J$5</f>
        <v>0.075</v>
      </c>
      <c r="G1615" s="150">
        <f t="shared" si="155"/>
        <v>24.571399660278</v>
      </c>
    </row>
    <row r="1616" customHeight="1" spans="1:7">
      <c r="A1616" s="144" t="s">
        <v>12</v>
      </c>
      <c r="B1616" s="153" t="s">
        <v>771</v>
      </c>
      <c r="C1616" s="153"/>
      <c r="D1616" s="61"/>
      <c r="E1616" s="147">
        <f>G1606+G1615</f>
        <v>352.190061797318</v>
      </c>
      <c r="F1616" s="156">
        <f>费率表!$J$6</f>
        <v>0.07</v>
      </c>
      <c r="G1616" s="150">
        <f t="shared" si="155"/>
        <v>24.6533043258123</v>
      </c>
    </row>
    <row r="1617" customHeight="1" spans="1:7">
      <c r="A1617" s="144" t="s">
        <v>15</v>
      </c>
      <c r="B1617" s="148" t="s">
        <v>517</v>
      </c>
      <c r="C1617" s="149"/>
      <c r="D1617" s="61"/>
      <c r="E1617" s="147"/>
      <c r="F1617" s="157"/>
      <c r="G1617" s="150">
        <f>SUM(G1618:G1619)</f>
        <v>46.1735250029064</v>
      </c>
    </row>
    <row r="1618" customHeight="1" spans="1:7">
      <c r="A1618" s="144"/>
      <c r="B1618" s="148" t="s">
        <v>729</v>
      </c>
      <c r="C1618" s="149"/>
      <c r="D1618" s="61" t="s">
        <v>70</v>
      </c>
      <c r="E1618" s="147">
        <f>E1612*混凝土单价计算表!E8</f>
        <v>0.33177276</v>
      </c>
      <c r="F1618" s="147">
        <f>主要材料预算!$N$5</f>
        <v>139.17214</v>
      </c>
      <c r="G1618" s="150">
        <f t="shared" ref="G1618:G1621" si="156">E1618*F1618</f>
        <v>46.1735250029064</v>
      </c>
    </row>
    <row r="1619" customHeight="1" spans="1:7">
      <c r="A1619" s="144"/>
      <c r="B1619" s="180" t="s">
        <v>684</v>
      </c>
      <c r="C1619" s="181"/>
      <c r="D1619" s="61" t="s">
        <v>70</v>
      </c>
      <c r="E1619" s="147">
        <f>E1612*混凝土单价计算表!G8</f>
        <v>0.5937624</v>
      </c>
      <c r="F1619" s="147"/>
      <c r="G1619" s="150">
        <f t="shared" si="156"/>
        <v>0</v>
      </c>
    </row>
    <row r="1620" customHeight="1" spans="1:7">
      <c r="A1620" s="144" t="s">
        <v>906</v>
      </c>
      <c r="B1620" s="153" t="s">
        <v>772</v>
      </c>
      <c r="C1620" s="153"/>
      <c r="D1620" s="61"/>
      <c r="E1620" s="147">
        <f>G1606+G1615+G1616+G1617</f>
        <v>423.016891126037</v>
      </c>
      <c r="F1620" s="156">
        <f>费率表!$J$7</f>
        <v>0.09</v>
      </c>
      <c r="G1620" s="150">
        <f t="shared" si="156"/>
        <v>38.0715202013433</v>
      </c>
    </row>
    <row r="1621" customHeight="1" spans="1:7">
      <c r="A1621" s="144"/>
      <c r="B1621" s="153" t="s">
        <v>907</v>
      </c>
      <c r="C1621" s="153"/>
      <c r="D1621" s="61"/>
      <c r="E1621" s="147">
        <f>G1606+G1615+G1616+G1617+G1620</f>
        <v>461.08841132738</v>
      </c>
      <c r="F1621" s="156">
        <f>费率表!$B$19</f>
        <v>0.03</v>
      </c>
      <c r="G1621" s="150">
        <f t="shared" si="156"/>
        <v>13.8326523398214</v>
      </c>
    </row>
    <row r="1622" customHeight="1" spans="1:7">
      <c r="A1622" s="158"/>
      <c r="B1622" s="161" t="s">
        <v>39</v>
      </c>
      <c r="C1622" s="161"/>
      <c r="D1622" s="161"/>
      <c r="E1622" s="162"/>
      <c r="F1622" s="161"/>
      <c r="G1622" s="163">
        <f>G1606+G1615+G1616+G1617+G1620+G1621</f>
        <v>474.921063667201</v>
      </c>
    </row>
    <row r="1625" customHeight="1" spans="1:7">
      <c r="A1625" s="285" t="s">
        <v>868</v>
      </c>
      <c r="B1625" s="285"/>
      <c r="C1625" s="285"/>
      <c r="D1625" s="285"/>
      <c r="E1625" s="285"/>
      <c r="F1625" s="285"/>
      <c r="G1625" s="285"/>
    </row>
    <row r="1626" customHeight="1" spans="1:7">
      <c r="A1626" s="286" t="s">
        <v>869</v>
      </c>
      <c r="B1626" s="287"/>
      <c r="C1626" s="200"/>
      <c r="D1626" s="200" t="s">
        <v>870</v>
      </c>
      <c r="E1626" s="201" t="s">
        <v>1489</v>
      </c>
      <c r="F1626" s="202"/>
      <c r="G1626" s="203"/>
    </row>
    <row r="1627" customHeight="1" spans="1:7">
      <c r="A1627" s="288" t="s">
        <v>507</v>
      </c>
      <c r="B1627" s="289"/>
      <c r="C1627" s="290" t="s">
        <v>1490</v>
      </c>
      <c r="D1627" s="291"/>
      <c r="E1627" s="292"/>
      <c r="F1627" s="54" t="s">
        <v>873</v>
      </c>
      <c r="G1627" s="207" t="s">
        <v>589</v>
      </c>
    </row>
    <row r="1628" customHeight="1" spans="1:7">
      <c r="A1628" s="293" t="s">
        <v>875</v>
      </c>
      <c r="B1628" s="291"/>
      <c r="C1628" s="291"/>
      <c r="D1628" s="291"/>
      <c r="E1628" s="291"/>
      <c r="F1628" s="291"/>
      <c r="G1628" s="294"/>
    </row>
    <row r="1629" customHeight="1" spans="1:7">
      <c r="A1629" s="210" t="s">
        <v>1491</v>
      </c>
      <c r="B1629" s="211"/>
      <c r="C1629" s="211"/>
      <c r="D1629" s="211"/>
      <c r="E1629" s="211"/>
      <c r="F1629" s="211"/>
      <c r="G1629" s="295"/>
    </row>
    <row r="1630" customHeight="1" spans="1:7">
      <c r="A1630" s="204" t="s">
        <v>34</v>
      </c>
      <c r="B1630" s="54" t="s">
        <v>761</v>
      </c>
      <c r="C1630" s="54"/>
      <c r="D1630" s="54" t="s">
        <v>60</v>
      </c>
      <c r="E1630" s="214" t="s">
        <v>877</v>
      </c>
      <c r="F1630" s="54" t="s">
        <v>878</v>
      </c>
      <c r="G1630" s="207" t="s">
        <v>879</v>
      </c>
    </row>
    <row r="1631" customHeight="1" spans="1:7">
      <c r="A1631" s="204" t="s">
        <v>8</v>
      </c>
      <c r="B1631" s="215" t="s">
        <v>880</v>
      </c>
      <c r="C1631" s="215"/>
      <c r="D1631" s="54"/>
      <c r="E1631" s="214"/>
      <c r="F1631" s="214"/>
      <c r="G1631" s="216">
        <f>G1632+G1636</f>
        <v>52.736408</v>
      </c>
    </row>
    <row r="1632" customHeight="1" spans="1:7">
      <c r="A1632" s="204" t="s">
        <v>881</v>
      </c>
      <c r="B1632" s="215" t="s">
        <v>882</v>
      </c>
      <c r="C1632" s="215"/>
      <c r="D1632" s="54"/>
      <c r="E1632" s="214"/>
      <c r="F1632" s="214"/>
      <c r="G1632" s="216">
        <f>G1633</f>
        <v>50.321</v>
      </c>
    </row>
    <row r="1633" customHeight="1" spans="1:7">
      <c r="A1633" s="204" t="s">
        <v>17</v>
      </c>
      <c r="B1633" s="215" t="s">
        <v>510</v>
      </c>
      <c r="C1633" s="215"/>
      <c r="D1633" s="54"/>
      <c r="E1633" s="214"/>
      <c r="F1633" s="214"/>
      <c r="G1633" s="216">
        <f>SUM(G1634:G1635)</f>
        <v>50.321</v>
      </c>
    </row>
    <row r="1634" customHeight="1" spans="1:7">
      <c r="A1634" s="204"/>
      <c r="B1634" s="215" t="s">
        <v>704</v>
      </c>
      <c r="C1634" s="215"/>
      <c r="D1634" s="54" t="s">
        <v>705</v>
      </c>
      <c r="E1634" s="214">
        <v>0.3</v>
      </c>
      <c r="F1634" s="214">
        <f>主要材料预算!$D$19</f>
        <v>8.1</v>
      </c>
      <c r="G1634" s="216">
        <f t="shared" ref="G1634:G1640" si="157">E1634*F1634</f>
        <v>2.43</v>
      </c>
    </row>
    <row r="1635" customHeight="1" spans="1:7">
      <c r="A1635" s="204"/>
      <c r="B1635" s="215" t="s">
        <v>706</v>
      </c>
      <c r="C1635" s="215"/>
      <c r="D1635" s="54" t="s">
        <v>705</v>
      </c>
      <c r="E1635" s="217">
        <v>8.3</v>
      </c>
      <c r="F1635" s="214">
        <f>主要材料预算!$D$20</f>
        <v>5.77</v>
      </c>
      <c r="G1635" s="216">
        <f t="shared" si="157"/>
        <v>47.891</v>
      </c>
    </row>
    <row r="1636" customHeight="1" spans="1:7">
      <c r="A1636" s="204" t="s">
        <v>905</v>
      </c>
      <c r="B1636" s="215" t="s">
        <v>514</v>
      </c>
      <c r="C1636" s="215"/>
      <c r="D1636" s="54"/>
      <c r="E1636" s="220">
        <f>G1632</f>
        <v>50.321</v>
      </c>
      <c r="F1636" s="221">
        <f>费率表!$I$4</f>
        <v>0.048</v>
      </c>
      <c r="G1636" s="216">
        <f t="shared" si="157"/>
        <v>2.415408</v>
      </c>
    </row>
    <row r="1637" customHeight="1" spans="1:7">
      <c r="A1637" s="204" t="s">
        <v>10</v>
      </c>
      <c r="B1637" s="215" t="s">
        <v>770</v>
      </c>
      <c r="C1637" s="215"/>
      <c r="D1637" s="54"/>
      <c r="E1637" s="214">
        <f>G1631</f>
        <v>52.736408</v>
      </c>
      <c r="F1637" s="222">
        <f>费率表!$I$5</f>
        <v>0.07</v>
      </c>
      <c r="G1637" s="216">
        <f t="shared" si="157"/>
        <v>3.69154856</v>
      </c>
    </row>
    <row r="1638" customHeight="1" spans="1:7">
      <c r="A1638" s="204" t="s">
        <v>12</v>
      </c>
      <c r="B1638" s="215" t="s">
        <v>771</v>
      </c>
      <c r="C1638" s="215"/>
      <c r="D1638" s="54"/>
      <c r="E1638" s="214">
        <f>G1631+G1637</f>
        <v>56.42795656</v>
      </c>
      <c r="F1638" s="222">
        <f>费率表!$I$6</f>
        <v>0.07</v>
      </c>
      <c r="G1638" s="216">
        <f t="shared" si="157"/>
        <v>3.9499569592</v>
      </c>
    </row>
    <row r="1639" customHeight="1" spans="1:7">
      <c r="A1639" s="204" t="s">
        <v>15</v>
      </c>
      <c r="B1639" s="215" t="s">
        <v>772</v>
      </c>
      <c r="C1639" s="215"/>
      <c r="D1639" s="54"/>
      <c r="E1639" s="214">
        <f>G1631+G1637+G1638</f>
        <v>60.3779135192</v>
      </c>
      <c r="F1639" s="222">
        <f>费率表!$I$7</f>
        <v>0.09</v>
      </c>
      <c r="G1639" s="216">
        <f t="shared" si="157"/>
        <v>5.434012216728</v>
      </c>
    </row>
    <row r="1640" customHeight="1" spans="1:7">
      <c r="A1640" s="204"/>
      <c r="B1640" s="215" t="s">
        <v>907</v>
      </c>
      <c r="C1640" s="215"/>
      <c r="D1640" s="54"/>
      <c r="E1640" s="214">
        <f>G1631+G1637+G1638+G1639</f>
        <v>65.811925735928</v>
      </c>
      <c r="F1640" s="222">
        <f>费率表!$B$19</f>
        <v>0.03</v>
      </c>
      <c r="G1640" s="216">
        <f t="shared" si="157"/>
        <v>1.97435777207784</v>
      </c>
    </row>
    <row r="1641" customHeight="1" spans="1:7">
      <c r="A1641" s="223"/>
      <c r="B1641" s="224" t="s">
        <v>39</v>
      </c>
      <c r="C1641" s="224"/>
      <c r="D1641" s="224"/>
      <c r="E1641" s="225"/>
      <c r="F1641" s="224"/>
      <c r="G1641" s="226">
        <f>G1631+G1637+G1638+G1639+G1640</f>
        <v>67.7862835080058</v>
      </c>
    </row>
    <row r="1643" customHeight="1" spans="1:7">
      <c r="A1643" s="285" t="s">
        <v>868</v>
      </c>
      <c r="B1643" s="285"/>
      <c r="C1643" s="285"/>
      <c r="D1643" s="285"/>
      <c r="E1643" s="285"/>
      <c r="F1643" s="285"/>
      <c r="G1643" s="285"/>
    </row>
    <row r="1644" customHeight="1" spans="1:7">
      <c r="A1644" s="286" t="s">
        <v>869</v>
      </c>
      <c r="B1644" s="287"/>
      <c r="C1644" s="200"/>
      <c r="D1644" s="200" t="s">
        <v>870</v>
      </c>
      <c r="E1644" s="201" t="s">
        <v>1492</v>
      </c>
      <c r="F1644" s="202"/>
      <c r="G1644" s="203"/>
    </row>
    <row r="1645" customHeight="1" spans="1:7">
      <c r="A1645" s="288" t="s">
        <v>507</v>
      </c>
      <c r="B1645" s="289"/>
      <c r="C1645" s="290" t="s">
        <v>1493</v>
      </c>
      <c r="D1645" s="291"/>
      <c r="E1645" s="292"/>
      <c r="F1645" s="54" t="s">
        <v>873</v>
      </c>
      <c r="G1645" s="207" t="s">
        <v>589</v>
      </c>
    </row>
    <row r="1646" customHeight="1" spans="1:7">
      <c r="A1646" s="293" t="s">
        <v>875</v>
      </c>
      <c r="B1646" s="291"/>
      <c r="C1646" s="291"/>
      <c r="D1646" s="291"/>
      <c r="E1646" s="291"/>
      <c r="F1646" s="291"/>
      <c r="G1646" s="294"/>
    </row>
    <row r="1647" customHeight="1" spans="1:7">
      <c r="A1647" s="210" t="s">
        <v>1494</v>
      </c>
      <c r="B1647" s="211"/>
      <c r="C1647" s="211"/>
      <c r="D1647" s="211"/>
      <c r="E1647" s="211"/>
      <c r="F1647" s="211"/>
      <c r="G1647" s="295"/>
    </row>
    <row r="1648" customHeight="1" spans="1:7">
      <c r="A1648" s="204" t="s">
        <v>34</v>
      </c>
      <c r="B1648" s="54" t="s">
        <v>761</v>
      </c>
      <c r="C1648" s="54"/>
      <c r="D1648" s="54" t="s">
        <v>60</v>
      </c>
      <c r="E1648" s="214" t="s">
        <v>877</v>
      </c>
      <c r="F1648" s="54" t="s">
        <v>878</v>
      </c>
      <c r="G1648" s="207" t="s">
        <v>879</v>
      </c>
    </row>
    <row r="1649" customHeight="1" spans="1:7">
      <c r="A1649" s="204" t="s">
        <v>8</v>
      </c>
      <c r="B1649" s="215" t="s">
        <v>880</v>
      </c>
      <c r="C1649" s="215"/>
      <c r="D1649" s="54"/>
      <c r="E1649" s="214"/>
      <c r="F1649" s="214"/>
      <c r="G1649" s="216">
        <f>G1650+G1654</f>
        <v>44.631176</v>
      </c>
    </row>
    <row r="1650" customHeight="1" spans="1:7">
      <c r="A1650" s="204" t="s">
        <v>881</v>
      </c>
      <c r="B1650" s="215" t="s">
        <v>882</v>
      </c>
      <c r="C1650" s="215"/>
      <c r="D1650" s="54"/>
      <c r="E1650" s="214"/>
      <c r="F1650" s="214"/>
      <c r="G1650" s="216">
        <f>G1651</f>
        <v>42.587</v>
      </c>
    </row>
    <row r="1651" customHeight="1" spans="1:7">
      <c r="A1651" s="204" t="s">
        <v>17</v>
      </c>
      <c r="B1651" s="215" t="s">
        <v>510</v>
      </c>
      <c r="C1651" s="215"/>
      <c r="D1651" s="54"/>
      <c r="E1651" s="214"/>
      <c r="F1651" s="214"/>
      <c r="G1651" s="216">
        <f>SUM(G1652:G1653)</f>
        <v>42.587</v>
      </c>
    </row>
    <row r="1652" customHeight="1" spans="1:7">
      <c r="A1652" s="204"/>
      <c r="B1652" s="215" t="s">
        <v>704</v>
      </c>
      <c r="C1652" s="215"/>
      <c r="D1652" s="54" t="s">
        <v>705</v>
      </c>
      <c r="E1652" s="214">
        <v>0.2</v>
      </c>
      <c r="F1652" s="214">
        <f>主要材料预算!$D$19</f>
        <v>8.1</v>
      </c>
      <c r="G1652" s="216">
        <f t="shared" ref="G1652:G1658" si="158">E1652*F1652</f>
        <v>1.62</v>
      </c>
    </row>
    <row r="1653" customHeight="1" spans="1:7">
      <c r="A1653" s="204"/>
      <c r="B1653" s="215" t="s">
        <v>706</v>
      </c>
      <c r="C1653" s="215"/>
      <c r="D1653" s="54" t="s">
        <v>705</v>
      </c>
      <c r="E1653" s="217">
        <v>7.1</v>
      </c>
      <c r="F1653" s="214">
        <f>主要材料预算!$D$20</f>
        <v>5.77</v>
      </c>
      <c r="G1653" s="216">
        <f t="shared" si="158"/>
        <v>40.967</v>
      </c>
    </row>
    <row r="1654" customHeight="1" spans="1:7">
      <c r="A1654" s="204" t="s">
        <v>905</v>
      </c>
      <c r="B1654" s="215" t="s">
        <v>514</v>
      </c>
      <c r="C1654" s="215"/>
      <c r="D1654" s="54"/>
      <c r="E1654" s="220">
        <f>G1650</f>
        <v>42.587</v>
      </c>
      <c r="F1654" s="221">
        <f>费率表!$I$4</f>
        <v>0.048</v>
      </c>
      <c r="G1654" s="216">
        <f t="shared" si="158"/>
        <v>2.044176</v>
      </c>
    </row>
    <row r="1655" customHeight="1" spans="1:7">
      <c r="A1655" s="204" t="s">
        <v>10</v>
      </c>
      <c r="B1655" s="215" t="s">
        <v>770</v>
      </c>
      <c r="C1655" s="215"/>
      <c r="D1655" s="54"/>
      <c r="E1655" s="214">
        <f>G1649</f>
        <v>44.631176</v>
      </c>
      <c r="F1655" s="222">
        <f>费率表!$I$5</f>
        <v>0.07</v>
      </c>
      <c r="G1655" s="216">
        <f t="shared" si="158"/>
        <v>3.12418232</v>
      </c>
    </row>
    <row r="1656" customHeight="1" spans="1:7">
      <c r="A1656" s="204" t="s">
        <v>12</v>
      </c>
      <c r="B1656" s="215" t="s">
        <v>771</v>
      </c>
      <c r="C1656" s="215"/>
      <c r="D1656" s="54"/>
      <c r="E1656" s="214">
        <f>G1649+G1655</f>
        <v>47.75535832</v>
      </c>
      <c r="F1656" s="222">
        <f>费率表!$I$6</f>
        <v>0.07</v>
      </c>
      <c r="G1656" s="216">
        <f t="shared" si="158"/>
        <v>3.3428750824</v>
      </c>
    </row>
    <row r="1657" customHeight="1" spans="1:7">
      <c r="A1657" s="204" t="s">
        <v>15</v>
      </c>
      <c r="B1657" s="215" t="s">
        <v>772</v>
      </c>
      <c r="C1657" s="215"/>
      <c r="D1657" s="54"/>
      <c r="E1657" s="214">
        <f>G1649+G1655+G1656</f>
        <v>51.0982334024</v>
      </c>
      <c r="F1657" s="222">
        <f>费率表!$I$7</f>
        <v>0.09</v>
      </c>
      <c r="G1657" s="216">
        <f t="shared" si="158"/>
        <v>4.598841006216</v>
      </c>
    </row>
    <row r="1658" customHeight="1" spans="1:7">
      <c r="A1658" s="204"/>
      <c r="B1658" s="215" t="s">
        <v>907</v>
      </c>
      <c r="C1658" s="215"/>
      <c r="D1658" s="54"/>
      <c r="E1658" s="214">
        <f>G1649+G1655+G1656+G1657</f>
        <v>55.697074408616</v>
      </c>
      <c r="F1658" s="222">
        <f>费率表!$B$19</f>
        <v>0.03</v>
      </c>
      <c r="G1658" s="216">
        <f t="shared" si="158"/>
        <v>1.67091223225848</v>
      </c>
    </row>
    <row r="1659" customHeight="1" spans="1:7">
      <c r="A1659" s="223"/>
      <c r="B1659" s="224" t="s">
        <v>39</v>
      </c>
      <c r="C1659" s="224"/>
      <c r="D1659" s="224"/>
      <c r="E1659" s="225"/>
      <c r="F1659" s="224"/>
      <c r="G1659" s="226">
        <f>G1649+G1655+G1656+G1657+G1658</f>
        <v>57.3679866408745</v>
      </c>
    </row>
    <row r="1661" customHeight="1" spans="1:7">
      <c r="A1661" s="285" t="s">
        <v>868</v>
      </c>
      <c r="B1661" s="285"/>
      <c r="C1661" s="285"/>
      <c r="D1661" s="285"/>
      <c r="E1661" s="285"/>
      <c r="F1661" s="285"/>
      <c r="G1661" s="285"/>
    </row>
    <row r="1662" customHeight="1" spans="1:7">
      <c r="A1662" s="286" t="s">
        <v>869</v>
      </c>
      <c r="B1662" s="287"/>
      <c r="C1662" s="200"/>
      <c r="D1662" s="200" t="s">
        <v>870</v>
      </c>
      <c r="E1662" s="201" t="s">
        <v>1495</v>
      </c>
      <c r="F1662" s="202"/>
      <c r="G1662" s="203"/>
    </row>
    <row r="1663" customHeight="1" spans="1:7">
      <c r="A1663" s="288" t="s">
        <v>507</v>
      </c>
      <c r="B1663" s="289"/>
      <c r="C1663" s="290" t="s">
        <v>1496</v>
      </c>
      <c r="D1663" s="291"/>
      <c r="E1663" s="292"/>
      <c r="F1663" s="54" t="s">
        <v>873</v>
      </c>
      <c r="G1663" s="207" t="s">
        <v>1497</v>
      </c>
    </row>
    <row r="1664" customHeight="1" spans="1:7">
      <c r="A1664" s="293" t="s">
        <v>875</v>
      </c>
      <c r="B1664" s="291"/>
      <c r="C1664" s="291"/>
      <c r="D1664" s="291"/>
      <c r="E1664" s="291"/>
      <c r="F1664" s="291"/>
      <c r="G1664" s="294"/>
    </row>
    <row r="1665" customHeight="1" spans="1:30">
      <c r="A1665" s="210" t="s">
        <v>1494</v>
      </c>
      <c r="B1665" s="211"/>
      <c r="C1665" s="211"/>
      <c r="D1665" s="211"/>
      <c r="E1665" s="211"/>
      <c r="F1665" s="211"/>
      <c r="G1665" s="295"/>
    </row>
    <row r="1666" customHeight="1" spans="1:30">
      <c r="A1666" s="204" t="s">
        <v>34</v>
      </c>
      <c r="B1666" s="54" t="s">
        <v>761</v>
      </c>
      <c r="C1666" s="54"/>
      <c r="D1666" s="54" t="s">
        <v>60</v>
      </c>
      <c r="E1666" s="214" t="s">
        <v>877</v>
      </c>
      <c r="F1666" s="54" t="s">
        <v>878</v>
      </c>
      <c r="G1666" s="207" t="s">
        <v>879</v>
      </c>
    </row>
    <row r="1667" customHeight="1" spans="1:30">
      <c r="A1667" s="204" t="s">
        <v>8</v>
      </c>
      <c r="B1667" s="215" t="s">
        <v>880</v>
      </c>
      <c r="C1667" s="215"/>
      <c r="D1667" s="54"/>
      <c r="E1667" s="214"/>
      <c r="F1667" s="214"/>
      <c r="G1667" s="216">
        <f>G1668+G1672</f>
        <v>998.828888</v>
      </c>
    </row>
    <row r="1668" customHeight="1" spans="1:30">
      <c r="A1668" s="204" t="s">
        <v>881</v>
      </c>
      <c r="B1668" s="215" t="s">
        <v>882</v>
      </c>
      <c r="C1668" s="215"/>
      <c r="D1668" s="54"/>
      <c r="E1668" s="214"/>
      <c r="F1668" s="214"/>
      <c r="G1668" s="216">
        <f>G1669</f>
        <v>953.081</v>
      </c>
    </row>
    <row r="1669" customHeight="1" spans="1:30">
      <c r="A1669" s="204" t="s">
        <v>17</v>
      </c>
      <c r="B1669" s="215" t="s">
        <v>510</v>
      </c>
      <c r="C1669" s="215"/>
      <c r="D1669" s="54"/>
      <c r="E1669" s="214"/>
      <c r="F1669" s="214"/>
      <c r="G1669" s="216">
        <f>SUM(G1670:G1671)</f>
        <v>953.081</v>
      </c>
    </row>
    <row r="1670" customHeight="1" spans="1:30">
      <c r="A1670" s="204"/>
      <c r="B1670" s="215" t="s">
        <v>704</v>
      </c>
      <c r="C1670" s="215"/>
      <c r="D1670" s="54" t="s">
        <v>705</v>
      </c>
      <c r="E1670" s="214">
        <v>4.9</v>
      </c>
      <c r="F1670" s="214">
        <f>主要材料预算!$D$19</f>
        <v>8.1</v>
      </c>
      <c r="G1670" s="216">
        <f t="shared" ref="G1670:G1676" si="159">E1670*F1670</f>
        <v>39.69</v>
      </c>
    </row>
    <row r="1671" customHeight="1" spans="1:30">
      <c r="A1671" s="204"/>
      <c r="B1671" s="215" t="s">
        <v>706</v>
      </c>
      <c r="C1671" s="215"/>
      <c r="D1671" s="54" t="s">
        <v>705</v>
      </c>
      <c r="E1671" s="217">
        <v>158.3</v>
      </c>
      <c r="F1671" s="214">
        <f>主要材料预算!$D$20</f>
        <v>5.77</v>
      </c>
      <c r="G1671" s="216">
        <f t="shared" si="159"/>
        <v>913.391</v>
      </c>
    </row>
    <row r="1672" customHeight="1" spans="1:30">
      <c r="A1672" s="204" t="s">
        <v>905</v>
      </c>
      <c r="B1672" s="215" t="s">
        <v>514</v>
      </c>
      <c r="C1672" s="215"/>
      <c r="D1672" s="54"/>
      <c r="E1672" s="220">
        <f>G1668</f>
        <v>953.081</v>
      </c>
      <c r="F1672" s="221">
        <f>费率表!$I$4</f>
        <v>0.048</v>
      </c>
      <c r="G1672" s="216">
        <f t="shared" si="159"/>
        <v>45.747888</v>
      </c>
    </row>
    <row r="1673" customHeight="1" spans="1:30">
      <c r="A1673" s="204" t="s">
        <v>10</v>
      </c>
      <c r="B1673" s="215" t="s">
        <v>770</v>
      </c>
      <c r="C1673" s="215"/>
      <c r="D1673" s="54"/>
      <c r="E1673" s="214">
        <f>G1667</f>
        <v>998.828888</v>
      </c>
      <c r="F1673" s="222">
        <f>费率表!$I$5</f>
        <v>0.07</v>
      </c>
      <c r="G1673" s="216">
        <f t="shared" si="159"/>
        <v>69.91802216</v>
      </c>
    </row>
    <row r="1674" customHeight="1" spans="1:30">
      <c r="A1674" s="204" t="s">
        <v>12</v>
      </c>
      <c r="B1674" s="215" t="s">
        <v>771</v>
      </c>
      <c r="C1674" s="215"/>
      <c r="D1674" s="54"/>
      <c r="E1674" s="214">
        <f>G1667+G1673</f>
        <v>1068.74691016</v>
      </c>
      <c r="F1674" s="222">
        <f>费率表!$I$6</f>
        <v>0.07</v>
      </c>
      <c r="G1674" s="216">
        <f t="shared" si="159"/>
        <v>74.8122837112</v>
      </c>
    </row>
    <row r="1675" customHeight="1" spans="1:30">
      <c r="A1675" s="204" t="s">
        <v>15</v>
      </c>
      <c r="B1675" s="215" t="s">
        <v>772</v>
      </c>
      <c r="C1675" s="215"/>
      <c r="D1675" s="54"/>
      <c r="E1675" s="214">
        <f>G1667+G1673+G1674</f>
        <v>1143.5591938712</v>
      </c>
      <c r="F1675" s="222">
        <f>费率表!$I$7</f>
        <v>0.09</v>
      </c>
      <c r="G1675" s="216">
        <f t="shared" si="159"/>
        <v>102.920327448408</v>
      </c>
    </row>
    <row r="1676" customHeight="1" spans="1:30">
      <c r="A1676" s="204"/>
      <c r="B1676" s="215" t="s">
        <v>907</v>
      </c>
      <c r="C1676" s="215"/>
      <c r="D1676" s="54"/>
      <c r="E1676" s="214">
        <f>G1667+G1673+G1674+G1675</f>
        <v>1246.47952131961</v>
      </c>
      <c r="F1676" s="222">
        <f>费率表!$B$19</f>
        <v>0.03</v>
      </c>
      <c r="G1676" s="216">
        <f t="shared" si="159"/>
        <v>37.3943856395882</v>
      </c>
    </row>
    <row r="1677" customHeight="1" spans="1:30">
      <c r="A1677" s="223"/>
      <c r="B1677" s="224" t="s">
        <v>39</v>
      </c>
      <c r="C1677" s="224"/>
      <c r="D1677" s="224"/>
      <c r="E1677" s="225"/>
      <c r="F1677" s="224"/>
      <c r="G1677" s="226">
        <f>G1667+G1673+G1674+G1675+G1676</f>
        <v>1283.8739069592</v>
      </c>
    </row>
    <row r="1679" customHeight="1" spans="1:30">
      <c r="S1679" s="92"/>
      <c r="T1679" s="92"/>
      <c r="U1679" s="92"/>
      <c r="V1679" s="92"/>
      <c r="W1679" s="92"/>
      <c r="X1679" s="92"/>
      <c r="Y1679" s="92"/>
      <c r="Z1679" s="92"/>
      <c r="AA1679" s="92"/>
      <c r="AB1679" s="92"/>
      <c r="AC1679" s="92"/>
      <c r="AD1679" s="92"/>
    </row>
    <row r="1680" customHeight="1" spans="1:30">
      <c r="A1680" s="285" t="s">
        <v>868</v>
      </c>
      <c r="B1680" s="285"/>
      <c r="C1680" s="285"/>
      <c r="D1680" s="285"/>
      <c r="E1680" s="285"/>
      <c r="F1680" s="285"/>
      <c r="G1680" s="285"/>
      <c r="S1680" s="92"/>
      <c r="T1680" s="92"/>
      <c r="U1680" s="92"/>
      <c r="V1680" s="92"/>
      <c r="W1680" s="92"/>
      <c r="X1680" s="92"/>
      <c r="Y1680" s="92"/>
      <c r="Z1680" s="92"/>
      <c r="AA1680" s="92"/>
      <c r="AB1680" s="92"/>
      <c r="AC1680" s="92"/>
      <c r="AD1680" s="92"/>
    </row>
    <row r="1681" customHeight="1" spans="1:34">
      <c r="A1681" s="286" t="s">
        <v>869</v>
      </c>
      <c r="B1681" s="287"/>
      <c r="C1681" s="200"/>
      <c r="D1681" s="200" t="s">
        <v>870</v>
      </c>
      <c r="E1681" s="201" t="s">
        <v>1498</v>
      </c>
      <c r="F1681" s="202"/>
      <c r="G1681" s="203"/>
      <c r="S1681" s="92"/>
      <c r="T1681" s="92"/>
      <c r="U1681" s="92"/>
      <c r="V1681" s="92"/>
      <c r="W1681" s="92"/>
      <c r="X1681" s="92"/>
      <c r="Y1681" s="92"/>
      <c r="Z1681" s="92"/>
      <c r="AA1681" s="92"/>
      <c r="AB1681" s="92"/>
      <c r="AC1681" s="92"/>
      <c r="AD1681" s="92"/>
    </row>
    <row r="1682" customHeight="1" spans="1:34">
      <c r="A1682" s="288" t="s">
        <v>507</v>
      </c>
      <c r="B1682" s="289"/>
      <c r="C1682" s="290" t="s">
        <v>1499</v>
      </c>
      <c r="D1682" s="291"/>
      <c r="E1682" s="292"/>
      <c r="F1682" s="54" t="s">
        <v>873</v>
      </c>
      <c r="G1682" s="207" t="s">
        <v>589</v>
      </c>
      <c r="S1682" s="92"/>
      <c r="T1682" s="92"/>
      <c r="U1682" s="92"/>
      <c r="V1682" s="92"/>
      <c r="W1682" s="92"/>
      <c r="X1682" s="92"/>
      <c r="Y1682" s="92"/>
      <c r="Z1682" s="92"/>
      <c r="AA1682" s="92"/>
      <c r="AB1682" s="92"/>
      <c r="AC1682" s="92"/>
      <c r="AD1682" s="92"/>
    </row>
    <row r="1683" customHeight="1" spans="1:34">
      <c r="A1683" s="293" t="s">
        <v>875</v>
      </c>
      <c r="B1683" s="291"/>
      <c r="C1683" s="291"/>
      <c r="D1683" s="291"/>
      <c r="E1683" s="291"/>
      <c r="F1683" s="291"/>
      <c r="G1683" s="294"/>
      <c r="S1683" s="92"/>
      <c r="T1683" s="92"/>
      <c r="U1683" s="92"/>
      <c r="V1683" s="92"/>
      <c r="W1683" s="92"/>
      <c r="X1683" s="92"/>
      <c r="Y1683" s="92"/>
      <c r="Z1683" s="92"/>
      <c r="AA1683" s="92"/>
      <c r="AB1683" s="92"/>
      <c r="AC1683" s="92"/>
      <c r="AD1683" s="92"/>
    </row>
    <row r="1684" customHeight="1" spans="1:34">
      <c r="A1684" s="210" t="s">
        <v>1213</v>
      </c>
      <c r="B1684" s="211"/>
      <c r="C1684" s="211"/>
      <c r="D1684" s="211"/>
      <c r="E1684" s="211"/>
      <c r="F1684" s="211"/>
      <c r="G1684" s="295"/>
      <c r="S1684" s="92"/>
      <c r="T1684" s="92"/>
      <c r="U1684" s="92"/>
      <c r="V1684" s="92"/>
      <c r="W1684" s="92"/>
      <c r="X1684" s="92"/>
      <c r="Y1684" s="92"/>
      <c r="Z1684" s="92"/>
      <c r="AA1684" s="92"/>
      <c r="AB1684" s="92"/>
      <c r="AC1684" s="92"/>
      <c r="AD1684" s="92"/>
    </row>
    <row r="1685" customHeight="1" spans="1:34">
      <c r="A1685" s="204" t="s">
        <v>34</v>
      </c>
      <c r="B1685" s="54" t="s">
        <v>761</v>
      </c>
      <c r="C1685" s="54"/>
      <c r="D1685" s="54" t="s">
        <v>60</v>
      </c>
      <c r="E1685" s="214" t="s">
        <v>877</v>
      </c>
      <c r="F1685" s="54" t="s">
        <v>878</v>
      </c>
      <c r="G1685" s="207" t="s">
        <v>879</v>
      </c>
      <c r="S1685" s="92"/>
      <c r="T1685" s="92"/>
      <c r="U1685" s="92"/>
      <c r="V1685" s="92"/>
      <c r="W1685" s="92"/>
      <c r="X1685" s="92"/>
      <c r="Y1685" s="92"/>
      <c r="Z1685" s="92"/>
      <c r="AA1685" s="92"/>
      <c r="AB1685" s="92"/>
      <c r="AC1685" s="92"/>
      <c r="AD1685" s="92"/>
    </row>
    <row r="1686" customHeight="1" spans="1:34">
      <c r="A1686" s="204" t="s">
        <v>8</v>
      </c>
      <c r="B1686" s="215" t="s">
        <v>880</v>
      </c>
      <c r="C1686" s="215"/>
      <c r="D1686" s="54"/>
      <c r="E1686" s="214"/>
      <c r="F1686" s="214"/>
      <c r="G1686" s="216">
        <f>G1687+G1691</f>
        <v>12.338104</v>
      </c>
      <c r="S1686" s="92"/>
      <c r="T1686" s="92"/>
      <c r="U1686" s="92"/>
      <c r="V1686" s="92"/>
      <c r="W1686" s="92"/>
      <c r="X1686" s="92"/>
      <c r="Y1686" s="92"/>
      <c r="Z1686" s="92"/>
      <c r="AA1686" s="92"/>
      <c r="AB1686" s="92"/>
      <c r="AC1686" s="92"/>
      <c r="AD1686" s="92"/>
    </row>
    <row r="1687" customHeight="1" spans="1:34">
      <c r="A1687" s="204" t="s">
        <v>881</v>
      </c>
      <c r="B1687" s="215" t="s">
        <v>882</v>
      </c>
      <c r="C1687" s="215"/>
      <c r="D1687" s="54"/>
      <c r="E1687" s="214"/>
      <c r="F1687" s="214"/>
      <c r="G1687" s="216">
        <f>G1688</f>
        <v>11.773</v>
      </c>
      <c r="S1687" s="92"/>
      <c r="T1687" s="92"/>
      <c r="U1687" s="92"/>
      <c r="V1687" s="92"/>
      <c r="W1687" s="92"/>
      <c r="X1687" s="92"/>
      <c r="Y1687" s="92"/>
      <c r="Z1687" s="92"/>
      <c r="AA1687" s="92"/>
      <c r="AB1687" s="92"/>
      <c r="AC1687" s="92"/>
      <c r="AD1687" s="92"/>
    </row>
    <row r="1688" customHeight="1" spans="1:34">
      <c r="A1688" s="204" t="s">
        <v>17</v>
      </c>
      <c r="B1688" s="215" t="s">
        <v>510</v>
      </c>
      <c r="C1688" s="215"/>
      <c r="D1688" s="54"/>
      <c r="E1688" s="214"/>
      <c r="F1688" s="214"/>
      <c r="G1688" s="216">
        <f>SUM(G1689:G1690)</f>
        <v>11.773</v>
      </c>
      <c r="S1688" s="92"/>
      <c r="T1688" s="92"/>
      <c r="U1688" s="92"/>
      <c r="V1688" s="92"/>
      <c r="W1688" s="92"/>
      <c r="X1688" s="92"/>
      <c r="Y1688" s="92"/>
      <c r="Z1688" s="92"/>
      <c r="AA1688" s="92"/>
      <c r="AB1688" s="92"/>
      <c r="AC1688" s="92"/>
      <c r="AD1688" s="92"/>
    </row>
    <row r="1689" customHeight="1" spans="1:34">
      <c r="A1689" s="204"/>
      <c r="B1689" s="215" t="s">
        <v>704</v>
      </c>
      <c r="C1689" s="215"/>
      <c r="D1689" s="54" t="s">
        <v>705</v>
      </c>
      <c r="E1689" s="214">
        <v>0.1</v>
      </c>
      <c r="F1689" s="214">
        <f>主要材料预算!$D$19</f>
        <v>8.1</v>
      </c>
      <c r="G1689" s="216">
        <f t="shared" ref="G1689:G1695" si="160">E1689*F1689</f>
        <v>0.81</v>
      </c>
      <c r="S1689" s="92"/>
      <c r="T1689" s="92"/>
      <c r="U1689" s="92"/>
      <c r="V1689" s="92"/>
      <c r="W1689" s="92"/>
      <c r="X1689" s="92"/>
      <c r="Y1689" s="92"/>
      <c r="Z1689" s="92"/>
      <c r="AA1689" s="92"/>
      <c r="AB1689" s="92"/>
      <c r="AC1689" s="92"/>
      <c r="AD1689" s="92"/>
    </row>
    <row r="1690" customHeight="1" spans="1:34">
      <c r="A1690" s="204"/>
      <c r="B1690" s="215" t="s">
        <v>706</v>
      </c>
      <c r="C1690" s="215"/>
      <c r="D1690" s="54" t="s">
        <v>705</v>
      </c>
      <c r="E1690" s="217">
        <v>1.9</v>
      </c>
      <c r="F1690" s="214">
        <f>主要材料预算!$D$20</f>
        <v>5.77</v>
      </c>
      <c r="G1690" s="216">
        <f t="shared" si="160"/>
        <v>10.963</v>
      </c>
      <c r="S1690" s="92"/>
      <c r="T1690" s="92"/>
      <c r="U1690" s="92"/>
      <c r="V1690" s="92"/>
      <c r="W1690" s="92"/>
      <c r="X1690" s="92"/>
      <c r="Y1690" s="92"/>
      <c r="Z1690" s="92"/>
      <c r="AA1690" s="92"/>
      <c r="AB1690" s="92"/>
      <c r="AC1690" s="92"/>
      <c r="AD1690" s="92"/>
    </row>
    <row r="1691" customHeight="1" spans="1:34">
      <c r="A1691" s="204" t="s">
        <v>905</v>
      </c>
      <c r="B1691" s="215" t="s">
        <v>514</v>
      </c>
      <c r="C1691" s="215"/>
      <c r="D1691" s="54"/>
      <c r="E1691" s="220">
        <f>G1687</f>
        <v>11.773</v>
      </c>
      <c r="F1691" s="221">
        <f>费率表!$I$4</f>
        <v>0.048</v>
      </c>
      <c r="G1691" s="216">
        <f t="shared" si="160"/>
        <v>0.565104</v>
      </c>
      <c r="S1691" s="92"/>
      <c r="T1691" s="92"/>
      <c r="U1691" s="92"/>
      <c r="V1691" s="92"/>
      <c r="W1691" s="92"/>
      <c r="X1691" s="92"/>
      <c r="Y1691" s="92"/>
      <c r="Z1691" s="92"/>
      <c r="AA1691" s="92"/>
      <c r="AB1691" s="92"/>
      <c r="AC1691" s="92"/>
      <c r="AD1691" s="92"/>
    </row>
    <row r="1692" customHeight="1" spans="1:34">
      <c r="A1692" s="204" t="s">
        <v>10</v>
      </c>
      <c r="B1692" s="215" t="s">
        <v>770</v>
      </c>
      <c r="C1692" s="215"/>
      <c r="D1692" s="54"/>
      <c r="E1692" s="214">
        <f>G1686</f>
        <v>12.338104</v>
      </c>
      <c r="F1692" s="222">
        <f>费率表!$I$5</f>
        <v>0.07</v>
      </c>
      <c r="G1692" s="216">
        <f t="shared" si="160"/>
        <v>0.86366728</v>
      </c>
      <c r="S1692" s="92"/>
      <c r="T1692" s="92"/>
      <c r="U1692" s="92"/>
      <c r="V1692" s="92"/>
      <c r="W1692" s="92"/>
      <c r="X1692" s="92"/>
      <c r="Y1692" s="92"/>
      <c r="Z1692" s="92"/>
      <c r="AA1692" s="92"/>
      <c r="AB1692" s="92"/>
      <c r="AC1692" s="92"/>
      <c r="AD1692" s="92"/>
    </row>
    <row r="1693" customHeight="1" spans="1:34">
      <c r="A1693" s="204" t="s">
        <v>12</v>
      </c>
      <c r="B1693" s="215" t="s">
        <v>771</v>
      </c>
      <c r="C1693" s="215"/>
      <c r="D1693" s="54"/>
      <c r="E1693" s="214">
        <f>G1686+G1692</f>
        <v>13.20177128</v>
      </c>
      <c r="F1693" s="222">
        <f>费率表!$I$6</f>
        <v>0.07</v>
      </c>
      <c r="G1693" s="216">
        <f t="shared" si="160"/>
        <v>0.9241239896</v>
      </c>
      <c r="S1693" s="92"/>
      <c r="T1693" s="92"/>
      <c r="U1693" s="92"/>
      <c r="V1693" s="92"/>
      <c r="W1693" s="92"/>
      <c r="X1693" s="92"/>
      <c r="Y1693" s="92"/>
      <c r="Z1693" s="92"/>
      <c r="AA1693" s="92"/>
      <c r="AB1693" s="92"/>
      <c r="AC1693" s="92"/>
      <c r="AD1693" s="92"/>
    </row>
    <row r="1694" customHeight="1" spans="1:34">
      <c r="A1694" s="204" t="s">
        <v>15</v>
      </c>
      <c r="B1694" s="215" t="s">
        <v>772</v>
      </c>
      <c r="C1694" s="215"/>
      <c r="D1694" s="54"/>
      <c r="E1694" s="214">
        <f>G1686+G1692+G1693</f>
        <v>14.1258952696</v>
      </c>
      <c r="F1694" s="222">
        <f>费率表!$I$7</f>
        <v>0.09</v>
      </c>
      <c r="G1694" s="216">
        <f t="shared" si="160"/>
        <v>1.271330574264</v>
      </c>
      <c r="S1694" s="92"/>
      <c r="T1694" s="92"/>
      <c r="U1694" s="92"/>
      <c r="V1694" s="92"/>
      <c r="W1694" s="92"/>
      <c r="X1694" s="92"/>
      <c r="Y1694" s="92"/>
      <c r="Z1694" s="92"/>
      <c r="AA1694" s="92"/>
      <c r="AB1694" s="92"/>
      <c r="AC1694" s="92"/>
      <c r="AD1694" s="92"/>
    </row>
    <row r="1695" customHeight="1" spans="1:34">
      <c r="A1695" s="204"/>
      <c r="B1695" s="215" t="s">
        <v>907</v>
      </c>
      <c r="C1695" s="215"/>
      <c r="D1695" s="54"/>
      <c r="E1695" s="214">
        <f>G1686+G1692+G1693+G1694</f>
        <v>15.397225843864</v>
      </c>
      <c r="F1695" s="222">
        <f>费率表!$B$19</f>
        <v>0.03</v>
      </c>
      <c r="G1695" s="216">
        <f t="shared" si="160"/>
        <v>0.46191677531592</v>
      </c>
      <c r="S1695" s="92"/>
      <c r="T1695" s="92"/>
      <c r="U1695" s="92"/>
      <c r="V1695" s="92"/>
      <c r="W1695" s="92"/>
      <c r="X1695" s="92"/>
      <c r="Y1695" s="92"/>
      <c r="Z1695" s="92"/>
      <c r="AA1695" s="92"/>
      <c r="AB1695" s="92"/>
      <c r="AC1695" s="92"/>
      <c r="AD1695" s="92"/>
    </row>
    <row r="1696" ht="21.75" customHeight="1" spans="1:34">
      <c r="A1696" s="223"/>
      <c r="B1696" s="224" t="s">
        <v>39</v>
      </c>
      <c r="C1696" s="224"/>
      <c r="D1696" s="224"/>
      <c r="E1696" s="225"/>
      <c r="F1696" s="224"/>
      <c r="G1696" s="226">
        <f>G1686+G1692+G1693+G1694+G1695</f>
        <v>15.8591426191799</v>
      </c>
      <c r="H1696" s="193"/>
      <c r="I1696" s="193"/>
      <c r="J1696" s="193"/>
      <c r="K1696" s="193"/>
      <c r="L1696" s="193"/>
      <c r="M1696" s="193"/>
      <c r="N1696" s="193"/>
      <c r="O1696" s="193"/>
      <c r="S1696" s="194"/>
      <c r="T1696" s="194"/>
      <c r="U1696" s="194"/>
      <c r="V1696" s="194"/>
      <c r="W1696" s="194"/>
      <c r="X1696" s="194"/>
      <c r="Y1696" s="194"/>
      <c r="Z1696" s="194"/>
      <c r="AA1696" s="194"/>
      <c r="AB1696" s="194"/>
      <c r="AC1696" s="194"/>
      <c r="AD1696" s="194"/>
      <c r="AE1696" s="195"/>
      <c r="AF1696" s="195"/>
      <c r="AG1696" s="195"/>
      <c r="AH1696" s="195"/>
    </row>
    <row r="1697" ht="21.75" customHeight="1" spans="1:34">
      <c r="H1697" s="193"/>
      <c r="I1697" s="193"/>
      <c r="J1697" s="193"/>
      <c r="K1697" s="193"/>
      <c r="L1697" s="193"/>
      <c r="M1697" s="193"/>
      <c r="N1697" s="193"/>
      <c r="O1697" s="193"/>
      <c r="S1697" s="194"/>
      <c r="T1697" s="194"/>
      <c r="U1697" s="194"/>
      <c r="V1697" s="194"/>
      <c r="W1697" s="194"/>
      <c r="X1697" s="194"/>
      <c r="Y1697" s="194"/>
      <c r="Z1697" s="194"/>
      <c r="AA1697" s="194"/>
      <c r="AB1697" s="194"/>
      <c r="AC1697" s="194"/>
      <c r="AD1697" s="194"/>
      <c r="AE1697" s="195"/>
      <c r="AF1697" s="195"/>
      <c r="AG1697" s="195"/>
      <c r="AH1697" s="195"/>
    </row>
    <row r="1698" ht="21.75" customHeight="1" spans="1:34">
      <c r="H1698" s="193"/>
      <c r="I1698" s="193"/>
      <c r="J1698" s="193"/>
      <c r="K1698" s="193"/>
      <c r="L1698" s="193"/>
      <c r="M1698" s="193"/>
      <c r="N1698" s="193"/>
      <c r="O1698" s="193"/>
      <c r="S1698" s="194"/>
      <c r="T1698" s="194"/>
      <c r="U1698" s="194"/>
      <c r="V1698" s="194"/>
      <c r="W1698" s="194"/>
      <c r="X1698" s="194"/>
      <c r="Y1698" s="194"/>
      <c r="Z1698" s="194"/>
      <c r="AA1698" s="194"/>
      <c r="AB1698" s="194"/>
      <c r="AC1698" s="194"/>
      <c r="AD1698" s="194"/>
      <c r="AE1698" s="195"/>
      <c r="AF1698" s="195"/>
      <c r="AG1698" s="195"/>
      <c r="AH1698" s="195"/>
    </row>
    <row r="1699" ht="21.75" customHeight="1" spans="1:34">
      <c r="H1699" s="193"/>
      <c r="I1699" s="193"/>
      <c r="J1699" s="193"/>
      <c r="K1699" s="193"/>
      <c r="L1699" s="193"/>
      <c r="M1699" s="193"/>
      <c r="N1699" s="193"/>
      <c r="O1699" s="193"/>
      <c r="S1699" s="194"/>
      <c r="T1699" s="194"/>
      <c r="U1699" s="194"/>
      <c r="V1699" s="194"/>
      <c r="W1699" s="194"/>
      <c r="X1699" s="194"/>
      <c r="Y1699" s="194"/>
      <c r="Z1699" s="194"/>
      <c r="AA1699" s="194"/>
      <c r="AB1699" s="194"/>
      <c r="AC1699" s="194"/>
      <c r="AD1699" s="194"/>
      <c r="AE1699" s="195"/>
      <c r="AF1699" s="195"/>
      <c r="AG1699" s="195"/>
      <c r="AH1699" s="195"/>
    </row>
    <row r="1700" ht="21.75" customHeight="1" spans="1:34">
      <c r="A1700" s="285" t="s">
        <v>868</v>
      </c>
      <c r="B1700" s="285"/>
      <c r="C1700" s="285"/>
      <c r="D1700" s="285"/>
      <c r="E1700" s="285"/>
      <c r="F1700" s="285"/>
      <c r="G1700" s="285"/>
      <c r="H1700" s="193"/>
      <c r="I1700" s="193"/>
      <c r="J1700" s="193"/>
      <c r="K1700" s="193"/>
      <c r="L1700" s="193"/>
      <c r="M1700" s="193"/>
      <c r="N1700" s="193"/>
      <c r="O1700" s="193"/>
      <c r="S1700" s="194"/>
      <c r="T1700" s="194"/>
      <c r="U1700" s="194"/>
      <c r="V1700" s="194"/>
      <c r="W1700" s="194"/>
      <c r="X1700" s="194"/>
      <c r="Y1700" s="194"/>
      <c r="Z1700" s="194"/>
      <c r="AA1700" s="194"/>
      <c r="AB1700" s="194"/>
      <c r="AC1700" s="194"/>
      <c r="AD1700" s="194"/>
      <c r="AE1700" s="195"/>
      <c r="AF1700" s="195"/>
      <c r="AG1700" s="195"/>
      <c r="AH1700" s="195"/>
    </row>
    <row r="1701" ht="21.75" customHeight="1" spans="1:34">
      <c r="A1701" s="286" t="s">
        <v>869</v>
      </c>
      <c r="B1701" s="287"/>
      <c r="C1701" s="200"/>
      <c r="D1701" s="200" t="s">
        <v>870</v>
      </c>
      <c r="E1701" s="201" t="s">
        <v>1500</v>
      </c>
      <c r="F1701" s="202"/>
      <c r="G1701" s="203"/>
      <c r="H1701" s="193"/>
      <c r="I1701" s="193"/>
      <c r="J1701" s="193"/>
      <c r="K1701" s="193"/>
      <c r="L1701" s="193"/>
      <c r="M1701" s="193"/>
      <c r="N1701" s="193"/>
      <c r="O1701" s="193"/>
      <c r="S1701" s="194"/>
      <c r="T1701" s="194"/>
      <c r="U1701" s="194"/>
      <c r="V1701" s="194"/>
      <c r="W1701" s="194"/>
      <c r="X1701" s="194"/>
      <c r="Y1701" s="194"/>
      <c r="Z1701" s="194"/>
      <c r="AA1701" s="194"/>
      <c r="AB1701" s="194"/>
      <c r="AC1701" s="194"/>
      <c r="AD1701" s="194"/>
      <c r="AE1701" s="195"/>
      <c r="AF1701" s="195"/>
      <c r="AG1701" s="195"/>
      <c r="AH1701" s="195"/>
    </row>
    <row r="1702" ht="21.75" customHeight="1" spans="1:34">
      <c r="A1702" s="288" t="s">
        <v>507</v>
      </c>
      <c r="B1702" s="289"/>
      <c r="C1702" s="290" t="s">
        <v>1501</v>
      </c>
      <c r="D1702" s="291"/>
      <c r="E1702" s="292"/>
      <c r="F1702" s="54" t="s">
        <v>873</v>
      </c>
      <c r="G1702" s="207" t="s">
        <v>589</v>
      </c>
      <c r="H1702" s="193"/>
      <c r="I1702" s="193"/>
      <c r="J1702" s="193"/>
      <c r="K1702" s="193"/>
      <c r="L1702" s="193"/>
      <c r="M1702" s="193"/>
      <c r="N1702" s="193"/>
      <c r="O1702" s="193"/>
      <c r="S1702" s="194"/>
      <c r="T1702" s="194"/>
      <c r="U1702" s="194"/>
      <c r="V1702" s="194"/>
      <c r="W1702" s="194"/>
      <c r="X1702" s="194"/>
      <c r="Y1702" s="194"/>
      <c r="Z1702" s="194"/>
      <c r="AA1702" s="194"/>
      <c r="AB1702" s="194"/>
      <c r="AC1702" s="194"/>
      <c r="AD1702" s="194"/>
      <c r="AE1702" s="195"/>
      <c r="AF1702" s="195"/>
      <c r="AG1702" s="195"/>
      <c r="AH1702" s="195"/>
    </row>
    <row r="1703" ht="21.75" customHeight="1" spans="1:34">
      <c r="A1703" s="293" t="s">
        <v>875</v>
      </c>
      <c r="B1703" s="291"/>
      <c r="C1703" s="291"/>
      <c r="D1703" s="291"/>
      <c r="E1703" s="291"/>
      <c r="F1703" s="291"/>
      <c r="G1703" s="294"/>
      <c r="H1703" s="193"/>
      <c r="I1703" s="193"/>
      <c r="J1703" s="193"/>
      <c r="K1703" s="193"/>
      <c r="L1703" s="193"/>
      <c r="M1703" s="193"/>
      <c r="N1703" s="193"/>
      <c r="O1703" s="193"/>
      <c r="S1703" s="194"/>
      <c r="T1703" s="194"/>
      <c r="U1703" s="194"/>
      <c r="V1703" s="194"/>
      <c r="W1703" s="194"/>
      <c r="X1703" s="194"/>
      <c r="Y1703" s="194"/>
      <c r="Z1703" s="194"/>
      <c r="AA1703" s="194"/>
      <c r="AB1703" s="194"/>
      <c r="AC1703" s="194"/>
      <c r="AD1703" s="194"/>
      <c r="AE1703" s="195"/>
      <c r="AF1703" s="195"/>
      <c r="AG1703" s="195"/>
      <c r="AH1703" s="195"/>
    </row>
    <row r="1704" ht="21.75" customHeight="1" spans="1:34">
      <c r="A1704" s="210" t="s">
        <v>1502</v>
      </c>
      <c r="B1704" s="211"/>
      <c r="C1704" s="211"/>
      <c r="D1704" s="211"/>
      <c r="E1704" s="211"/>
      <c r="F1704" s="211"/>
      <c r="G1704" s="295"/>
      <c r="H1704" s="193"/>
      <c r="I1704" s="193"/>
      <c r="J1704" s="193"/>
      <c r="K1704" s="193"/>
      <c r="L1704" s="193"/>
      <c r="M1704" s="193"/>
      <c r="N1704" s="193"/>
      <c r="O1704" s="193"/>
      <c r="S1704" s="194"/>
      <c r="T1704" s="194"/>
      <c r="U1704" s="194"/>
      <c r="V1704" s="194"/>
      <c r="W1704" s="194"/>
      <c r="X1704" s="194"/>
      <c r="Y1704" s="194"/>
      <c r="Z1704" s="194"/>
      <c r="AA1704" s="194"/>
      <c r="AB1704" s="194"/>
      <c r="AC1704" s="194"/>
      <c r="AD1704" s="194"/>
      <c r="AE1704" s="195"/>
      <c r="AF1704" s="195"/>
      <c r="AG1704" s="195"/>
      <c r="AH1704" s="195"/>
    </row>
    <row r="1705" ht="21.75" customHeight="1" spans="1:34">
      <c r="A1705" s="204" t="s">
        <v>34</v>
      </c>
      <c r="B1705" s="54" t="s">
        <v>761</v>
      </c>
      <c r="C1705" s="54"/>
      <c r="D1705" s="54" t="s">
        <v>60</v>
      </c>
      <c r="E1705" s="214" t="s">
        <v>877</v>
      </c>
      <c r="F1705" s="54" t="s">
        <v>878</v>
      </c>
      <c r="G1705" s="207" t="s">
        <v>879</v>
      </c>
      <c r="H1705" s="193"/>
      <c r="I1705" s="193"/>
      <c r="J1705" s="193"/>
      <c r="K1705" s="193"/>
      <c r="L1705" s="193"/>
      <c r="M1705" s="193"/>
      <c r="N1705" s="193"/>
      <c r="O1705" s="193"/>
      <c r="S1705" s="194"/>
      <c r="T1705" s="194"/>
      <c r="U1705" s="194"/>
      <c r="V1705" s="194"/>
      <c r="W1705" s="194"/>
      <c r="X1705" s="194"/>
      <c r="Y1705" s="194"/>
      <c r="Z1705" s="194"/>
      <c r="AA1705" s="194"/>
      <c r="AB1705" s="194"/>
      <c r="AC1705" s="194"/>
      <c r="AD1705" s="194"/>
      <c r="AE1705" s="195"/>
      <c r="AF1705" s="195"/>
      <c r="AG1705" s="195"/>
      <c r="AH1705" s="195"/>
    </row>
    <row r="1706" ht="21.75" customHeight="1" spans="1:34">
      <c r="A1706" s="204" t="s">
        <v>8</v>
      </c>
      <c r="B1706" s="215" t="s">
        <v>880</v>
      </c>
      <c r="C1706" s="215"/>
      <c r="D1706" s="54"/>
      <c r="E1706" s="214"/>
      <c r="F1706" s="214"/>
      <c r="G1706" s="216">
        <f>G1707+G1714</f>
        <v>7.604812</v>
      </c>
      <c r="H1706" s="193"/>
      <c r="I1706" s="193"/>
      <c r="J1706" s="193"/>
      <c r="K1706" s="193"/>
      <c r="L1706" s="193"/>
      <c r="M1706" s="193"/>
      <c r="N1706" s="193"/>
      <c r="O1706" s="193"/>
      <c r="S1706" s="194"/>
      <c r="T1706" s="194"/>
      <c r="U1706" s="194"/>
      <c r="V1706" s="194"/>
      <c r="W1706" s="194"/>
      <c r="X1706" s="194"/>
      <c r="Y1706" s="194"/>
      <c r="Z1706" s="194"/>
      <c r="AA1706" s="194"/>
      <c r="AB1706" s="194"/>
      <c r="AC1706" s="194"/>
      <c r="AD1706" s="194"/>
      <c r="AE1706" s="195"/>
      <c r="AF1706" s="195"/>
      <c r="AG1706" s="195"/>
      <c r="AH1706" s="195"/>
    </row>
    <row r="1707" ht="21.75" customHeight="1" spans="1:34">
      <c r="A1707" s="204" t="s">
        <v>881</v>
      </c>
      <c r="B1707" s="215" t="s">
        <v>882</v>
      </c>
      <c r="C1707" s="215"/>
      <c r="D1707" s="54"/>
      <c r="E1707" s="214"/>
      <c r="F1707" s="214"/>
      <c r="G1707" s="216">
        <f>G1708+G1711</f>
        <v>7.2565</v>
      </c>
      <c r="H1707" s="193"/>
      <c r="I1707" s="193"/>
      <c r="J1707" s="193"/>
      <c r="K1707" s="193"/>
      <c r="L1707" s="193"/>
      <c r="M1707" s="193"/>
      <c r="N1707" s="193"/>
      <c r="O1707" s="193"/>
      <c r="S1707" s="194"/>
      <c r="T1707" s="194"/>
      <c r="U1707" s="194"/>
      <c r="V1707" s="194"/>
      <c r="W1707" s="194"/>
      <c r="X1707" s="194"/>
      <c r="Y1707" s="194"/>
      <c r="Z1707" s="194"/>
      <c r="AA1707" s="194"/>
      <c r="AB1707" s="194"/>
      <c r="AC1707" s="194"/>
      <c r="AD1707" s="194"/>
      <c r="AE1707" s="195"/>
      <c r="AF1707" s="195"/>
      <c r="AG1707" s="195"/>
      <c r="AH1707" s="195"/>
    </row>
    <row r="1708" ht="21.75" customHeight="1" spans="1:34">
      <c r="A1708" s="204" t="s">
        <v>17</v>
      </c>
      <c r="B1708" s="215" t="s">
        <v>510</v>
      </c>
      <c r="C1708" s="215"/>
      <c r="D1708" s="54"/>
      <c r="E1708" s="214"/>
      <c r="F1708" s="214"/>
      <c r="G1708" s="216">
        <f>SUM(G1709:G1710)</f>
        <v>6.924</v>
      </c>
      <c r="H1708" s="193"/>
      <c r="I1708" s="193"/>
      <c r="J1708" s="193"/>
      <c r="K1708" s="193"/>
      <c r="L1708" s="193"/>
      <c r="M1708" s="193"/>
      <c r="N1708" s="193"/>
      <c r="O1708" s="193"/>
      <c r="S1708" s="194"/>
      <c r="T1708" s="194"/>
      <c r="U1708" s="194"/>
      <c r="V1708" s="194"/>
      <c r="W1708" s="194"/>
      <c r="X1708" s="194"/>
      <c r="Y1708" s="194"/>
      <c r="Z1708" s="194"/>
      <c r="AA1708" s="194"/>
      <c r="AB1708" s="194"/>
      <c r="AC1708" s="194"/>
      <c r="AD1708" s="194"/>
      <c r="AE1708" s="195"/>
      <c r="AF1708" s="195"/>
      <c r="AG1708" s="195"/>
      <c r="AH1708" s="195"/>
    </row>
    <row r="1709" ht="21.75" customHeight="1" spans="1:34">
      <c r="A1709" s="204"/>
      <c r="B1709" s="215" t="s">
        <v>704</v>
      </c>
      <c r="C1709" s="215"/>
      <c r="D1709" s="54" t="s">
        <v>705</v>
      </c>
      <c r="E1709" s="214"/>
      <c r="F1709" s="214">
        <f>主要材料预算!$D$19</f>
        <v>8.1</v>
      </c>
      <c r="G1709" s="216">
        <f>E1709*F1709</f>
        <v>0</v>
      </c>
      <c r="H1709" s="193"/>
      <c r="I1709" s="193"/>
      <c r="J1709" s="193"/>
      <c r="K1709" s="193"/>
      <c r="L1709" s="193"/>
      <c r="M1709" s="193"/>
      <c r="N1709" s="193"/>
      <c r="O1709" s="193"/>
      <c r="S1709" s="194"/>
      <c r="T1709" s="194"/>
      <c r="U1709" s="194"/>
      <c r="V1709" s="194"/>
      <c r="W1709" s="194"/>
      <c r="X1709" s="194"/>
      <c r="Y1709" s="194"/>
      <c r="Z1709" s="194"/>
      <c r="AA1709" s="194"/>
      <c r="AB1709" s="194"/>
      <c r="AC1709" s="194"/>
      <c r="AD1709" s="194"/>
      <c r="AE1709" s="195"/>
      <c r="AF1709" s="195"/>
      <c r="AG1709" s="195"/>
      <c r="AH1709" s="195"/>
    </row>
    <row r="1710" ht="21.75" customHeight="1" spans="1:34">
      <c r="A1710" s="204"/>
      <c r="B1710" s="215" t="s">
        <v>706</v>
      </c>
      <c r="C1710" s="215"/>
      <c r="D1710" s="54" t="s">
        <v>705</v>
      </c>
      <c r="E1710" s="217">
        <v>1.2</v>
      </c>
      <c r="F1710" s="214">
        <f>主要材料预算!$D$20</f>
        <v>5.77</v>
      </c>
      <c r="G1710" s="216">
        <f>E1710*F1710</f>
        <v>6.924</v>
      </c>
      <c r="H1710" s="193"/>
      <c r="I1710" s="193"/>
      <c r="J1710" s="193"/>
      <c r="K1710" s="193"/>
      <c r="L1710" s="193"/>
      <c r="M1710" s="193"/>
      <c r="N1710" s="193"/>
      <c r="O1710" s="193"/>
      <c r="S1710" s="194"/>
      <c r="T1710" s="194"/>
      <c r="U1710" s="194"/>
      <c r="V1710" s="194"/>
      <c r="W1710" s="194"/>
      <c r="X1710" s="194"/>
      <c r="Y1710" s="194"/>
      <c r="Z1710" s="194"/>
      <c r="AA1710" s="194"/>
      <c r="AB1710" s="194"/>
      <c r="AC1710" s="194"/>
      <c r="AD1710" s="194"/>
      <c r="AE1710" s="195"/>
      <c r="AF1710" s="195"/>
      <c r="AG1710" s="195"/>
      <c r="AH1710" s="195"/>
    </row>
    <row r="1711" ht="21.75" customHeight="1" spans="1:34">
      <c r="A1711" s="204" t="s">
        <v>19</v>
      </c>
      <c r="B1711" s="218" t="s">
        <v>511</v>
      </c>
      <c r="C1711" s="219"/>
      <c r="D1711" s="54"/>
      <c r="E1711" s="214"/>
      <c r="F1711" s="214"/>
      <c r="G1711" s="216">
        <f>SUM(G1712:G1713)</f>
        <v>0.3325</v>
      </c>
      <c r="H1711" s="193"/>
      <c r="I1711" s="193"/>
      <c r="J1711" s="193"/>
      <c r="K1711" s="193"/>
      <c r="L1711" s="193"/>
      <c r="M1711" s="193"/>
      <c r="N1711" s="193"/>
      <c r="O1711" s="193"/>
      <c r="S1711" s="194"/>
      <c r="T1711" s="194"/>
      <c r="U1711" s="194"/>
      <c r="V1711" s="194"/>
      <c r="W1711" s="194"/>
      <c r="X1711" s="194"/>
      <c r="Y1711" s="194"/>
      <c r="Z1711" s="194"/>
      <c r="AA1711" s="194"/>
      <c r="AB1711" s="194"/>
      <c r="AC1711" s="194"/>
      <c r="AD1711" s="194"/>
      <c r="AE1711" s="195"/>
      <c r="AF1711" s="195"/>
      <c r="AG1711" s="195"/>
      <c r="AH1711" s="195"/>
    </row>
    <row r="1712" ht="21.75" customHeight="1" spans="1:34">
      <c r="A1712" s="204"/>
      <c r="B1712" s="218" t="s">
        <v>1503</v>
      </c>
      <c r="C1712" s="219"/>
      <c r="D1712" s="54" t="s">
        <v>1142</v>
      </c>
      <c r="E1712" s="214">
        <v>0.025</v>
      </c>
      <c r="F1712" s="214">
        <f>基础材料!$D$30</f>
        <v>0.5</v>
      </c>
      <c r="G1712" s="216">
        <f t="shared" ref="G1712:G1718" si="161">E1712*F1712</f>
        <v>0.0125</v>
      </c>
      <c r="H1712" s="193"/>
      <c r="I1712" s="193"/>
      <c r="J1712" s="193"/>
      <c r="K1712" s="193"/>
      <c r="L1712" s="193"/>
      <c r="M1712" s="193"/>
      <c r="N1712" s="193"/>
      <c r="O1712" s="193"/>
      <c r="S1712" s="194"/>
      <c r="T1712" s="194"/>
      <c r="U1712" s="194"/>
      <c r="V1712" s="194"/>
      <c r="W1712" s="194"/>
      <c r="X1712" s="194"/>
      <c r="Y1712" s="194"/>
      <c r="Z1712" s="194"/>
      <c r="AA1712" s="194"/>
      <c r="AB1712" s="194"/>
      <c r="AC1712" s="194"/>
      <c r="AD1712" s="194"/>
      <c r="AE1712" s="195"/>
      <c r="AF1712" s="195"/>
      <c r="AG1712" s="195"/>
      <c r="AH1712" s="195"/>
    </row>
    <row r="1713" ht="21.75" customHeight="1" spans="1:34">
      <c r="A1713" s="204"/>
      <c r="B1713" s="296" t="s">
        <v>1504</v>
      </c>
      <c r="C1713" s="297"/>
      <c r="D1713" s="54" t="s">
        <v>204</v>
      </c>
      <c r="E1713" s="214">
        <v>0.1</v>
      </c>
      <c r="F1713" s="214">
        <f>基础材料!$D$33</f>
        <v>3.2</v>
      </c>
      <c r="G1713" s="216">
        <f t="shared" si="161"/>
        <v>0.32</v>
      </c>
      <c r="H1713" s="193"/>
      <c r="I1713" s="193"/>
      <c r="J1713" s="193"/>
      <c r="K1713" s="193"/>
      <c r="L1713" s="193"/>
      <c r="M1713" s="193"/>
      <c r="N1713" s="193"/>
      <c r="O1713" s="193"/>
      <c r="S1713" s="194"/>
      <c r="T1713" s="194"/>
      <c r="U1713" s="194"/>
      <c r="V1713" s="194"/>
      <c r="W1713" s="194"/>
      <c r="X1713" s="194"/>
      <c r="Y1713" s="194"/>
      <c r="Z1713" s="194"/>
      <c r="AA1713" s="194"/>
      <c r="AB1713" s="194"/>
      <c r="AC1713" s="194"/>
      <c r="AD1713" s="194"/>
      <c r="AE1713" s="195"/>
      <c r="AF1713" s="195"/>
      <c r="AG1713" s="195"/>
      <c r="AH1713" s="195"/>
    </row>
    <row r="1714" ht="21.75" customHeight="1" spans="1:34">
      <c r="A1714" s="204" t="s">
        <v>905</v>
      </c>
      <c r="B1714" s="215" t="s">
        <v>514</v>
      </c>
      <c r="C1714" s="215"/>
      <c r="D1714" s="54"/>
      <c r="E1714" s="220">
        <f>G1707</f>
        <v>7.2565</v>
      </c>
      <c r="F1714" s="221">
        <f>费率表!$I$4</f>
        <v>0.048</v>
      </c>
      <c r="G1714" s="216">
        <f t="shared" si="161"/>
        <v>0.348312</v>
      </c>
      <c r="H1714" s="193"/>
      <c r="I1714" s="193"/>
      <c r="J1714" s="193"/>
      <c r="K1714" s="193"/>
      <c r="L1714" s="193"/>
      <c r="M1714" s="193"/>
      <c r="N1714" s="193"/>
      <c r="O1714" s="193"/>
      <c r="S1714" s="194"/>
      <c r="T1714" s="194"/>
      <c r="U1714" s="194"/>
      <c r="V1714" s="194"/>
      <c r="W1714" s="194"/>
      <c r="X1714" s="194"/>
      <c r="Y1714" s="194"/>
      <c r="Z1714" s="194"/>
      <c r="AA1714" s="194"/>
      <c r="AB1714" s="194"/>
      <c r="AC1714" s="194"/>
      <c r="AD1714" s="194"/>
      <c r="AE1714" s="195"/>
      <c r="AF1714" s="195"/>
      <c r="AG1714" s="195"/>
      <c r="AH1714" s="195"/>
    </row>
    <row r="1715" ht="21.75" customHeight="1" spans="1:34">
      <c r="A1715" s="204" t="s">
        <v>10</v>
      </c>
      <c r="B1715" s="215" t="s">
        <v>770</v>
      </c>
      <c r="C1715" s="215"/>
      <c r="D1715" s="54"/>
      <c r="E1715" s="214">
        <f>G1706</f>
        <v>7.604812</v>
      </c>
      <c r="F1715" s="222">
        <f>费率表!$I$5</f>
        <v>0.07</v>
      </c>
      <c r="G1715" s="216">
        <f t="shared" si="161"/>
        <v>0.53233684</v>
      </c>
      <c r="H1715" s="193"/>
      <c r="I1715" s="193"/>
      <c r="J1715" s="193"/>
      <c r="K1715" s="193"/>
      <c r="L1715" s="193"/>
      <c r="M1715" s="193"/>
      <c r="N1715" s="193"/>
      <c r="O1715" s="193"/>
      <c r="S1715" s="194"/>
      <c r="T1715" s="194"/>
      <c r="U1715" s="194"/>
      <c r="V1715" s="194"/>
      <c r="W1715" s="194"/>
      <c r="X1715" s="194"/>
      <c r="Y1715" s="194"/>
      <c r="Z1715" s="194"/>
      <c r="AA1715" s="194"/>
      <c r="AB1715" s="194"/>
      <c r="AC1715" s="194"/>
      <c r="AD1715" s="194"/>
      <c r="AE1715" s="195"/>
      <c r="AF1715" s="195"/>
      <c r="AG1715" s="195"/>
      <c r="AH1715" s="195"/>
    </row>
    <row r="1716" ht="21.75" customHeight="1" spans="1:34">
      <c r="A1716" s="204" t="s">
        <v>12</v>
      </c>
      <c r="B1716" s="215" t="s">
        <v>771</v>
      </c>
      <c r="C1716" s="215"/>
      <c r="D1716" s="54"/>
      <c r="E1716" s="214">
        <f>G1706+G1715</f>
        <v>8.13714884</v>
      </c>
      <c r="F1716" s="222">
        <f>费率表!$I$6</f>
        <v>0.07</v>
      </c>
      <c r="G1716" s="216">
        <f t="shared" si="161"/>
        <v>0.5696004188</v>
      </c>
      <c r="H1716" s="193"/>
      <c r="I1716" s="193"/>
      <c r="J1716" s="193"/>
      <c r="K1716" s="193"/>
      <c r="L1716" s="193"/>
      <c r="M1716" s="193"/>
      <c r="N1716" s="193"/>
      <c r="O1716" s="193"/>
      <c r="S1716" s="194"/>
      <c r="T1716" s="194"/>
      <c r="U1716" s="194"/>
      <c r="V1716" s="194"/>
      <c r="W1716" s="194"/>
      <c r="X1716" s="194"/>
      <c r="Y1716" s="194"/>
      <c r="Z1716" s="194"/>
      <c r="AA1716" s="194"/>
      <c r="AB1716" s="194"/>
      <c r="AC1716" s="194"/>
      <c r="AD1716" s="194"/>
      <c r="AE1716" s="195"/>
      <c r="AF1716" s="195"/>
      <c r="AG1716" s="195"/>
      <c r="AH1716" s="195"/>
    </row>
    <row r="1717" ht="21.75" customHeight="1" spans="1:34">
      <c r="A1717" s="204" t="s">
        <v>15</v>
      </c>
      <c r="B1717" s="215" t="s">
        <v>772</v>
      </c>
      <c r="C1717" s="215"/>
      <c r="D1717" s="54"/>
      <c r="E1717" s="214">
        <f>G1706+G1715+G1716</f>
        <v>8.7067492588</v>
      </c>
      <c r="F1717" s="222">
        <f>费率表!$I$7</f>
        <v>0.09</v>
      </c>
      <c r="G1717" s="216">
        <f t="shared" si="161"/>
        <v>0.783607433292</v>
      </c>
      <c r="H1717" s="193"/>
      <c r="I1717" s="193"/>
      <c r="J1717" s="193"/>
      <c r="K1717" s="193"/>
      <c r="L1717" s="193"/>
      <c r="M1717" s="193"/>
      <c r="N1717" s="193"/>
      <c r="O1717" s="193"/>
      <c r="S1717" s="194"/>
      <c r="T1717" s="194"/>
      <c r="U1717" s="194"/>
      <c r="V1717" s="194"/>
      <c r="W1717" s="194"/>
      <c r="X1717" s="194"/>
      <c r="Y1717" s="194"/>
      <c r="Z1717" s="194"/>
      <c r="AA1717" s="194"/>
      <c r="AB1717" s="194"/>
      <c r="AC1717" s="194"/>
      <c r="AD1717" s="194"/>
      <c r="AE1717" s="195"/>
      <c r="AF1717" s="195"/>
      <c r="AG1717" s="195"/>
      <c r="AH1717" s="195"/>
    </row>
    <row r="1718" ht="21.75" customHeight="1" spans="1:34">
      <c r="A1718" s="204"/>
      <c r="B1718" s="215" t="s">
        <v>907</v>
      </c>
      <c r="C1718" s="215"/>
      <c r="D1718" s="54"/>
      <c r="E1718" s="214">
        <f>G1706+G1715+G1716+G1717</f>
        <v>9.490356692092</v>
      </c>
      <c r="F1718" s="222">
        <f>费率表!$B$19</f>
        <v>0.03</v>
      </c>
      <c r="G1718" s="216">
        <f t="shared" si="161"/>
        <v>0.28471070076276</v>
      </c>
      <c r="H1718" s="193"/>
      <c r="I1718" s="193"/>
      <c r="J1718" s="193"/>
      <c r="K1718" s="193"/>
      <c r="L1718" s="193"/>
      <c r="M1718" s="193"/>
      <c r="N1718" s="193"/>
      <c r="O1718" s="193"/>
      <c r="S1718" s="194"/>
      <c r="T1718" s="194"/>
      <c r="U1718" s="194"/>
      <c r="V1718" s="194"/>
      <c r="W1718" s="194"/>
      <c r="X1718" s="194"/>
      <c r="Y1718" s="194"/>
      <c r="Z1718" s="194"/>
      <c r="AA1718" s="194"/>
      <c r="AB1718" s="194"/>
      <c r="AC1718" s="194"/>
      <c r="AD1718" s="194"/>
      <c r="AE1718" s="195"/>
      <c r="AF1718" s="195"/>
      <c r="AG1718" s="195"/>
      <c r="AH1718" s="195"/>
    </row>
    <row r="1719" ht="21.75" customHeight="1" spans="1:34">
      <c r="A1719" s="223"/>
      <c r="B1719" s="224" t="s">
        <v>39</v>
      </c>
      <c r="C1719" s="224"/>
      <c r="D1719" s="224"/>
      <c r="E1719" s="225"/>
      <c r="F1719" s="224"/>
      <c r="G1719" s="226">
        <f>G1706+G1715+G1716+G1717+G1718</f>
        <v>9.77506739285476</v>
      </c>
      <c r="H1719" s="193"/>
      <c r="I1719" s="193"/>
      <c r="J1719" s="193"/>
      <c r="K1719" s="193"/>
      <c r="L1719" s="193"/>
      <c r="M1719" s="193"/>
      <c r="N1719" s="193"/>
      <c r="O1719" s="193"/>
      <c r="S1719" s="194"/>
      <c r="T1719" s="194"/>
      <c r="U1719" s="194"/>
      <c r="V1719" s="194"/>
      <c r="W1719" s="194"/>
      <c r="X1719" s="194"/>
      <c r="Y1719" s="194"/>
      <c r="Z1719" s="194"/>
      <c r="AA1719" s="194"/>
      <c r="AB1719" s="194"/>
      <c r="AC1719" s="194"/>
      <c r="AD1719" s="194"/>
      <c r="AE1719" s="195"/>
      <c r="AF1719" s="195"/>
      <c r="AG1719" s="195"/>
      <c r="AH1719" s="195"/>
    </row>
    <row r="1720" ht="21.75" customHeight="1" spans="1:34">
      <c r="H1720" s="193"/>
      <c r="I1720" s="193"/>
      <c r="J1720" s="193"/>
      <c r="K1720" s="193"/>
      <c r="L1720" s="193"/>
      <c r="M1720" s="193"/>
      <c r="N1720" s="193"/>
      <c r="O1720" s="193"/>
      <c r="S1720" s="194"/>
      <c r="T1720" s="194"/>
      <c r="U1720" s="194"/>
      <c r="V1720" s="194"/>
      <c r="W1720" s="194"/>
      <c r="X1720" s="194"/>
      <c r="Y1720" s="194"/>
      <c r="Z1720" s="194"/>
      <c r="AA1720" s="194"/>
      <c r="AB1720" s="194"/>
      <c r="AC1720" s="194"/>
      <c r="AD1720" s="194"/>
      <c r="AE1720" s="195"/>
      <c r="AF1720" s="195"/>
      <c r="AG1720" s="195"/>
      <c r="AH1720" s="195"/>
    </row>
    <row r="1721" ht="21.75" customHeight="1" spans="1:34">
      <c r="A1721" s="285" t="s">
        <v>868</v>
      </c>
      <c r="B1721" s="285"/>
      <c r="C1721" s="285"/>
      <c r="D1721" s="285"/>
      <c r="E1721" s="285"/>
      <c r="F1721" s="285"/>
      <c r="G1721" s="285"/>
      <c r="H1721" s="193"/>
      <c r="I1721" s="193"/>
      <c r="J1721" s="193"/>
      <c r="K1721" s="193"/>
      <c r="L1721" s="193"/>
      <c r="M1721" s="193"/>
      <c r="N1721" s="193"/>
      <c r="O1721" s="193"/>
      <c r="S1721" s="194"/>
      <c r="T1721" s="194"/>
      <c r="U1721" s="194"/>
      <c r="V1721" s="194"/>
      <c r="W1721" s="194"/>
      <c r="X1721" s="194"/>
      <c r="Y1721" s="194"/>
      <c r="Z1721" s="194"/>
      <c r="AA1721" s="194"/>
      <c r="AB1721" s="194"/>
      <c r="AC1721" s="194"/>
      <c r="AD1721" s="194"/>
      <c r="AE1721" s="195"/>
      <c r="AF1721" s="195"/>
      <c r="AG1721" s="195"/>
      <c r="AH1721" s="195"/>
    </row>
    <row r="1722" ht="21.75" customHeight="1" spans="1:34">
      <c r="A1722" s="286" t="s">
        <v>869</v>
      </c>
      <c r="B1722" s="287"/>
      <c r="C1722" s="200"/>
      <c r="D1722" s="200" t="s">
        <v>870</v>
      </c>
      <c r="E1722" s="201" t="s">
        <v>1505</v>
      </c>
      <c r="F1722" s="202"/>
      <c r="G1722" s="203"/>
      <c r="H1722" s="193"/>
      <c r="I1722" s="193"/>
      <c r="J1722" s="193"/>
      <c r="K1722" s="193"/>
      <c r="L1722" s="193"/>
      <c r="M1722" s="193"/>
      <c r="N1722" s="193"/>
      <c r="O1722" s="193"/>
      <c r="S1722" s="194"/>
      <c r="T1722" s="194"/>
      <c r="U1722" s="194"/>
      <c r="V1722" s="194"/>
      <c r="W1722" s="194"/>
      <c r="X1722" s="194"/>
      <c r="Y1722" s="194"/>
      <c r="Z1722" s="194"/>
      <c r="AA1722" s="194"/>
      <c r="AB1722" s="194"/>
      <c r="AC1722" s="194"/>
      <c r="AD1722" s="194"/>
      <c r="AE1722" s="195"/>
      <c r="AF1722" s="195"/>
      <c r="AG1722" s="195"/>
      <c r="AH1722" s="195"/>
    </row>
    <row r="1723" ht="21.75" customHeight="1" spans="1:34">
      <c r="A1723" s="288" t="s">
        <v>507</v>
      </c>
      <c r="B1723" s="289"/>
      <c r="C1723" s="290" t="s">
        <v>1506</v>
      </c>
      <c r="D1723" s="291"/>
      <c r="E1723" s="292"/>
      <c r="F1723" s="54" t="s">
        <v>873</v>
      </c>
      <c r="G1723" s="207" t="s">
        <v>589</v>
      </c>
      <c r="H1723" s="193"/>
      <c r="I1723" s="193"/>
      <c r="J1723" s="193"/>
      <c r="K1723" s="193"/>
      <c r="L1723" s="193"/>
      <c r="M1723" s="193"/>
      <c r="N1723" s="193"/>
      <c r="O1723" s="193"/>
      <c r="S1723" s="194"/>
      <c r="T1723" s="194"/>
      <c r="U1723" s="194"/>
      <c r="V1723" s="194"/>
      <c r="W1723" s="194"/>
      <c r="X1723" s="194"/>
      <c r="Y1723" s="194"/>
      <c r="Z1723" s="194"/>
      <c r="AA1723" s="194"/>
      <c r="AB1723" s="194"/>
      <c r="AC1723" s="194"/>
      <c r="AD1723" s="194"/>
      <c r="AE1723" s="195"/>
      <c r="AF1723" s="195"/>
      <c r="AG1723" s="195"/>
      <c r="AH1723" s="195"/>
    </row>
    <row r="1724" ht="21.75" customHeight="1" spans="1:34">
      <c r="A1724" s="293" t="s">
        <v>875</v>
      </c>
      <c r="B1724" s="291"/>
      <c r="C1724" s="291"/>
      <c r="D1724" s="291"/>
      <c r="E1724" s="291"/>
      <c r="F1724" s="291"/>
      <c r="G1724" s="294"/>
      <c r="H1724" s="193"/>
      <c r="I1724" s="193"/>
      <c r="J1724" s="193"/>
      <c r="K1724" s="193"/>
      <c r="L1724" s="193"/>
      <c r="M1724" s="193"/>
      <c r="N1724" s="193"/>
      <c r="O1724" s="193"/>
      <c r="S1724" s="194"/>
      <c r="T1724" s="194"/>
      <c r="U1724" s="194"/>
      <c r="V1724" s="194"/>
      <c r="W1724" s="194"/>
      <c r="X1724" s="194"/>
      <c r="Y1724" s="194"/>
      <c r="Z1724" s="194"/>
      <c r="AA1724" s="194"/>
      <c r="AB1724" s="194"/>
      <c r="AC1724" s="194"/>
      <c r="AD1724" s="194"/>
      <c r="AE1724" s="195"/>
      <c r="AF1724" s="195"/>
      <c r="AG1724" s="195"/>
      <c r="AH1724" s="195"/>
    </row>
    <row r="1725" customHeight="1" spans="1:34">
      <c r="A1725" s="210" t="s">
        <v>1502</v>
      </c>
      <c r="B1725" s="211"/>
      <c r="C1725" s="211"/>
      <c r="D1725" s="211"/>
      <c r="E1725" s="211"/>
      <c r="F1725" s="211"/>
      <c r="G1725" s="295"/>
      <c r="H1725" s="193"/>
      <c r="I1725" s="193"/>
      <c r="J1725" s="193"/>
      <c r="K1725" s="193"/>
      <c r="L1725" s="193"/>
      <c r="M1725" s="193"/>
      <c r="N1725" s="193"/>
      <c r="O1725" s="193"/>
      <c r="S1725" s="194"/>
      <c r="T1725" s="194"/>
      <c r="U1725" s="194"/>
      <c r="V1725" s="194"/>
      <c r="W1725" s="194"/>
      <c r="X1725" s="194"/>
      <c r="Y1725" s="194"/>
      <c r="Z1725" s="194"/>
      <c r="AA1725" s="194"/>
      <c r="AB1725" s="194"/>
      <c r="AC1725" s="194"/>
      <c r="AD1725" s="194"/>
      <c r="AE1725" s="195"/>
      <c r="AF1725" s="195"/>
      <c r="AG1725" s="195"/>
      <c r="AH1725" s="195"/>
    </row>
    <row r="1726" customHeight="1" spans="1:34">
      <c r="A1726" s="204" t="s">
        <v>34</v>
      </c>
      <c r="B1726" s="54" t="s">
        <v>761</v>
      </c>
      <c r="C1726" s="54"/>
      <c r="D1726" s="54" t="s">
        <v>60</v>
      </c>
      <c r="E1726" s="214" t="s">
        <v>877</v>
      </c>
      <c r="F1726" s="54" t="s">
        <v>878</v>
      </c>
      <c r="G1726" s="207" t="s">
        <v>879</v>
      </c>
      <c r="H1726" s="193"/>
      <c r="I1726" s="193"/>
      <c r="J1726" s="193"/>
      <c r="K1726" s="193"/>
      <c r="L1726" s="193"/>
      <c r="M1726" s="193"/>
      <c r="N1726" s="193"/>
      <c r="O1726" s="193"/>
      <c r="S1726" s="194"/>
      <c r="T1726" s="194"/>
      <c r="U1726" s="194"/>
      <c r="V1726" s="194"/>
      <c r="W1726" s="194"/>
      <c r="X1726" s="194"/>
      <c r="Y1726" s="194"/>
      <c r="Z1726" s="194"/>
      <c r="AA1726" s="194"/>
      <c r="AB1726" s="194"/>
      <c r="AC1726" s="194"/>
      <c r="AD1726" s="194"/>
      <c r="AE1726" s="195"/>
      <c r="AF1726" s="195"/>
      <c r="AG1726" s="195"/>
      <c r="AH1726" s="195"/>
    </row>
    <row r="1727" customHeight="1" spans="1:34">
      <c r="A1727" s="204" t="s">
        <v>8</v>
      </c>
      <c r="B1727" s="215" t="s">
        <v>880</v>
      </c>
      <c r="C1727" s="215"/>
      <c r="D1727" s="54"/>
      <c r="E1727" s="214"/>
      <c r="F1727" s="214"/>
      <c r="G1727" s="216">
        <f>G1728+G1735</f>
        <v>13.29126</v>
      </c>
      <c r="H1727" s="193"/>
      <c r="I1727" s="193"/>
      <c r="J1727" s="193"/>
      <c r="K1727" s="193"/>
      <c r="L1727" s="193"/>
      <c r="M1727" s="193"/>
      <c r="N1727" s="193"/>
      <c r="O1727" s="193"/>
      <c r="S1727" s="194"/>
      <c r="T1727" s="194"/>
      <c r="U1727" s="194"/>
      <c r="V1727" s="194"/>
      <c r="W1727" s="194"/>
      <c r="X1727" s="194"/>
      <c r="Y1727" s="194"/>
      <c r="Z1727" s="194"/>
      <c r="AA1727" s="194"/>
      <c r="AB1727" s="194"/>
      <c r="AC1727" s="194"/>
      <c r="AD1727" s="194"/>
      <c r="AE1727" s="195"/>
      <c r="AF1727" s="195"/>
      <c r="AG1727" s="195"/>
      <c r="AH1727" s="195"/>
    </row>
    <row r="1728" customHeight="1" spans="1:34">
      <c r="A1728" s="204" t="s">
        <v>881</v>
      </c>
      <c r="B1728" s="215" t="s">
        <v>882</v>
      </c>
      <c r="C1728" s="215"/>
      <c r="D1728" s="54"/>
      <c r="E1728" s="214"/>
      <c r="F1728" s="214"/>
      <c r="G1728" s="216">
        <f>G1729+G1732</f>
        <v>12.6825</v>
      </c>
      <c r="H1728" s="193"/>
      <c r="I1728" s="193"/>
      <c r="J1728" s="193"/>
      <c r="K1728" s="193"/>
      <c r="L1728" s="193"/>
      <c r="M1728" s="193"/>
      <c r="N1728" s="193"/>
      <c r="O1728" s="193"/>
      <c r="S1728" s="194"/>
      <c r="T1728" s="194"/>
      <c r="U1728" s="194"/>
      <c r="V1728" s="194"/>
      <c r="W1728" s="194"/>
      <c r="X1728" s="194"/>
      <c r="Y1728" s="194"/>
      <c r="Z1728" s="194"/>
      <c r="AA1728" s="194"/>
      <c r="AB1728" s="194"/>
      <c r="AC1728" s="194"/>
      <c r="AD1728" s="194"/>
      <c r="AE1728" s="195"/>
      <c r="AF1728" s="195"/>
      <c r="AG1728" s="195"/>
      <c r="AH1728" s="195"/>
    </row>
    <row r="1729" customHeight="1" spans="1:34">
      <c r="A1729" s="204" t="s">
        <v>17</v>
      </c>
      <c r="B1729" s="215" t="s">
        <v>510</v>
      </c>
      <c r="C1729" s="215"/>
      <c r="D1729" s="54"/>
      <c r="E1729" s="214"/>
      <c r="F1729" s="214"/>
      <c r="G1729" s="216">
        <f>SUM(G1730:G1731)</f>
        <v>12.35</v>
      </c>
      <c r="H1729" s="193"/>
      <c r="I1729" s="193"/>
      <c r="J1729" s="193"/>
      <c r="K1729" s="193"/>
      <c r="L1729" s="193"/>
      <c r="M1729" s="193"/>
      <c r="N1729" s="193"/>
      <c r="O1729" s="193"/>
      <c r="S1729" s="194"/>
      <c r="T1729" s="194"/>
      <c r="U1729" s="194"/>
      <c r="V1729" s="194"/>
      <c r="W1729" s="194"/>
      <c r="X1729" s="194"/>
      <c r="Y1729" s="194"/>
      <c r="Z1729" s="194"/>
      <c r="AA1729" s="194"/>
      <c r="AB1729" s="194"/>
      <c r="AC1729" s="194"/>
      <c r="AD1729" s="194"/>
      <c r="AE1729" s="195"/>
      <c r="AF1729" s="195"/>
      <c r="AG1729" s="195"/>
      <c r="AH1729" s="195"/>
    </row>
    <row r="1730" customHeight="1" spans="1:34">
      <c r="A1730" s="204"/>
      <c r="B1730" s="215" t="s">
        <v>704</v>
      </c>
      <c r="C1730" s="215"/>
      <c r="D1730" s="54" t="s">
        <v>705</v>
      </c>
      <c r="E1730" s="217">
        <v>0.1</v>
      </c>
      <c r="F1730" s="214">
        <f>主要材料预算!$D$19</f>
        <v>8.1</v>
      </c>
      <c r="G1730" s="216">
        <f>E1730*F1730</f>
        <v>0.81</v>
      </c>
      <c r="H1730" s="193"/>
      <c r="I1730" s="193"/>
      <c r="J1730" s="193"/>
      <c r="K1730" s="193"/>
      <c r="L1730" s="193"/>
      <c r="M1730" s="193"/>
      <c r="N1730" s="193"/>
      <c r="O1730" s="193"/>
      <c r="S1730" s="194"/>
      <c r="T1730" s="194"/>
      <c r="U1730" s="194"/>
      <c r="V1730" s="194"/>
      <c r="W1730" s="194"/>
      <c r="X1730" s="194"/>
      <c r="Y1730" s="194"/>
      <c r="Z1730" s="194"/>
      <c r="AA1730" s="194"/>
      <c r="AB1730" s="194"/>
      <c r="AC1730" s="194"/>
      <c r="AD1730" s="194"/>
      <c r="AE1730" s="195"/>
      <c r="AF1730" s="195"/>
      <c r="AG1730" s="195"/>
      <c r="AH1730" s="195"/>
    </row>
    <row r="1731" customHeight="1" spans="1:34">
      <c r="A1731" s="204"/>
      <c r="B1731" s="215" t="s">
        <v>706</v>
      </c>
      <c r="C1731" s="215"/>
      <c r="D1731" s="54" t="s">
        <v>705</v>
      </c>
      <c r="E1731" s="217">
        <v>2</v>
      </c>
      <c r="F1731" s="214">
        <f>主要材料预算!$D$20</f>
        <v>5.77</v>
      </c>
      <c r="G1731" s="216">
        <f>E1731*F1731</f>
        <v>11.54</v>
      </c>
      <c r="H1731" s="193"/>
      <c r="I1731" s="193"/>
      <c r="J1731" s="193"/>
      <c r="K1731" s="193"/>
      <c r="L1731" s="193"/>
      <c r="M1731" s="193"/>
      <c r="N1731" s="193"/>
      <c r="O1731" s="193"/>
      <c r="S1731" s="194"/>
      <c r="T1731" s="194"/>
      <c r="U1731" s="194"/>
      <c r="V1731" s="194"/>
      <c r="W1731" s="194"/>
      <c r="X1731" s="194"/>
      <c r="Y1731" s="194"/>
      <c r="Z1731" s="194"/>
      <c r="AA1731" s="194"/>
      <c r="AB1731" s="194"/>
      <c r="AC1731" s="194"/>
      <c r="AD1731" s="194"/>
      <c r="AE1731" s="195"/>
      <c r="AF1731" s="195"/>
      <c r="AG1731" s="195"/>
      <c r="AH1731" s="195"/>
    </row>
    <row r="1732" customHeight="1" spans="1:34">
      <c r="A1732" s="204" t="s">
        <v>19</v>
      </c>
      <c r="B1732" s="218" t="s">
        <v>511</v>
      </c>
      <c r="C1732" s="219"/>
      <c r="D1732" s="54"/>
      <c r="E1732" s="214"/>
      <c r="F1732" s="214"/>
      <c r="G1732" s="216">
        <f>SUM(G1733:G1734)</f>
        <v>0.3325</v>
      </c>
      <c r="H1732" s="193"/>
      <c r="I1732" s="193"/>
      <c r="J1732" s="193"/>
      <c r="K1732" s="193"/>
      <c r="L1732" s="193"/>
      <c r="M1732" s="193"/>
      <c r="N1732" s="193"/>
      <c r="O1732" s="193"/>
      <c r="S1732" s="194"/>
      <c r="T1732" s="194"/>
      <c r="U1732" s="194"/>
      <c r="V1732" s="194"/>
      <c r="W1732" s="194"/>
      <c r="X1732" s="194"/>
      <c r="Y1732" s="194"/>
      <c r="Z1732" s="194"/>
      <c r="AA1732" s="194"/>
      <c r="AB1732" s="194"/>
      <c r="AC1732" s="194"/>
      <c r="AD1732" s="194"/>
      <c r="AE1732" s="195"/>
      <c r="AF1732" s="195"/>
      <c r="AG1732" s="195"/>
      <c r="AH1732" s="195"/>
    </row>
    <row r="1733" customHeight="1" spans="1:34">
      <c r="A1733" s="204"/>
      <c r="B1733" s="218" t="s">
        <v>1503</v>
      </c>
      <c r="C1733" s="219"/>
      <c r="D1733" s="54" t="s">
        <v>1142</v>
      </c>
      <c r="E1733" s="214">
        <v>0.025</v>
      </c>
      <c r="F1733" s="214">
        <f>基础材料!$D$30</f>
        <v>0.5</v>
      </c>
      <c r="G1733" s="216">
        <f t="shared" ref="G1733:G1739" si="162">E1733*F1733</f>
        <v>0.0125</v>
      </c>
      <c r="H1733" s="193"/>
      <c r="I1733" s="193"/>
      <c r="J1733" s="193"/>
      <c r="K1733" s="193"/>
      <c r="L1733" s="193"/>
      <c r="M1733" s="193"/>
      <c r="N1733" s="193"/>
      <c r="O1733" s="193"/>
      <c r="S1733" s="194"/>
      <c r="T1733" s="194"/>
      <c r="U1733" s="194"/>
      <c r="V1733" s="194"/>
      <c r="W1733" s="194"/>
      <c r="X1733" s="194"/>
      <c r="Y1733" s="194"/>
      <c r="Z1733" s="194"/>
      <c r="AA1733" s="194"/>
      <c r="AB1733" s="194"/>
      <c r="AC1733" s="194"/>
      <c r="AD1733" s="194"/>
      <c r="AE1733" s="195"/>
      <c r="AF1733" s="195"/>
      <c r="AG1733" s="195"/>
      <c r="AH1733" s="195"/>
    </row>
    <row r="1734" customHeight="1" spans="1:34">
      <c r="A1734" s="204"/>
      <c r="B1734" s="296" t="s">
        <v>1504</v>
      </c>
      <c r="C1734" s="297"/>
      <c r="D1734" s="54" t="s">
        <v>204</v>
      </c>
      <c r="E1734" s="214">
        <v>0.1</v>
      </c>
      <c r="F1734" s="214">
        <f>基础材料!$D$33</f>
        <v>3.2</v>
      </c>
      <c r="G1734" s="216">
        <f t="shared" si="162"/>
        <v>0.32</v>
      </c>
      <c r="H1734" s="193"/>
      <c r="I1734" s="193"/>
      <c r="J1734" s="193"/>
      <c r="K1734" s="193"/>
      <c r="L1734" s="193"/>
      <c r="M1734" s="193"/>
      <c r="N1734" s="193"/>
      <c r="O1734" s="193"/>
      <c r="S1734" s="194"/>
      <c r="T1734" s="194"/>
      <c r="U1734" s="194"/>
      <c r="V1734" s="194"/>
      <c r="W1734" s="194"/>
      <c r="X1734" s="194"/>
      <c r="Y1734" s="194"/>
      <c r="Z1734" s="194"/>
      <c r="AA1734" s="194"/>
      <c r="AB1734" s="194"/>
      <c r="AC1734" s="194"/>
      <c r="AD1734" s="194"/>
      <c r="AE1734" s="195"/>
      <c r="AF1734" s="195"/>
      <c r="AG1734" s="195"/>
      <c r="AH1734" s="195"/>
    </row>
    <row r="1735" customHeight="1" spans="1:34">
      <c r="A1735" s="204" t="s">
        <v>905</v>
      </c>
      <c r="B1735" s="215" t="s">
        <v>514</v>
      </c>
      <c r="C1735" s="215"/>
      <c r="D1735" s="54"/>
      <c r="E1735" s="220">
        <f>G1728</f>
        <v>12.6825</v>
      </c>
      <c r="F1735" s="221">
        <f>费率表!$I$4</f>
        <v>0.048</v>
      </c>
      <c r="G1735" s="216">
        <f t="shared" si="162"/>
        <v>0.60876</v>
      </c>
      <c r="H1735" s="193"/>
      <c r="I1735" s="193"/>
      <c r="J1735" s="193"/>
      <c r="K1735" s="193"/>
      <c r="L1735" s="193"/>
      <c r="M1735" s="193"/>
      <c r="N1735" s="193"/>
      <c r="O1735" s="193"/>
      <c r="S1735" s="194"/>
      <c r="T1735" s="194"/>
      <c r="U1735" s="194"/>
      <c r="V1735" s="194"/>
      <c r="W1735" s="194"/>
      <c r="X1735" s="194"/>
      <c r="Y1735" s="194"/>
      <c r="Z1735" s="194"/>
      <c r="AA1735" s="194"/>
      <c r="AB1735" s="194"/>
      <c r="AC1735" s="194"/>
      <c r="AD1735" s="194"/>
      <c r="AE1735" s="195"/>
      <c r="AF1735" s="195"/>
      <c r="AG1735" s="195"/>
      <c r="AH1735" s="195"/>
    </row>
    <row r="1736" customHeight="1" spans="1:34">
      <c r="A1736" s="204" t="s">
        <v>10</v>
      </c>
      <c r="B1736" s="215" t="s">
        <v>770</v>
      </c>
      <c r="C1736" s="215"/>
      <c r="D1736" s="54"/>
      <c r="E1736" s="214">
        <f>G1727</f>
        <v>13.29126</v>
      </c>
      <c r="F1736" s="222">
        <f>费率表!$I$5</f>
        <v>0.07</v>
      </c>
      <c r="G1736" s="216">
        <f t="shared" si="162"/>
        <v>0.9303882</v>
      </c>
      <c r="H1736" s="193"/>
      <c r="I1736" s="193"/>
      <c r="J1736" s="193"/>
      <c r="K1736" s="193"/>
      <c r="L1736" s="193"/>
      <c r="M1736" s="193"/>
      <c r="N1736" s="193"/>
      <c r="O1736" s="193"/>
      <c r="S1736" s="194"/>
      <c r="T1736" s="194"/>
      <c r="U1736" s="194"/>
      <c r="V1736" s="194"/>
      <c r="W1736" s="194"/>
      <c r="X1736" s="194"/>
      <c r="Y1736" s="194"/>
      <c r="Z1736" s="194"/>
      <c r="AA1736" s="194"/>
      <c r="AB1736" s="194"/>
      <c r="AC1736" s="194"/>
      <c r="AD1736" s="194"/>
      <c r="AE1736" s="195"/>
      <c r="AF1736" s="195"/>
      <c r="AG1736" s="195"/>
      <c r="AH1736" s="195"/>
    </row>
    <row r="1737" customHeight="1" spans="1:34">
      <c r="A1737" s="204" t="s">
        <v>12</v>
      </c>
      <c r="B1737" s="215" t="s">
        <v>771</v>
      </c>
      <c r="C1737" s="215"/>
      <c r="D1737" s="54"/>
      <c r="E1737" s="214">
        <f>G1727+G1736</f>
        <v>14.2216482</v>
      </c>
      <c r="F1737" s="222">
        <f>费率表!$I$6</f>
        <v>0.07</v>
      </c>
      <c r="G1737" s="216">
        <f t="shared" si="162"/>
        <v>0.995515374</v>
      </c>
      <c r="H1737" s="193"/>
      <c r="I1737" s="193"/>
      <c r="J1737" s="193"/>
      <c r="K1737" s="193"/>
      <c r="L1737" s="193"/>
      <c r="M1737" s="193"/>
      <c r="N1737" s="193"/>
      <c r="O1737" s="193"/>
      <c r="S1737" s="194"/>
      <c r="T1737" s="194"/>
      <c r="U1737" s="194"/>
      <c r="V1737" s="194"/>
      <c r="W1737" s="194"/>
      <c r="X1737" s="194"/>
      <c r="Y1737" s="194"/>
      <c r="Z1737" s="194"/>
      <c r="AA1737" s="194"/>
      <c r="AB1737" s="194"/>
      <c r="AC1737" s="194"/>
      <c r="AD1737" s="194"/>
      <c r="AE1737" s="195"/>
      <c r="AF1737" s="195"/>
      <c r="AG1737" s="195"/>
      <c r="AH1737" s="195"/>
    </row>
    <row r="1738" customHeight="1" spans="1:34">
      <c r="A1738" s="204" t="s">
        <v>15</v>
      </c>
      <c r="B1738" s="215" t="s">
        <v>772</v>
      </c>
      <c r="C1738" s="215"/>
      <c r="D1738" s="54"/>
      <c r="E1738" s="214">
        <f>G1727+G1736+G1737</f>
        <v>15.217163574</v>
      </c>
      <c r="F1738" s="222">
        <f>费率表!$I$7</f>
        <v>0.09</v>
      </c>
      <c r="G1738" s="216">
        <f t="shared" si="162"/>
        <v>1.36954472166</v>
      </c>
      <c r="H1738" s="193"/>
      <c r="I1738" s="193"/>
      <c r="J1738" s="193"/>
      <c r="K1738" s="193"/>
      <c r="L1738" s="193"/>
      <c r="M1738" s="193"/>
      <c r="N1738" s="193"/>
      <c r="O1738" s="193"/>
      <c r="S1738" s="194"/>
      <c r="T1738" s="194"/>
      <c r="U1738" s="194"/>
      <c r="V1738" s="194"/>
      <c r="W1738" s="194"/>
      <c r="X1738" s="194"/>
      <c r="Y1738" s="194"/>
      <c r="Z1738" s="194"/>
      <c r="AA1738" s="194"/>
      <c r="AB1738" s="194"/>
      <c r="AC1738" s="194"/>
      <c r="AD1738" s="194"/>
      <c r="AE1738" s="195"/>
      <c r="AF1738" s="195"/>
      <c r="AG1738" s="195"/>
      <c r="AH1738" s="195"/>
    </row>
    <row r="1739" customHeight="1" spans="1:34">
      <c r="A1739" s="204"/>
      <c r="B1739" s="215" t="s">
        <v>907</v>
      </c>
      <c r="C1739" s="215"/>
      <c r="D1739" s="54"/>
      <c r="E1739" s="214">
        <f>G1727+G1736+G1737+G1738</f>
        <v>16.58670829566</v>
      </c>
      <c r="F1739" s="222">
        <f>费率表!$B$19</f>
        <v>0.03</v>
      </c>
      <c r="G1739" s="216">
        <f t="shared" si="162"/>
        <v>0.4976012488698</v>
      </c>
      <c r="H1739" s="193"/>
      <c r="I1739" s="193"/>
      <c r="J1739" s="193"/>
      <c r="K1739" s="193"/>
      <c r="L1739" s="193"/>
      <c r="M1739" s="193"/>
      <c r="N1739" s="193"/>
      <c r="O1739" s="193"/>
      <c r="S1739" s="194"/>
      <c r="T1739" s="194"/>
      <c r="U1739" s="194"/>
      <c r="V1739" s="194"/>
      <c r="W1739" s="194"/>
      <c r="X1739" s="194"/>
      <c r="Y1739" s="194"/>
      <c r="Z1739" s="194"/>
      <c r="AA1739" s="194"/>
      <c r="AB1739" s="194"/>
      <c r="AC1739" s="194"/>
      <c r="AD1739" s="194"/>
      <c r="AE1739" s="195"/>
      <c r="AF1739" s="195"/>
      <c r="AG1739" s="195"/>
      <c r="AH1739" s="195"/>
    </row>
    <row r="1740" customHeight="1" spans="1:34">
      <c r="A1740" s="223"/>
      <c r="B1740" s="224" t="s">
        <v>39</v>
      </c>
      <c r="C1740" s="224"/>
      <c r="D1740" s="224"/>
      <c r="E1740" s="225"/>
      <c r="F1740" s="224"/>
      <c r="G1740" s="226">
        <f>G1727+G1736+G1737+G1738+G1739</f>
        <v>17.0843095445298</v>
      </c>
      <c r="H1740" s="193"/>
      <c r="I1740" s="193"/>
      <c r="J1740" s="193"/>
      <c r="K1740" s="193"/>
      <c r="L1740" s="193"/>
      <c r="M1740" s="193"/>
      <c r="N1740" s="193"/>
      <c r="O1740" s="193"/>
      <c r="S1740" s="194"/>
      <c r="T1740" s="194"/>
      <c r="U1740" s="194"/>
      <c r="V1740" s="194"/>
      <c r="W1740" s="194"/>
      <c r="X1740" s="194"/>
      <c r="Y1740" s="194"/>
      <c r="Z1740" s="194"/>
      <c r="AA1740" s="194"/>
      <c r="AB1740" s="194"/>
      <c r="AC1740" s="194"/>
      <c r="AD1740" s="194"/>
      <c r="AE1740" s="195"/>
      <c r="AF1740" s="195"/>
      <c r="AG1740" s="195"/>
      <c r="AH1740" s="195"/>
    </row>
    <row r="1741" customHeight="1" spans="1:34">
      <c r="H1741" s="193"/>
      <c r="I1741" s="193"/>
      <c r="J1741" s="193"/>
      <c r="K1741" s="193"/>
      <c r="L1741" s="193"/>
      <c r="M1741" s="193"/>
      <c r="N1741" s="193"/>
      <c r="O1741" s="193"/>
      <c r="S1741" s="194"/>
      <c r="T1741" s="194"/>
      <c r="U1741" s="194"/>
      <c r="V1741" s="194"/>
      <c r="W1741" s="194"/>
      <c r="X1741" s="194"/>
      <c r="Y1741" s="194"/>
      <c r="Z1741" s="194"/>
      <c r="AA1741" s="194"/>
      <c r="AB1741" s="194"/>
      <c r="AC1741" s="194"/>
      <c r="AD1741" s="194"/>
      <c r="AE1741" s="195"/>
      <c r="AF1741" s="195"/>
      <c r="AG1741" s="195"/>
      <c r="AH1741" s="195"/>
    </row>
    <row r="1742" customHeight="1" spans="1:34">
      <c r="H1742" s="193"/>
      <c r="I1742" s="193"/>
      <c r="J1742" s="193"/>
      <c r="K1742" s="193"/>
      <c r="L1742" s="193"/>
      <c r="M1742" s="193"/>
      <c r="N1742" s="193"/>
      <c r="O1742" s="193"/>
      <c r="S1742" s="194"/>
      <c r="T1742" s="194"/>
      <c r="U1742" s="194"/>
      <c r="V1742" s="194"/>
      <c r="W1742" s="194"/>
      <c r="X1742" s="194"/>
      <c r="Y1742" s="194"/>
      <c r="Z1742" s="194"/>
      <c r="AA1742" s="194"/>
      <c r="AB1742" s="194"/>
      <c r="AC1742" s="194"/>
      <c r="AD1742" s="194"/>
      <c r="AE1742" s="195"/>
      <c r="AF1742" s="195"/>
      <c r="AG1742" s="195"/>
      <c r="AH1742" s="195"/>
    </row>
    <row r="1743" customHeight="1" spans="1:34">
      <c r="A1743" s="285" t="s">
        <v>868</v>
      </c>
      <c r="B1743" s="285"/>
      <c r="C1743" s="285"/>
      <c r="D1743" s="285"/>
      <c r="E1743" s="285"/>
      <c r="F1743" s="285"/>
      <c r="G1743" s="285"/>
      <c r="H1743" s="193"/>
      <c r="I1743" s="193"/>
      <c r="J1743" s="193"/>
      <c r="K1743" s="193"/>
      <c r="L1743" s="193"/>
      <c r="M1743" s="193"/>
      <c r="N1743" s="193"/>
      <c r="O1743" s="193"/>
      <c r="S1743" s="194"/>
      <c r="T1743" s="194"/>
      <c r="U1743" s="194"/>
      <c r="V1743" s="194"/>
      <c r="W1743" s="194"/>
      <c r="X1743" s="194"/>
      <c r="Y1743" s="194"/>
      <c r="Z1743" s="194"/>
      <c r="AA1743" s="194"/>
      <c r="AB1743" s="194"/>
      <c r="AC1743" s="194"/>
      <c r="AD1743" s="194"/>
      <c r="AE1743" s="195"/>
      <c r="AF1743" s="195"/>
      <c r="AG1743" s="195"/>
      <c r="AH1743" s="195"/>
    </row>
    <row r="1744" customHeight="1" spans="1:34">
      <c r="A1744" s="286" t="s">
        <v>869</v>
      </c>
      <c r="B1744" s="287"/>
      <c r="C1744" s="200"/>
      <c r="D1744" s="200" t="s">
        <v>870</v>
      </c>
      <c r="E1744" s="201" t="s">
        <v>1507</v>
      </c>
      <c r="F1744" s="202"/>
      <c r="G1744" s="203"/>
      <c r="H1744" s="193"/>
      <c r="I1744" s="193"/>
      <c r="J1744" s="193"/>
      <c r="K1744" s="193"/>
      <c r="L1744" s="193"/>
      <c r="M1744" s="193"/>
      <c r="N1744" s="193"/>
      <c r="O1744" s="193"/>
      <c r="S1744" s="194"/>
      <c r="T1744" s="194"/>
      <c r="U1744" s="194"/>
      <c r="V1744" s="194"/>
      <c r="W1744" s="194"/>
      <c r="X1744" s="194"/>
      <c r="Y1744" s="194"/>
      <c r="Z1744" s="194"/>
      <c r="AA1744" s="194"/>
      <c r="AB1744" s="194"/>
      <c r="AC1744" s="194"/>
      <c r="AD1744" s="194"/>
      <c r="AE1744" s="195"/>
      <c r="AF1744" s="195"/>
      <c r="AG1744" s="195"/>
      <c r="AH1744" s="195"/>
    </row>
    <row r="1745" customHeight="1" spans="1:34">
      <c r="A1745" s="288" t="s">
        <v>507</v>
      </c>
      <c r="B1745" s="289"/>
      <c r="C1745" s="290" t="s">
        <v>1508</v>
      </c>
      <c r="D1745" s="291"/>
      <c r="E1745" s="292"/>
      <c r="F1745" s="54" t="s">
        <v>873</v>
      </c>
      <c r="G1745" s="207" t="s">
        <v>592</v>
      </c>
      <c r="H1745" s="193"/>
      <c r="I1745" s="193"/>
      <c r="J1745" s="193"/>
      <c r="K1745" s="193"/>
      <c r="L1745" s="193"/>
      <c r="M1745" s="193"/>
      <c r="N1745" s="193"/>
      <c r="O1745" s="193"/>
      <c r="S1745" s="194"/>
      <c r="T1745" s="194"/>
      <c r="U1745" s="194"/>
      <c r="V1745" s="194"/>
      <c r="W1745" s="194"/>
      <c r="X1745" s="194"/>
      <c r="Y1745" s="194"/>
      <c r="Z1745" s="194"/>
      <c r="AA1745" s="194"/>
      <c r="AB1745" s="194"/>
      <c r="AC1745" s="194"/>
      <c r="AD1745" s="194"/>
      <c r="AE1745" s="195"/>
      <c r="AF1745" s="195"/>
      <c r="AG1745" s="195"/>
      <c r="AH1745" s="195"/>
    </row>
    <row r="1746" customHeight="1" spans="1:34">
      <c r="A1746" s="293" t="s">
        <v>875</v>
      </c>
      <c r="B1746" s="291"/>
      <c r="C1746" s="291"/>
      <c r="D1746" s="291"/>
      <c r="E1746" s="291"/>
      <c r="F1746" s="291"/>
      <c r="G1746" s="294"/>
      <c r="H1746" s="193"/>
      <c r="I1746" s="193"/>
      <c r="J1746" s="193"/>
      <c r="K1746" s="193"/>
      <c r="L1746" s="193"/>
      <c r="M1746" s="193"/>
      <c r="N1746" s="193"/>
      <c r="O1746" s="193"/>
      <c r="S1746" s="194"/>
      <c r="T1746" s="194"/>
      <c r="U1746" s="194"/>
      <c r="V1746" s="194"/>
      <c r="W1746" s="194"/>
      <c r="X1746" s="194"/>
      <c r="Y1746" s="194"/>
      <c r="Z1746" s="194"/>
      <c r="AA1746" s="194"/>
      <c r="AB1746" s="194"/>
      <c r="AC1746" s="194"/>
      <c r="AD1746" s="194"/>
      <c r="AE1746" s="195"/>
      <c r="AF1746" s="195"/>
      <c r="AG1746" s="195"/>
      <c r="AH1746" s="195"/>
    </row>
    <row r="1747" customHeight="1" spans="1:34">
      <c r="A1747" s="210" t="s">
        <v>1509</v>
      </c>
      <c r="B1747" s="211"/>
      <c r="C1747" s="211"/>
      <c r="D1747" s="211"/>
      <c r="E1747" s="211"/>
      <c r="F1747" s="211"/>
      <c r="G1747" s="295"/>
      <c r="H1747" s="193"/>
      <c r="I1747" s="193"/>
      <c r="J1747" s="193"/>
      <c r="K1747" s="193"/>
      <c r="L1747" s="193"/>
      <c r="M1747" s="193"/>
      <c r="N1747" s="193"/>
      <c r="O1747" s="193"/>
      <c r="S1747" s="194"/>
      <c r="T1747" s="194"/>
      <c r="U1747" s="194"/>
      <c r="V1747" s="194"/>
      <c r="W1747" s="194"/>
      <c r="X1747" s="194"/>
      <c r="Y1747" s="194"/>
      <c r="Z1747" s="194"/>
      <c r="AA1747" s="194"/>
      <c r="AB1747" s="194"/>
      <c r="AC1747" s="194"/>
      <c r="AD1747" s="194"/>
      <c r="AE1747" s="195"/>
      <c r="AF1747" s="195"/>
      <c r="AG1747" s="195"/>
      <c r="AH1747" s="195"/>
    </row>
    <row r="1748" customHeight="1" spans="1:34">
      <c r="A1748" s="204" t="s">
        <v>34</v>
      </c>
      <c r="B1748" s="54" t="s">
        <v>761</v>
      </c>
      <c r="C1748" s="54"/>
      <c r="D1748" s="54" t="s">
        <v>60</v>
      </c>
      <c r="E1748" s="214" t="s">
        <v>877</v>
      </c>
      <c r="F1748" s="54" t="s">
        <v>878</v>
      </c>
      <c r="G1748" s="207" t="s">
        <v>879</v>
      </c>
      <c r="H1748" s="193"/>
      <c r="I1748" s="193"/>
      <c r="J1748" s="193"/>
      <c r="K1748" s="193"/>
      <c r="L1748" s="193"/>
      <c r="M1748" s="193"/>
      <c r="N1748" s="193"/>
      <c r="O1748" s="193"/>
      <c r="S1748" s="194"/>
      <c r="T1748" s="194"/>
      <c r="U1748" s="194"/>
      <c r="V1748" s="194"/>
      <c r="W1748" s="194"/>
      <c r="X1748" s="194"/>
      <c r="Y1748" s="194"/>
      <c r="Z1748" s="194"/>
      <c r="AA1748" s="194"/>
      <c r="AB1748" s="194"/>
      <c r="AC1748" s="194"/>
      <c r="AD1748" s="194"/>
      <c r="AE1748" s="195"/>
      <c r="AF1748" s="195"/>
      <c r="AG1748" s="195"/>
      <c r="AH1748" s="195"/>
    </row>
    <row r="1749" customHeight="1" spans="1:34">
      <c r="A1749" s="204" t="s">
        <v>8</v>
      </c>
      <c r="B1749" s="215" t="s">
        <v>880</v>
      </c>
      <c r="C1749" s="215"/>
      <c r="D1749" s="54"/>
      <c r="E1749" s="214"/>
      <c r="F1749" s="214"/>
      <c r="G1749" s="216">
        <f>G1750+G1761</f>
        <v>1773.76186412176</v>
      </c>
      <c r="H1749" s="193"/>
      <c r="I1749" s="193"/>
      <c r="J1749" s="193"/>
      <c r="K1749" s="193"/>
      <c r="L1749" s="193"/>
      <c r="M1749" s="193"/>
      <c r="N1749" s="193"/>
      <c r="O1749" s="193"/>
      <c r="S1749" s="194"/>
      <c r="T1749" s="194"/>
      <c r="U1749" s="194"/>
      <c r="V1749" s="194"/>
      <c r="W1749" s="194"/>
      <c r="X1749" s="194"/>
      <c r="Y1749" s="194"/>
      <c r="Z1749" s="194"/>
      <c r="AA1749" s="194"/>
      <c r="AB1749" s="194"/>
      <c r="AC1749" s="194"/>
      <c r="AD1749" s="194"/>
      <c r="AE1749" s="195"/>
      <c r="AF1749" s="195"/>
      <c r="AG1749" s="195"/>
      <c r="AH1749" s="195"/>
    </row>
    <row r="1750" customHeight="1" spans="1:34">
      <c r="A1750" s="204" t="s">
        <v>881</v>
      </c>
      <c r="B1750" s="215" t="s">
        <v>882</v>
      </c>
      <c r="C1750" s="215"/>
      <c r="D1750" s="54"/>
      <c r="E1750" s="214"/>
      <c r="F1750" s="214"/>
      <c r="G1750" s="216">
        <f>G1751+G1754+G1758</f>
        <v>1692.52086271161</v>
      </c>
      <c r="H1750" s="193"/>
      <c r="I1750" s="193"/>
      <c r="J1750" s="193"/>
      <c r="K1750" s="193"/>
      <c r="L1750" s="193"/>
      <c r="M1750" s="193"/>
      <c r="N1750" s="193"/>
      <c r="O1750" s="193"/>
      <c r="S1750" s="194"/>
      <c r="T1750" s="194"/>
      <c r="U1750" s="194"/>
      <c r="V1750" s="194"/>
      <c r="W1750" s="194"/>
      <c r="X1750" s="194"/>
      <c r="Y1750" s="194"/>
      <c r="Z1750" s="194"/>
      <c r="AA1750" s="194"/>
      <c r="AB1750" s="194"/>
      <c r="AC1750" s="194"/>
      <c r="AD1750" s="194"/>
      <c r="AE1750" s="195"/>
      <c r="AF1750" s="195"/>
      <c r="AG1750" s="195"/>
      <c r="AH1750" s="195"/>
    </row>
    <row r="1751" customHeight="1" spans="1:34">
      <c r="A1751" s="204" t="s">
        <v>17</v>
      </c>
      <c r="B1751" s="215" t="s">
        <v>510</v>
      </c>
      <c r="C1751" s="215"/>
      <c r="D1751" s="54"/>
      <c r="E1751" s="214"/>
      <c r="F1751" s="214"/>
      <c r="G1751" s="216">
        <f>SUM(G1752:G1753)</f>
        <v>1513.07</v>
      </c>
      <c r="H1751" s="193"/>
      <c r="I1751" s="193"/>
      <c r="J1751" s="193"/>
      <c r="K1751" s="193"/>
      <c r="L1751" s="193"/>
      <c r="M1751" s="193"/>
      <c r="N1751" s="193"/>
      <c r="O1751" s="193"/>
      <c r="S1751" s="194"/>
      <c r="T1751" s="194"/>
      <c r="U1751" s="194"/>
      <c r="V1751" s="194"/>
      <c r="W1751" s="194"/>
      <c r="X1751" s="194"/>
      <c r="Y1751" s="194"/>
      <c r="Z1751" s="194"/>
      <c r="AA1751" s="194"/>
      <c r="AB1751" s="194"/>
      <c r="AC1751" s="194"/>
      <c r="AD1751" s="194"/>
      <c r="AE1751" s="195"/>
      <c r="AF1751" s="195"/>
      <c r="AG1751" s="195"/>
      <c r="AH1751" s="195"/>
    </row>
    <row r="1752" customHeight="1" spans="1:34">
      <c r="A1752" s="204"/>
      <c r="B1752" s="215" t="s">
        <v>704</v>
      </c>
      <c r="C1752" s="215"/>
      <c r="D1752" s="54" t="s">
        <v>705</v>
      </c>
      <c r="E1752" s="214">
        <v>8</v>
      </c>
      <c r="F1752" s="214">
        <f>主要材料预算!$D$19</f>
        <v>8.1</v>
      </c>
      <c r="G1752" s="216">
        <f t="shared" ref="G1752:G1757" si="163">E1752*F1752</f>
        <v>64.8</v>
      </c>
      <c r="H1752" s="193"/>
      <c r="I1752" s="193"/>
      <c r="J1752" s="193"/>
      <c r="K1752" s="193"/>
      <c r="L1752" s="193"/>
      <c r="M1752" s="193"/>
      <c r="N1752" s="193"/>
      <c r="O1752" s="193"/>
      <c r="S1752" s="194"/>
      <c r="T1752" s="194"/>
      <c r="U1752" s="194"/>
      <c r="V1752" s="194"/>
      <c r="W1752" s="194"/>
      <c r="X1752" s="194"/>
      <c r="Y1752" s="194"/>
      <c r="Z1752" s="194"/>
      <c r="AA1752" s="194"/>
      <c r="AB1752" s="194"/>
      <c r="AC1752" s="194"/>
      <c r="AD1752" s="194"/>
      <c r="AE1752" s="195"/>
      <c r="AF1752" s="195"/>
      <c r="AG1752" s="195"/>
      <c r="AH1752" s="195"/>
    </row>
    <row r="1753" customHeight="1" spans="1:34">
      <c r="A1753" s="204"/>
      <c r="B1753" s="215" t="s">
        <v>706</v>
      </c>
      <c r="C1753" s="215"/>
      <c r="D1753" s="54" t="s">
        <v>705</v>
      </c>
      <c r="E1753" s="217">
        <v>251</v>
      </c>
      <c r="F1753" s="214">
        <f>主要材料预算!$D$20</f>
        <v>5.77</v>
      </c>
      <c r="G1753" s="216">
        <f t="shared" si="163"/>
        <v>1448.27</v>
      </c>
      <c r="H1753" s="193"/>
      <c r="I1753" s="193"/>
      <c r="J1753" s="193"/>
      <c r="K1753" s="193"/>
      <c r="L1753" s="193"/>
      <c r="M1753" s="193"/>
      <c r="N1753" s="193"/>
      <c r="O1753" s="193"/>
      <c r="S1753" s="194"/>
      <c r="T1753" s="194"/>
      <c r="U1753" s="194"/>
      <c r="V1753" s="194"/>
      <c r="W1753" s="194"/>
      <c r="X1753" s="194"/>
      <c r="Y1753" s="194"/>
      <c r="Z1753" s="194"/>
      <c r="AA1753" s="194"/>
      <c r="AB1753" s="194"/>
      <c r="AC1753" s="194"/>
      <c r="AD1753" s="194"/>
      <c r="AE1753" s="195"/>
      <c r="AF1753" s="195"/>
      <c r="AG1753" s="195"/>
      <c r="AH1753" s="195"/>
    </row>
    <row r="1754" customHeight="1" spans="1:34">
      <c r="A1754" s="204" t="s">
        <v>19</v>
      </c>
      <c r="B1754" s="218" t="s">
        <v>511</v>
      </c>
      <c r="C1754" s="219"/>
      <c r="D1754" s="54"/>
      <c r="E1754" s="214"/>
      <c r="F1754" s="214"/>
      <c r="G1754" s="216">
        <f>SUM(G1755:G1757)</f>
        <v>94</v>
      </c>
      <c r="H1754" s="193"/>
      <c r="I1754" s="193"/>
      <c r="J1754" s="193"/>
      <c r="K1754" s="193"/>
      <c r="L1754" s="193"/>
      <c r="M1754" s="193"/>
      <c r="N1754" s="193"/>
      <c r="O1754" s="193"/>
      <c r="S1754" s="194"/>
      <c r="T1754" s="194"/>
      <c r="U1754" s="194"/>
      <c r="V1754" s="194"/>
      <c r="W1754" s="194"/>
      <c r="X1754" s="194"/>
      <c r="Y1754" s="194"/>
      <c r="Z1754" s="194"/>
      <c r="AA1754" s="194"/>
      <c r="AB1754" s="194"/>
      <c r="AC1754" s="194"/>
      <c r="AD1754" s="194"/>
      <c r="AE1754" s="195"/>
      <c r="AF1754" s="195"/>
      <c r="AG1754" s="195"/>
      <c r="AH1754" s="195"/>
    </row>
    <row r="1755" customHeight="1" spans="1:34">
      <c r="A1755" s="204"/>
      <c r="B1755" s="218" t="s">
        <v>1503</v>
      </c>
      <c r="C1755" s="219"/>
      <c r="D1755" s="54" t="s">
        <v>1142</v>
      </c>
      <c r="E1755" s="214">
        <v>20</v>
      </c>
      <c r="F1755" s="214">
        <f>基础材料!$D$30</f>
        <v>0.5</v>
      </c>
      <c r="G1755" s="216">
        <f t="shared" si="163"/>
        <v>10</v>
      </c>
      <c r="H1755" s="193"/>
      <c r="I1755" s="193"/>
      <c r="J1755" s="193"/>
      <c r="K1755" s="193"/>
      <c r="L1755" s="193"/>
      <c r="M1755" s="193"/>
      <c r="N1755" s="193"/>
      <c r="O1755" s="193"/>
      <c r="S1755" s="194"/>
      <c r="T1755" s="194"/>
      <c r="U1755" s="194"/>
      <c r="V1755" s="194"/>
      <c r="W1755" s="194"/>
      <c r="X1755" s="194"/>
      <c r="Y1755" s="194"/>
      <c r="Z1755" s="194"/>
      <c r="AA1755" s="194"/>
      <c r="AB1755" s="194"/>
      <c r="AC1755" s="194"/>
      <c r="AD1755" s="194"/>
      <c r="AE1755" s="195"/>
      <c r="AF1755" s="195"/>
      <c r="AG1755" s="195"/>
      <c r="AH1755" s="195"/>
    </row>
    <row r="1756" customHeight="1" spans="1:34">
      <c r="A1756" s="204"/>
      <c r="B1756" s="218" t="s">
        <v>1510</v>
      </c>
      <c r="C1756" s="219"/>
      <c r="D1756" s="54" t="s">
        <v>695</v>
      </c>
      <c r="E1756" s="214">
        <v>4.8</v>
      </c>
      <c r="F1756" s="214">
        <f>基础材料!$D$31</f>
        <v>1.5</v>
      </c>
      <c r="G1756" s="216">
        <f t="shared" si="163"/>
        <v>7.2</v>
      </c>
      <c r="H1756" s="193"/>
      <c r="I1756" s="193"/>
      <c r="J1756" s="193"/>
      <c r="K1756" s="193"/>
      <c r="L1756" s="193"/>
      <c r="M1756" s="193"/>
      <c r="N1756" s="193"/>
      <c r="O1756" s="193"/>
      <c r="S1756" s="194"/>
      <c r="T1756" s="194"/>
      <c r="U1756" s="194"/>
      <c r="V1756" s="194"/>
      <c r="W1756" s="194"/>
      <c r="X1756" s="194"/>
      <c r="Y1756" s="194"/>
      <c r="Z1756" s="194"/>
      <c r="AA1756" s="194"/>
      <c r="AB1756" s="194"/>
      <c r="AC1756" s="194"/>
      <c r="AD1756" s="194"/>
      <c r="AE1756" s="195"/>
      <c r="AF1756" s="195"/>
      <c r="AG1756" s="195"/>
      <c r="AH1756" s="195"/>
    </row>
    <row r="1757" customHeight="1" spans="1:34">
      <c r="A1757" s="204"/>
      <c r="B1757" s="296" t="s">
        <v>1504</v>
      </c>
      <c r="C1757" s="297"/>
      <c r="D1757" s="54" t="s">
        <v>204</v>
      </c>
      <c r="E1757" s="214">
        <v>24</v>
      </c>
      <c r="F1757" s="214">
        <f>基础材料!$D$33</f>
        <v>3.2</v>
      </c>
      <c r="G1757" s="216">
        <f t="shared" si="163"/>
        <v>76.8</v>
      </c>
      <c r="H1757" s="193"/>
      <c r="I1757" s="193"/>
      <c r="J1757" s="193"/>
      <c r="K1757" s="193"/>
      <c r="L1757" s="193"/>
      <c r="M1757" s="193"/>
      <c r="N1757" s="193"/>
      <c r="O1757" s="193"/>
      <c r="S1757" s="194"/>
      <c r="T1757" s="194"/>
      <c r="U1757" s="194"/>
      <c r="V1757" s="194"/>
      <c r="W1757" s="194"/>
      <c r="X1757" s="194"/>
      <c r="Y1757" s="194"/>
      <c r="Z1757" s="194"/>
      <c r="AA1757" s="194"/>
      <c r="AB1757" s="194"/>
      <c r="AC1757" s="194"/>
      <c r="AD1757" s="194"/>
      <c r="AE1757" s="195"/>
      <c r="AF1757" s="195"/>
      <c r="AG1757" s="195"/>
      <c r="AH1757" s="195"/>
    </row>
    <row r="1758" customHeight="1" spans="1:34">
      <c r="A1758" s="204" t="s">
        <v>21</v>
      </c>
      <c r="B1758" s="215" t="s">
        <v>895</v>
      </c>
      <c r="C1758" s="215"/>
      <c r="D1758" s="215"/>
      <c r="E1758" s="214"/>
      <c r="F1758" s="214"/>
      <c r="G1758" s="216">
        <f>SUM(G1759:G1760)</f>
        <v>85.4508627116075</v>
      </c>
      <c r="H1758" s="193"/>
      <c r="I1758" s="193"/>
      <c r="J1758" s="193"/>
      <c r="K1758" s="193"/>
      <c r="L1758" s="193"/>
      <c r="M1758" s="193"/>
      <c r="N1758" s="193"/>
      <c r="O1758" s="193"/>
      <c r="S1758" s="194"/>
      <c r="T1758" s="194"/>
      <c r="U1758" s="194"/>
      <c r="V1758" s="194"/>
      <c r="W1758" s="194"/>
      <c r="X1758" s="194"/>
      <c r="Y1758" s="194"/>
      <c r="Z1758" s="194"/>
      <c r="AA1758" s="194"/>
      <c r="AB1758" s="194"/>
      <c r="AC1758" s="194"/>
      <c r="AD1758" s="194"/>
      <c r="AE1758" s="195"/>
      <c r="AF1758" s="195"/>
      <c r="AG1758" s="195"/>
      <c r="AH1758" s="195"/>
    </row>
    <row r="1759" customHeight="1" spans="1:34">
      <c r="A1759" s="204"/>
      <c r="B1759" s="218" t="s">
        <v>1511</v>
      </c>
      <c r="C1759" s="219"/>
      <c r="D1759" s="54" t="s">
        <v>896</v>
      </c>
      <c r="E1759" s="214">
        <v>3</v>
      </c>
      <c r="F1759" s="214">
        <f>施工机械台时费!$E$65</f>
        <v>25.1400007977663</v>
      </c>
      <c r="G1759" s="216">
        <f t="shared" ref="G1759:G1763" si="164">E1759*F1759</f>
        <v>75.4200023932988</v>
      </c>
      <c r="H1759" s="193"/>
      <c r="I1759" s="193"/>
      <c r="J1759" s="193"/>
      <c r="K1759" s="193"/>
      <c r="L1759" s="193"/>
      <c r="M1759" s="193"/>
      <c r="N1759" s="193"/>
      <c r="O1759" s="193"/>
      <c r="S1759" s="194"/>
      <c r="T1759" s="194"/>
      <c r="U1759" s="194"/>
      <c r="V1759" s="194"/>
      <c r="W1759" s="194"/>
      <c r="X1759" s="194"/>
      <c r="Y1759" s="194"/>
      <c r="Z1759" s="194"/>
      <c r="AA1759" s="194"/>
      <c r="AB1759" s="194"/>
      <c r="AC1759" s="194"/>
      <c r="AD1759" s="194"/>
      <c r="AE1759" s="195"/>
      <c r="AF1759" s="195"/>
      <c r="AG1759" s="195"/>
      <c r="AH1759" s="195"/>
    </row>
    <row r="1760" customHeight="1" spans="1:34">
      <c r="A1760" s="204"/>
      <c r="B1760" s="218" t="s">
        <v>902</v>
      </c>
      <c r="C1760" s="219"/>
      <c r="D1760" s="54" t="s">
        <v>894</v>
      </c>
      <c r="E1760" s="214">
        <f>SUM(G1759:G1759)</f>
        <v>75.4200023932988</v>
      </c>
      <c r="F1760" s="214">
        <v>13.3</v>
      </c>
      <c r="G1760" s="216">
        <f>E1760*F1760/100</f>
        <v>10.0308603183087</v>
      </c>
      <c r="H1760" s="193"/>
      <c r="I1760" s="193"/>
      <c r="J1760" s="193"/>
      <c r="K1760" s="193"/>
      <c r="L1760" s="193"/>
      <c r="M1760" s="193"/>
      <c r="N1760" s="193"/>
      <c r="O1760" s="193"/>
      <c r="S1760" s="194"/>
      <c r="T1760" s="194"/>
      <c r="U1760" s="194"/>
      <c r="V1760" s="194"/>
      <c r="W1760" s="194"/>
      <c r="X1760" s="194"/>
      <c r="Y1760" s="194"/>
      <c r="Z1760" s="194"/>
      <c r="AA1760" s="194"/>
      <c r="AB1760" s="194"/>
      <c r="AC1760" s="194"/>
      <c r="AD1760" s="194"/>
      <c r="AE1760" s="195"/>
      <c r="AF1760" s="195"/>
      <c r="AG1760" s="195"/>
      <c r="AH1760" s="195"/>
    </row>
    <row r="1761" customHeight="1" spans="1:34">
      <c r="A1761" s="204" t="s">
        <v>905</v>
      </c>
      <c r="B1761" s="215" t="s">
        <v>514</v>
      </c>
      <c r="C1761" s="215"/>
      <c r="D1761" s="54"/>
      <c r="E1761" s="220">
        <f>G1750</f>
        <v>1692.52086271161</v>
      </c>
      <c r="F1761" s="221">
        <f>费率表!$I$4</f>
        <v>0.048</v>
      </c>
      <c r="G1761" s="216">
        <f t="shared" si="164"/>
        <v>81.2410014101572</v>
      </c>
      <c r="H1761" s="193"/>
      <c r="I1761" s="193"/>
      <c r="J1761" s="193"/>
      <c r="K1761" s="193"/>
      <c r="L1761" s="193"/>
      <c r="M1761" s="193"/>
      <c r="N1761" s="193"/>
      <c r="O1761" s="193"/>
      <c r="S1761" s="194"/>
      <c r="T1761" s="194"/>
      <c r="U1761" s="194"/>
      <c r="V1761" s="194"/>
      <c r="W1761" s="194"/>
      <c r="X1761" s="194"/>
      <c r="Y1761" s="194"/>
      <c r="Z1761" s="194"/>
      <c r="AA1761" s="194"/>
      <c r="AB1761" s="194"/>
      <c r="AC1761" s="194"/>
      <c r="AD1761" s="194"/>
      <c r="AE1761" s="195"/>
      <c r="AF1761" s="195"/>
      <c r="AG1761" s="195"/>
      <c r="AH1761" s="195"/>
    </row>
    <row r="1762" customHeight="1" spans="1:34">
      <c r="A1762" s="204" t="s">
        <v>10</v>
      </c>
      <c r="B1762" s="215" t="s">
        <v>770</v>
      </c>
      <c r="C1762" s="215"/>
      <c r="D1762" s="54"/>
      <c r="E1762" s="214">
        <f>G1749</f>
        <v>1773.76186412176</v>
      </c>
      <c r="F1762" s="222">
        <f>费率表!$I$5</f>
        <v>0.07</v>
      </c>
      <c r="G1762" s="216">
        <f t="shared" si="164"/>
        <v>124.163330488524</v>
      </c>
      <c r="H1762" s="193"/>
      <c r="I1762" s="193"/>
      <c r="J1762" s="193"/>
      <c r="K1762" s="193"/>
      <c r="L1762" s="193"/>
      <c r="M1762" s="193"/>
      <c r="N1762" s="193"/>
      <c r="O1762" s="193"/>
      <c r="S1762" s="194"/>
      <c r="T1762" s="194"/>
      <c r="U1762" s="194"/>
      <c r="V1762" s="194"/>
      <c r="W1762" s="194"/>
      <c r="X1762" s="194"/>
      <c r="Y1762" s="194"/>
      <c r="Z1762" s="194"/>
      <c r="AA1762" s="194"/>
      <c r="AB1762" s="194"/>
      <c r="AC1762" s="194"/>
      <c r="AD1762" s="194"/>
      <c r="AE1762" s="195"/>
      <c r="AF1762" s="195"/>
      <c r="AG1762" s="195"/>
      <c r="AH1762" s="195"/>
    </row>
    <row r="1763" customHeight="1" spans="1:34">
      <c r="A1763" s="204" t="s">
        <v>12</v>
      </c>
      <c r="B1763" s="215" t="s">
        <v>771</v>
      </c>
      <c r="C1763" s="215"/>
      <c r="D1763" s="54"/>
      <c r="E1763" s="214">
        <f>G1749+G1762</f>
        <v>1897.92519461029</v>
      </c>
      <c r="F1763" s="222">
        <f>费率表!$I$6</f>
        <v>0.07</v>
      </c>
      <c r="G1763" s="216">
        <f t="shared" si="164"/>
        <v>132.85476362272</v>
      </c>
      <c r="H1763" s="193"/>
      <c r="I1763" s="193"/>
      <c r="J1763" s="193"/>
      <c r="K1763" s="193"/>
      <c r="L1763" s="193"/>
      <c r="M1763" s="193"/>
      <c r="N1763" s="193"/>
      <c r="O1763" s="193"/>
      <c r="S1763" s="194"/>
      <c r="T1763" s="194"/>
      <c r="U1763" s="194"/>
      <c r="V1763" s="194"/>
      <c r="W1763" s="194"/>
      <c r="X1763" s="194"/>
      <c r="Y1763" s="194"/>
      <c r="Z1763" s="194"/>
      <c r="AA1763" s="194"/>
      <c r="AB1763" s="194"/>
      <c r="AC1763" s="194"/>
      <c r="AD1763" s="194"/>
      <c r="AE1763" s="195"/>
      <c r="AF1763" s="195"/>
      <c r="AG1763" s="195"/>
      <c r="AH1763" s="195"/>
    </row>
    <row r="1764" customHeight="1" spans="1:34">
      <c r="A1764" s="204" t="s">
        <v>15</v>
      </c>
      <c r="B1764" s="218" t="s">
        <v>517</v>
      </c>
      <c r="C1764" s="219"/>
      <c r="D1764" s="54"/>
      <c r="E1764" s="214"/>
      <c r="F1764" s="230"/>
      <c r="G1764" s="216">
        <f>SUM(G1765:G1765)</f>
        <v>58.0897241379314</v>
      </c>
      <c r="H1764" s="193"/>
      <c r="I1764" s="193"/>
      <c r="J1764" s="193"/>
      <c r="K1764" s="193"/>
      <c r="L1764" s="193"/>
      <c r="M1764" s="193"/>
      <c r="N1764" s="193"/>
      <c r="O1764" s="193"/>
      <c r="S1764" s="194"/>
      <c r="T1764" s="194"/>
      <c r="U1764" s="194"/>
      <c r="V1764" s="194"/>
      <c r="W1764" s="194"/>
      <c r="X1764" s="194"/>
      <c r="Y1764" s="194"/>
      <c r="Z1764" s="194"/>
      <c r="AA1764" s="194"/>
      <c r="AB1764" s="194"/>
      <c r="AC1764" s="194"/>
      <c r="AD1764" s="194"/>
      <c r="AE1764" s="195"/>
      <c r="AF1764" s="195"/>
      <c r="AG1764" s="195"/>
      <c r="AH1764" s="195"/>
    </row>
    <row r="1765" customHeight="1" spans="1:34">
      <c r="A1765" s="204"/>
      <c r="B1765" s="218" t="s">
        <v>696</v>
      </c>
      <c r="C1765" s="219"/>
      <c r="D1765" s="54" t="s">
        <v>695</v>
      </c>
      <c r="E1765" s="214">
        <f>E1759*施工机械台时费!$K$65</f>
        <v>7.44</v>
      </c>
      <c r="F1765" s="214">
        <f>主要材料预算!$N$14</f>
        <v>7.8077586206897</v>
      </c>
      <c r="G1765" s="216">
        <f t="shared" ref="G1765:G1767" si="165">E1765*F1765</f>
        <v>58.0897241379314</v>
      </c>
      <c r="H1765" s="193"/>
      <c r="I1765" s="193"/>
      <c r="J1765" s="193"/>
      <c r="K1765" s="193"/>
      <c r="L1765" s="193"/>
      <c r="M1765" s="193"/>
      <c r="N1765" s="193"/>
      <c r="O1765" s="193"/>
      <c r="S1765" s="194"/>
      <c r="T1765" s="194"/>
      <c r="U1765" s="194"/>
      <c r="V1765" s="194"/>
      <c r="W1765" s="194"/>
      <c r="X1765" s="194"/>
      <c r="Y1765" s="194"/>
      <c r="Z1765" s="194"/>
      <c r="AA1765" s="194"/>
      <c r="AB1765" s="194"/>
      <c r="AC1765" s="194"/>
      <c r="AD1765" s="194"/>
      <c r="AE1765" s="195"/>
      <c r="AF1765" s="195"/>
      <c r="AG1765" s="195"/>
      <c r="AH1765" s="195"/>
    </row>
    <row r="1766" customHeight="1" spans="1:34">
      <c r="A1766" s="204" t="s">
        <v>906</v>
      </c>
      <c r="B1766" s="215" t="s">
        <v>772</v>
      </c>
      <c r="C1766" s="215"/>
      <c r="D1766" s="54"/>
      <c r="E1766" s="214">
        <f>G1749+G1762+G1763+G1764</f>
        <v>2088.86968237094</v>
      </c>
      <c r="F1766" s="222">
        <f>费率表!$I$7</f>
        <v>0.09</v>
      </c>
      <c r="G1766" s="216">
        <f t="shared" si="165"/>
        <v>187.998271413384</v>
      </c>
      <c r="H1766" s="193"/>
      <c r="I1766" s="193"/>
      <c r="J1766" s="193"/>
      <c r="K1766" s="193"/>
      <c r="L1766" s="193"/>
      <c r="M1766" s="193"/>
      <c r="N1766" s="193"/>
      <c r="O1766" s="193"/>
      <c r="S1766" s="194"/>
      <c r="T1766" s="194"/>
      <c r="U1766" s="194"/>
      <c r="V1766" s="194"/>
      <c r="W1766" s="194"/>
      <c r="X1766" s="194"/>
      <c r="Y1766" s="194"/>
      <c r="Z1766" s="194"/>
      <c r="AA1766" s="194"/>
      <c r="AB1766" s="194"/>
      <c r="AC1766" s="194"/>
      <c r="AD1766" s="194"/>
      <c r="AE1766" s="195"/>
      <c r="AF1766" s="195"/>
      <c r="AG1766" s="195"/>
      <c r="AH1766" s="195"/>
    </row>
    <row r="1767" customHeight="1" spans="1:34">
      <c r="A1767" s="204"/>
      <c r="B1767" s="215" t="s">
        <v>907</v>
      </c>
      <c r="C1767" s="215"/>
      <c r="D1767" s="54"/>
      <c r="E1767" s="214">
        <f>G1749+G1762+G1763+G1764+G1766</f>
        <v>2276.86795378432</v>
      </c>
      <c r="F1767" s="222">
        <f>费率表!$B$19</f>
        <v>0.03</v>
      </c>
      <c r="G1767" s="216">
        <f t="shared" si="165"/>
        <v>68.3060386135296</v>
      </c>
      <c r="H1767" s="193"/>
      <c r="I1767" s="193"/>
      <c r="J1767" s="193"/>
      <c r="K1767" s="193"/>
      <c r="L1767" s="193"/>
      <c r="M1767" s="193"/>
      <c r="N1767" s="193"/>
      <c r="O1767" s="193"/>
      <c r="S1767" s="194"/>
      <c r="T1767" s="194"/>
      <c r="U1767" s="194"/>
      <c r="V1767" s="194"/>
      <c r="W1767" s="194"/>
      <c r="X1767" s="194"/>
      <c r="Y1767" s="194"/>
      <c r="Z1767" s="194"/>
      <c r="AA1767" s="194"/>
      <c r="AB1767" s="194"/>
      <c r="AC1767" s="194"/>
      <c r="AD1767" s="194"/>
      <c r="AE1767" s="195"/>
      <c r="AF1767" s="195"/>
      <c r="AG1767" s="195"/>
      <c r="AH1767" s="195"/>
    </row>
    <row r="1768" customHeight="1" spans="1:34">
      <c r="A1768" s="223"/>
      <c r="B1768" s="224" t="s">
        <v>39</v>
      </c>
      <c r="C1768" s="224"/>
      <c r="D1768" s="224"/>
      <c r="E1768" s="225"/>
      <c r="F1768" s="224"/>
      <c r="G1768" s="226">
        <f>G1749+G1762+G1763+G1764+G1766+G1767</f>
        <v>2345.17399239785</v>
      </c>
      <c r="H1768" s="193"/>
      <c r="I1768" s="193"/>
      <c r="J1768" s="193"/>
      <c r="K1768" s="193"/>
      <c r="L1768" s="193"/>
      <c r="M1768" s="193"/>
      <c r="N1768" s="193"/>
      <c r="O1768" s="193"/>
      <c r="S1768" s="194"/>
      <c r="T1768" s="194"/>
      <c r="U1768" s="194"/>
      <c r="V1768" s="194"/>
      <c r="W1768" s="194"/>
      <c r="X1768" s="194"/>
      <c r="Y1768" s="194"/>
      <c r="Z1768" s="194"/>
      <c r="AA1768" s="194"/>
      <c r="AB1768" s="194"/>
      <c r="AC1768" s="194"/>
      <c r="AD1768" s="194"/>
      <c r="AE1768" s="195"/>
      <c r="AF1768" s="195"/>
      <c r="AG1768" s="195"/>
      <c r="AH1768" s="195"/>
    </row>
    <row r="1769" customHeight="1" spans="1:34">
      <c r="H1769" s="193"/>
      <c r="I1769" s="193"/>
      <c r="J1769" s="193"/>
      <c r="K1769" s="193"/>
      <c r="L1769" s="193"/>
      <c r="M1769" s="193"/>
      <c r="N1769" s="193"/>
      <c r="O1769" s="193"/>
      <c r="S1769" s="194"/>
      <c r="T1769" s="194"/>
      <c r="U1769" s="194"/>
      <c r="V1769" s="194"/>
      <c r="W1769" s="194"/>
      <c r="X1769" s="194"/>
      <c r="Y1769" s="194"/>
      <c r="Z1769" s="194"/>
      <c r="AA1769" s="194"/>
      <c r="AB1769" s="194"/>
      <c r="AC1769" s="194"/>
      <c r="AD1769" s="194"/>
      <c r="AE1769" s="195"/>
      <c r="AF1769" s="195"/>
      <c r="AG1769" s="195"/>
      <c r="AH1769" s="195"/>
    </row>
    <row r="1770" customHeight="1" spans="1:34">
      <c r="A1770" s="285" t="s">
        <v>868</v>
      </c>
      <c r="B1770" s="285"/>
      <c r="C1770" s="285"/>
      <c r="D1770" s="285"/>
      <c r="E1770" s="285"/>
      <c r="F1770" s="285"/>
      <c r="G1770" s="285"/>
      <c r="H1770" s="193"/>
      <c r="I1770" s="193"/>
      <c r="J1770" s="193"/>
      <c r="K1770" s="193"/>
      <c r="L1770" s="193"/>
      <c r="M1770" s="193"/>
      <c r="N1770" s="193"/>
      <c r="O1770" s="193"/>
      <c r="S1770" s="194"/>
      <c r="T1770" s="194"/>
      <c r="U1770" s="194"/>
      <c r="V1770" s="194"/>
      <c r="W1770" s="194"/>
      <c r="X1770" s="194"/>
      <c r="Y1770" s="194"/>
      <c r="Z1770" s="194"/>
      <c r="AA1770" s="194"/>
      <c r="AB1770" s="194"/>
      <c r="AC1770" s="194"/>
      <c r="AD1770" s="194"/>
      <c r="AE1770" s="195"/>
      <c r="AF1770" s="195"/>
      <c r="AG1770" s="195"/>
      <c r="AH1770" s="195"/>
    </row>
    <row r="1771" customHeight="1" spans="1:34">
      <c r="A1771" s="286" t="s">
        <v>869</v>
      </c>
      <c r="B1771" s="287"/>
      <c r="C1771" s="200"/>
      <c r="D1771" s="200" t="s">
        <v>870</v>
      </c>
      <c r="E1771" s="201" t="s">
        <v>1512</v>
      </c>
      <c r="F1771" s="202"/>
      <c r="G1771" s="203"/>
      <c r="H1771" s="193"/>
      <c r="I1771" s="193"/>
      <c r="J1771" s="193"/>
      <c r="K1771" s="193"/>
      <c r="L1771" s="193"/>
      <c r="M1771" s="193"/>
      <c r="N1771" s="193"/>
      <c r="O1771" s="193"/>
      <c r="S1771" s="194"/>
      <c r="T1771" s="194"/>
      <c r="U1771" s="194"/>
      <c r="V1771" s="194"/>
      <c r="W1771" s="194"/>
      <c r="X1771" s="194"/>
      <c r="Y1771" s="194"/>
      <c r="Z1771" s="194"/>
      <c r="AA1771" s="194"/>
      <c r="AB1771" s="194"/>
      <c r="AC1771" s="194"/>
      <c r="AD1771" s="194"/>
      <c r="AE1771" s="195"/>
      <c r="AF1771" s="195"/>
      <c r="AG1771" s="195"/>
      <c r="AH1771" s="195"/>
    </row>
    <row r="1772" customHeight="1" spans="1:34">
      <c r="A1772" s="288" t="s">
        <v>507</v>
      </c>
      <c r="B1772" s="289"/>
      <c r="C1772" s="290" t="s">
        <v>1513</v>
      </c>
      <c r="D1772" s="291"/>
      <c r="E1772" s="292"/>
      <c r="F1772" s="54" t="s">
        <v>873</v>
      </c>
      <c r="G1772" s="207" t="s">
        <v>592</v>
      </c>
      <c r="H1772" s="193"/>
      <c r="I1772" s="193"/>
      <c r="J1772" s="193"/>
      <c r="K1772" s="193"/>
      <c r="L1772" s="193"/>
      <c r="M1772" s="193"/>
      <c r="N1772" s="193"/>
      <c r="O1772" s="193"/>
      <c r="S1772" s="194"/>
      <c r="T1772" s="194"/>
      <c r="U1772" s="194"/>
      <c r="V1772" s="194"/>
      <c r="W1772" s="194"/>
      <c r="X1772" s="194"/>
      <c r="Y1772" s="194"/>
      <c r="Z1772" s="194"/>
      <c r="AA1772" s="194"/>
      <c r="AB1772" s="194"/>
      <c r="AC1772" s="194"/>
      <c r="AD1772" s="194"/>
      <c r="AE1772" s="195"/>
      <c r="AF1772" s="195"/>
      <c r="AG1772" s="195"/>
      <c r="AH1772" s="195"/>
    </row>
    <row r="1773" customHeight="1" spans="1:34">
      <c r="A1773" s="293" t="s">
        <v>875</v>
      </c>
      <c r="B1773" s="291"/>
      <c r="C1773" s="291"/>
      <c r="D1773" s="291"/>
      <c r="E1773" s="291"/>
      <c r="F1773" s="291"/>
      <c r="G1773" s="294"/>
      <c r="H1773" s="193"/>
      <c r="I1773" s="193"/>
      <c r="J1773" s="193"/>
      <c r="K1773" s="193"/>
      <c r="L1773" s="193"/>
      <c r="M1773" s="193"/>
      <c r="N1773" s="193"/>
      <c r="O1773" s="193"/>
      <c r="S1773" s="194"/>
      <c r="T1773" s="194"/>
      <c r="U1773" s="194"/>
      <c r="V1773" s="194"/>
      <c r="W1773" s="194"/>
      <c r="X1773" s="194"/>
      <c r="Y1773" s="194"/>
      <c r="Z1773" s="194"/>
      <c r="AA1773" s="194"/>
      <c r="AB1773" s="194"/>
      <c r="AC1773" s="194"/>
      <c r="AD1773" s="194"/>
      <c r="AE1773" s="195"/>
      <c r="AF1773" s="195"/>
      <c r="AG1773" s="195"/>
      <c r="AH1773" s="195"/>
    </row>
    <row r="1774" customHeight="1" spans="1:34">
      <c r="A1774" s="210" t="s">
        <v>1509</v>
      </c>
      <c r="B1774" s="211"/>
      <c r="C1774" s="211"/>
      <c r="D1774" s="211"/>
      <c r="E1774" s="211"/>
      <c r="F1774" s="211"/>
      <c r="G1774" s="295"/>
      <c r="H1774" s="193"/>
      <c r="I1774" s="193"/>
      <c r="J1774" s="193"/>
      <c r="K1774" s="193"/>
      <c r="L1774" s="193"/>
      <c r="M1774" s="193"/>
      <c r="N1774" s="193"/>
      <c r="O1774" s="193"/>
      <c r="S1774" s="194"/>
      <c r="T1774" s="194"/>
      <c r="U1774" s="194"/>
      <c r="V1774" s="194"/>
      <c r="W1774" s="194"/>
      <c r="X1774" s="194"/>
      <c r="Y1774" s="194"/>
      <c r="Z1774" s="194"/>
      <c r="AA1774" s="194"/>
      <c r="AB1774" s="194"/>
      <c r="AC1774" s="194"/>
      <c r="AD1774" s="194"/>
      <c r="AE1774" s="195"/>
      <c r="AF1774" s="195"/>
      <c r="AG1774" s="195"/>
      <c r="AH1774" s="195"/>
    </row>
    <row r="1775" customHeight="1" spans="1:34">
      <c r="A1775" s="204" t="s">
        <v>34</v>
      </c>
      <c r="B1775" s="54" t="s">
        <v>761</v>
      </c>
      <c r="C1775" s="54"/>
      <c r="D1775" s="54" t="s">
        <v>60</v>
      </c>
      <c r="E1775" s="214" t="s">
        <v>877</v>
      </c>
      <c r="F1775" s="54" t="s">
        <v>878</v>
      </c>
      <c r="G1775" s="207" t="s">
        <v>879</v>
      </c>
      <c r="H1775" s="193"/>
      <c r="I1775" s="193"/>
      <c r="J1775" s="193"/>
      <c r="K1775" s="193"/>
      <c r="L1775" s="193"/>
      <c r="M1775" s="193"/>
      <c r="N1775" s="193"/>
      <c r="O1775" s="193"/>
      <c r="S1775" s="194"/>
      <c r="T1775" s="194"/>
      <c r="U1775" s="194"/>
      <c r="V1775" s="194"/>
      <c r="W1775" s="194"/>
      <c r="X1775" s="194"/>
      <c r="Y1775" s="194"/>
      <c r="Z1775" s="194"/>
      <c r="AA1775" s="194"/>
      <c r="AB1775" s="194"/>
      <c r="AC1775" s="194"/>
      <c r="AD1775" s="194"/>
      <c r="AE1775" s="195"/>
      <c r="AF1775" s="195"/>
      <c r="AG1775" s="195"/>
      <c r="AH1775" s="195"/>
    </row>
    <row r="1776" customHeight="1" spans="1:34">
      <c r="A1776" s="204" t="s">
        <v>8</v>
      </c>
      <c r="B1776" s="215" t="s">
        <v>880</v>
      </c>
      <c r="C1776" s="215"/>
      <c r="D1776" s="54"/>
      <c r="E1776" s="214"/>
      <c r="F1776" s="214"/>
      <c r="G1776" s="216">
        <f>G1777+G1789</f>
        <v>2287.62770412176</v>
      </c>
      <c r="H1776" s="193"/>
      <c r="I1776" s="193"/>
      <c r="J1776" s="193"/>
      <c r="K1776" s="193"/>
      <c r="L1776" s="193"/>
      <c r="M1776" s="193"/>
      <c r="N1776" s="193"/>
      <c r="O1776" s="193"/>
      <c r="S1776" s="194"/>
      <c r="T1776" s="194"/>
      <c r="U1776" s="194"/>
      <c r="V1776" s="194"/>
      <c r="W1776" s="194"/>
      <c r="X1776" s="194"/>
      <c r="Y1776" s="194"/>
      <c r="Z1776" s="194"/>
      <c r="AA1776" s="194"/>
      <c r="AB1776" s="194"/>
      <c r="AC1776" s="194"/>
      <c r="AD1776" s="194"/>
      <c r="AE1776" s="195"/>
      <c r="AF1776" s="195"/>
      <c r="AG1776" s="195"/>
      <c r="AH1776" s="195"/>
    </row>
    <row r="1777" customHeight="1" spans="1:34">
      <c r="A1777" s="204" t="s">
        <v>881</v>
      </c>
      <c r="B1777" s="215" t="s">
        <v>882</v>
      </c>
      <c r="C1777" s="215"/>
      <c r="D1777" s="54"/>
      <c r="E1777" s="214"/>
      <c r="F1777" s="214"/>
      <c r="G1777" s="216">
        <f>G1778+G1781+G1786</f>
        <v>2182.85086271161</v>
      </c>
      <c r="H1777" s="193"/>
      <c r="I1777" s="193"/>
      <c r="J1777" s="193"/>
      <c r="K1777" s="193"/>
      <c r="L1777" s="193"/>
      <c r="M1777" s="193"/>
      <c r="N1777" s="193"/>
      <c r="O1777" s="193"/>
      <c r="S1777" s="194"/>
      <c r="T1777" s="194"/>
      <c r="U1777" s="194"/>
      <c r="V1777" s="194"/>
      <c r="W1777" s="194"/>
      <c r="X1777" s="194"/>
      <c r="Y1777" s="194"/>
      <c r="Z1777" s="194"/>
      <c r="AA1777" s="194"/>
      <c r="AB1777" s="194"/>
      <c r="AC1777" s="194"/>
      <c r="AD1777" s="194"/>
      <c r="AE1777" s="195"/>
      <c r="AF1777" s="195"/>
      <c r="AG1777" s="195"/>
      <c r="AH1777" s="195"/>
    </row>
    <row r="1778" customHeight="1" spans="1:34">
      <c r="A1778" s="204" t="s">
        <v>17</v>
      </c>
      <c r="B1778" s="215" t="s">
        <v>510</v>
      </c>
      <c r="C1778" s="215"/>
      <c r="D1778" s="54"/>
      <c r="E1778" s="214"/>
      <c r="F1778" s="214"/>
      <c r="G1778" s="216">
        <f>SUM(G1779:G1780)</f>
        <v>1956.25</v>
      </c>
      <c r="H1778" s="193"/>
      <c r="I1778" s="193"/>
      <c r="J1778" s="193"/>
      <c r="K1778" s="193"/>
      <c r="L1778" s="193"/>
      <c r="M1778" s="193"/>
      <c r="N1778" s="193"/>
      <c r="O1778" s="193"/>
      <c r="S1778" s="194"/>
      <c r="T1778" s="194"/>
      <c r="U1778" s="194"/>
      <c r="V1778" s="194"/>
      <c r="W1778" s="194"/>
      <c r="X1778" s="194"/>
      <c r="Y1778" s="194"/>
      <c r="Z1778" s="194"/>
      <c r="AA1778" s="194"/>
      <c r="AB1778" s="194"/>
      <c r="AC1778" s="194"/>
      <c r="AD1778" s="194"/>
      <c r="AE1778" s="195"/>
      <c r="AF1778" s="195"/>
      <c r="AG1778" s="195"/>
      <c r="AH1778" s="195"/>
    </row>
    <row r="1779" customHeight="1" spans="1:34">
      <c r="A1779" s="204"/>
      <c r="B1779" s="215" t="s">
        <v>704</v>
      </c>
      <c r="C1779" s="215"/>
      <c r="D1779" s="54" t="s">
        <v>705</v>
      </c>
      <c r="E1779" s="214">
        <v>10</v>
      </c>
      <c r="F1779" s="214">
        <f>主要材料预算!$D$19</f>
        <v>8.1</v>
      </c>
      <c r="G1779" s="216">
        <f t="shared" ref="G1779:G1785" si="166">E1779*F1779</f>
        <v>81</v>
      </c>
      <c r="H1779" s="193"/>
      <c r="I1779" s="193"/>
      <c r="J1779" s="193"/>
      <c r="K1779" s="193"/>
      <c r="L1779" s="193"/>
      <c r="M1779" s="193"/>
      <c r="N1779" s="193"/>
      <c r="O1779" s="193"/>
      <c r="S1779" s="194"/>
      <c r="T1779" s="194"/>
      <c r="U1779" s="194"/>
      <c r="V1779" s="194"/>
      <c r="W1779" s="194"/>
      <c r="X1779" s="194"/>
      <c r="Y1779" s="194"/>
      <c r="Z1779" s="194"/>
      <c r="AA1779" s="194"/>
      <c r="AB1779" s="194"/>
      <c r="AC1779" s="194"/>
      <c r="AD1779" s="194"/>
      <c r="AE1779" s="195"/>
      <c r="AF1779" s="195"/>
      <c r="AG1779" s="195"/>
      <c r="AH1779" s="195"/>
    </row>
    <row r="1780" customHeight="1" spans="1:34">
      <c r="A1780" s="204"/>
      <c r="B1780" s="215" t="s">
        <v>706</v>
      </c>
      <c r="C1780" s="215"/>
      <c r="D1780" s="54" t="s">
        <v>705</v>
      </c>
      <c r="E1780" s="217">
        <v>325</v>
      </c>
      <c r="F1780" s="214">
        <f>主要材料预算!$D$20</f>
        <v>5.77</v>
      </c>
      <c r="G1780" s="216">
        <f t="shared" si="166"/>
        <v>1875.25</v>
      </c>
      <c r="H1780" s="193"/>
      <c r="I1780" s="193"/>
      <c r="J1780" s="193"/>
      <c r="K1780" s="193"/>
      <c r="L1780" s="193"/>
      <c r="M1780" s="193"/>
      <c r="N1780" s="193"/>
      <c r="O1780" s="193"/>
      <c r="S1780" s="194"/>
      <c r="T1780" s="194"/>
      <c r="U1780" s="194"/>
      <c r="V1780" s="194"/>
      <c r="W1780" s="194"/>
      <c r="X1780" s="194"/>
      <c r="Y1780" s="194"/>
      <c r="Z1780" s="194"/>
      <c r="AA1780" s="194"/>
      <c r="AB1780" s="194"/>
      <c r="AC1780" s="194"/>
      <c r="AD1780" s="194"/>
      <c r="AE1780" s="195"/>
      <c r="AF1780" s="195"/>
      <c r="AG1780" s="195"/>
      <c r="AH1780" s="195"/>
    </row>
    <row r="1781" customHeight="1" spans="1:34">
      <c r="A1781" s="204" t="s">
        <v>19</v>
      </c>
      <c r="B1781" s="218" t="s">
        <v>511</v>
      </c>
      <c r="C1781" s="219"/>
      <c r="D1781" s="54"/>
      <c r="E1781" s="214"/>
      <c r="F1781" s="214"/>
      <c r="G1781" s="216">
        <f>SUM(G1782:G1785)</f>
        <v>141.15</v>
      </c>
      <c r="H1781" s="193"/>
      <c r="I1781" s="193"/>
      <c r="J1781" s="193"/>
      <c r="K1781" s="193"/>
      <c r="L1781" s="193"/>
      <c r="M1781" s="193"/>
      <c r="N1781" s="193"/>
      <c r="O1781" s="193"/>
      <c r="S1781" s="194"/>
      <c r="T1781" s="194"/>
      <c r="U1781" s="194"/>
      <c r="V1781" s="194"/>
      <c r="W1781" s="194"/>
      <c r="X1781" s="194"/>
      <c r="Y1781" s="194"/>
      <c r="Z1781" s="194"/>
      <c r="AA1781" s="194"/>
      <c r="AB1781" s="194"/>
      <c r="AC1781" s="194"/>
      <c r="AD1781" s="194"/>
      <c r="AE1781" s="195"/>
      <c r="AF1781" s="195"/>
      <c r="AG1781" s="195"/>
      <c r="AH1781" s="195"/>
    </row>
    <row r="1782" customHeight="1" spans="1:34">
      <c r="A1782" s="204"/>
      <c r="B1782" s="218" t="s">
        <v>1503</v>
      </c>
      <c r="C1782" s="219"/>
      <c r="D1782" s="54" t="s">
        <v>1142</v>
      </c>
      <c r="E1782" s="214">
        <v>17.5</v>
      </c>
      <c r="F1782" s="214">
        <f>基础材料!$D$30</f>
        <v>0.5</v>
      </c>
      <c r="G1782" s="216">
        <f t="shared" si="166"/>
        <v>8.75</v>
      </c>
      <c r="H1782" s="193"/>
      <c r="I1782" s="193"/>
      <c r="J1782" s="193"/>
      <c r="K1782" s="193"/>
      <c r="L1782" s="193"/>
      <c r="M1782" s="193"/>
      <c r="N1782" s="193"/>
      <c r="O1782" s="193"/>
      <c r="S1782" s="194"/>
      <c r="T1782" s="194"/>
      <c r="U1782" s="194"/>
      <c r="V1782" s="194"/>
      <c r="W1782" s="194"/>
      <c r="X1782" s="194"/>
      <c r="Y1782" s="194"/>
      <c r="Z1782" s="194"/>
      <c r="AA1782" s="194"/>
      <c r="AB1782" s="194"/>
      <c r="AC1782" s="194"/>
      <c r="AD1782" s="194"/>
      <c r="AE1782" s="195"/>
      <c r="AF1782" s="195"/>
      <c r="AG1782" s="195"/>
      <c r="AH1782" s="195"/>
    </row>
    <row r="1783" customHeight="1" spans="1:34">
      <c r="A1783" s="204"/>
      <c r="B1783" s="218" t="s">
        <v>1510</v>
      </c>
      <c r="C1783" s="219"/>
      <c r="D1783" s="54" t="s">
        <v>695</v>
      </c>
      <c r="E1783" s="214">
        <v>4.4</v>
      </c>
      <c r="F1783" s="214">
        <f>基础材料!$D$31</f>
        <v>1.5</v>
      </c>
      <c r="G1783" s="216">
        <f t="shared" si="166"/>
        <v>6.6</v>
      </c>
      <c r="H1783" s="193"/>
      <c r="I1783" s="193"/>
      <c r="J1783" s="193"/>
      <c r="K1783" s="193"/>
      <c r="L1783" s="193"/>
      <c r="M1783" s="193"/>
      <c r="N1783" s="193"/>
      <c r="O1783" s="193"/>
      <c r="S1783" s="194"/>
      <c r="T1783" s="194"/>
      <c r="U1783" s="194"/>
      <c r="V1783" s="194"/>
      <c r="W1783" s="194"/>
      <c r="X1783" s="194"/>
      <c r="Y1783" s="194"/>
      <c r="Z1783" s="194"/>
      <c r="AA1783" s="194"/>
      <c r="AB1783" s="194"/>
      <c r="AC1783" s="194"/>
      <c r="AD1783" s="194"/>
      <c r="AE1783" s="195"/>
      <c r="AF1783" s="195"/>
      <c r="AG1783" s="195"/>
      <c r="AH1783" s="195"/>
    </row>
    <row r="1784" customHeight="1" spans="1:34">
      <c r="A1784" s="204"/>
      <c r="B1784" s="218" t="s">
        <v>1514</v>
      </c>
      <c r="C1784" s="219"/>
      <c r="D1784" s="54" t="s">
        <v>695</v>
      </c>
      <c r="E1784" s="214">
        <v>14</v>
      </c>
      <c r="F1784" s="214">
        <f>基础材料!$D$32</f>
        <v>3.5</v>
      </c>
      <c r="G1784" s="216">
        <f t="shared" si="166"/>
        <v>49</v>
      </c>
      <c r="H1784" s="193"/>
      <c r="I1784" s="193"/>
      <c r="J1784" s="193"/>
      <c r="K1784" s="193"/>
      <c r="L1784" s="193"/>
      <c r="M1784" s="193"/>
      <c r="N1784" s="193"/>
      <c r="O1784" s="193"/>
      <c r="S1784" s="194"/>
      <c r="T1784" s="194"/>
      <c r="U1784" s="194"/>
      <c r="V1784" s="194"/>
      <c r="W1784" s="194"/>
      <c r="X1784" s="194"/>
      <c r="Y1784" s="194"/>
      <c r="Z1784" s="194"/>
      <c r="AA1784" s="194"/>
      <c r="AB1784" s="194"/>
      <c r="AC1784" s="194"/>
      <c r="AD1784" s="194"/>
      <c r="AE1784" s="195"/>
      <c r="AF1784" s="195"/>
      <c r="AG1784" s="195"/>
      <c r="AH1784" s="195"/>
    </row>
    <row r="1785" customHeight="1" spans="1:34">
      <c r="A1785" s="204"/>
      <c r="B1785" s="296" t="s">
        <v>1504</v>
      </c>
      <c r="C1785" s="297"/>
      <c r="D1785" s="54" t="s">
        <v>204</v>
      </c>
      <c r="E1785" s="214">
        <v>24</v>
      </c>
      <c r="F1785" s="214">
        <f>基础材料!$D$33</f>
        <v>3.2</v>
      </c>
      <c r="G1785" s="216">
        <f t="shared" si="166"/>
        <v>76.8</v>
      </c>
      <c r="H1785" s="193"/>
      <c r="I1785" s="193"/>
      <c r="J1785" s="193"/>
      <c r="K1785" s="193"/>
      <c r="L1785" s="193"/>
      <c r="M1785" s="193"/>
      <c r="N1785" s="193"/>
      <c r="O1785" s="193"/>
      <c r="S1785" s="194"/>
      <c r="T1785" s="194"/>
      <c r="U1785" s="194"/>
      <c r="V1785" s="194"/>
      <c r="W1785" s="194"/>
      <c r="X1785" s="194"/>
      <c r="Y1785" s="194"/>
      <c r="Z1785" s="194"/>
      <c r="AA1785" s="194"/>
      <c r="AB1785" s="194"/>
      <c r="AC1785" s="194"/>
      <c r="AD1785" s="194"/>
      <c r="AE1785" s="195"/>
      <c r="AF1785" s="195"/>
      <c r="AG1785" s="195"/>
      <c r="AH1785" s="195"/>
    </row>
    <row r="1786" customHeight="1" spans="1:34">
      <c r="A1786" s="204" t="s">
        <v>21</v>
      </c>
      <c r="B1786" s="215" t="s">
        <v>895</v>
      </c>
      <c r="C1786" s="215"/>
      <c r="D1786" s="215"/>
      <c r="E1786" s="214"/>
      <c r="F1786" s="214"/>
      <c r="G1786" s="216">
        <f>SUM(G1787:G1788)</f>
        <v>85.4508627116075</v>
      </c>
      <c r="H1786" s="193"/>
      <c r="I1786" s="193"/>
      <c r="J1786" s="193"/>
      <c r="K1786" s="193"/>
      <c r="L1786" s="193"/>
      <c r="M1786" s="193"/>
      <c r="N1786" s="193"/>
      <c r="O1786" s="193"/>
      <c r="S1786" s="194"/>
      <c r="T1786" s="194"/>
      <c r="U1786" s="194"/>
      <c r="V1786" s="194"/>
      <c r="W1786" s="194"/>
      <c r="X1786" s="194"/>
      <c r="Y1786" s="194"/>
      <c r="Z1786" s="194"/>
      <c r="AA1786" s="194"/>
      <c r="AB1786" s="194"/>
      <c r="AC1786" s="194"/>
      <c r="AD1786" s="194"/>
      <c r="AE1786" s="195"/>
      <c r="AF1786" s="195"/>
      <c r="AG1786" s="195"/>
      <c r="AH1786" s="195"/>
    </row>
    <row r="1787" customHeight="1" spans="1:34">
      <c r="A1787" s="204"/>
      <c r="B1787" s="218" t="s">
        <v>1511</v>
      </c>
      <c r="C1787" s="219"/>
      <c r="D1787" s="54" t="s">
        <v>896</v>
      </c>
      <c r="E1787" s="214">
        <v>3</v>
      </c>
      <c r="F1787" s="214">
        <f>施工机械台时费!$E$65</f>
        <v>25.1400007977663</v>
      </c>
      <c r="G1787" s="216">
        <f t="shared" ref="G1787:G1791" si="167">E1787*F1787</f>
        <v>75.4200023932988</v>
      </c>
      <c r="H1787" s="193"/>
      <c r="I1787" s="193"/>
      <c r="J1787" s="193"/>
      <c r="K1787" s="193"/>
      <c r="L1787" s="193"/>
      <c r="M1787" s="193"/>
      <c r="N1787" s="193"/>
      <c r="O1787" s="193"/>
      <c r="S1787" s="194"/>
      <c r="T1787" s="194"/>
      <c r="U1787" s="194"/>
      <c r="V1787" s="194"/>
      <c r="W1787" s="194"/>
      <c r="X1787" s="194"/>
      <c r="Y1787" s="194"/>
      <c r="Z1787" s="194"/>
      <c r="AA1787" s="194"/>
      <c r="AB1787" s="194"/>
      <c r="AC1787" s="194"/>
      <c r="AD1787" s="194"/>
      <c r="AE1787" s="195"/>
      <c r="AF1787" s="195"/>
      <c r="AG1787" s="195"/>
      <c r="AH1787" s="195"/>
    </row>
    <row r="1788" customHeight="1" spans="1:34">
      <c r="A1788" s="204"/>
      <c r="B1788" s="218" t="s">
        <v>902</v>
      </c>
      <c r="C1788" s="219"/>
      <c r="D1788" s="54" t="s">
        <v>894</v>
      </c>
      <c r="E1788" s="214">
        <f>SUM(G1787:G1787)</f>
        <v>75.4200023932988</v>
      </c>
      <c r="F1788" s="214">
        <v>13.3</v>
      </c>
      <c r="G1788" s="216">
        <f>E1788*F1788/100</f>
        <v>10.0308603183087</v>
      </c>
      <c r="H1788" s="193"/>
      <c r="I1788" s="193"/>
      <c r="J1788" s="193"/>
      <c r="K1788" s="193"/>
      <c r="L1788" s="193"/>
      <c r="M1788" s="193"/>
      <c r="N1788" s="193"/>
      <c r="O1788" s="193"/>
      <c r="S1788" s="194"/>
      <c r="T1788" s="194"/>
      <c r="U1788" s="194"/>
      <c r="V1788" s="194"/>
      <c r="W1788" s="194"/>
      <c r="X1788" s="194"/>
      <c r="Y1788" s="194"/>
      <c r="Z1788" s="194"/>
      <c r="AA1788" s="194"/>
      <c r="AB1788" s="194"/>
      <c r="AC1788" s="194"/>
      <c r="AD1788" s="194"/>
      <c r="AE1788" s="195"/>
      <c r="AF1788" s="195"/>
      <c r="AG1788" s="195"/>
      <c r="AH1788" s="195"/>
    </row>
    <row r="1789" customHeight="1" spans="1:34">
      <c r="A1789" s="204" t="s">
        <v>905</v>
      </c>
      <c r="B1789" s="215" t="s">
        <v>514</v>
      </c>
      <c r="C1789" s="215"/>
      <c r="D1789" s="54"/>
      <c r="E1789" s="220">
        <f>G1777</f>
        <v>2182.85086271161</v>
      </c>
      <c r="F1789" s="221">
        <f>费率表!$I$4</f>
        <v>0.048</v>
      </c>
      <c r="G1789" s="216">
        <f t="shared" si="167"/>
        <v>104.776841410157</v>
      </c>
      <c r="H1789" s="193"/>
      <c r="I1789" s="193"/>
      <c r="J1789" s="193"/>
      <c r="K1789" s="193"/>
      <c r="L1789" s="193"/>
      <c r="M1789" s="193"/>
      <c r="N1789" s="193"/>
      <c r="O1789" s="193"/>
      <c r="S1789" s="194"/>
      <c r="T1789" s="194"/>
      <c r="U1789" s="194"/>
      <c r="V1789" s="194"/>
      <c r="W1789" s="194"/>
      <c r="X1789" s="194"/>
      <c r="Y1789" s="194"/>
      <c r="Z1789" s="194"/>
      <c r="AA1789" s="194"/>
      <c r="AB1789" s="194"/>
      <c r="AC1789" s="194"/>
      <c r="AD1789" s="194"/>
      <c r="AE1789" s="195"/>
      <c r="AF1789" s="195"/>
      <c r="AG1789" s="195"/>
      <c r="AH1789" s="195"/>
    </row>
    <row r="1790" customHeight="1" spans="1:34">
      <c r="A1790" s="204" t="s">
        <v>10</v>
      </c>
      <c r="B1790" s="215" t="s">
        <v>770</v>
      </c>
      <c r="C1790" s="215"/>
      <c r="D1790" s="54"/>
      <c r="E1790" s="214">
        <f>G1776</f>
        <v>2287.62770412176</v>
      </c>
      <c r="F1790" s="222">
        <f>费率表!$I$5</f>
        <v>0.07</v>
      </c>
      <c r="G1790" s="216">
        <f t="shared" si="167"/>
        <v>160.133939288523</v>
      </c>
      <c r="H1790" s="193"/>
      <c r="I1790" s="193"/>
      <c r="J1790" s="193"/>
      <c r="K1790" s="193"/>
      <c r="L1790" s="193"/>
      <c r="M1790" s="193"/>
      <c r="N1790" s="193"/>
      <c r="O1790" s="193"/>
      <c r="S1790" s="194"/>
      <c r="T1790" s="194"/>
      <c r="U1790" s="194"/>
      <c r="V1790" s="194"/>
      <c r="W1790" s="194"/>
      <c r="X1790" s="194"/>
      <c r="Y1790" s="194"/>
      <c r="Z1790" s="194"/>
      <c r="AA1790" s="194"/>
      <c r="AB1790" s="194"/>
      <c r="AC1790" s="194"/>
      <c r="AD1790" s="194"/>
      <c r="AE1790" s="195"/>
      <c r="AF1790" s="195"/>
      <c r="AG1790" s="195"/>
      <c r="AH1790" s="195"/>
    </row>
    <row r="1791" customHeight="1" spans="1:34">
      <c r="A1791" s="204" t="s">
        <v>12</v>
      </c>
      <c r="B1791" s="215" t="s">
        <v>771</v>
      </c>
      <c r="C1791" s="215"/>
      <c r="D1791" s="54"/>
      <c r="E1791" s="214">
        <f>G1776+G1790</f>
        <v>2447.76164341029</v>
      </c>
      <c r="F1791" s="222">
        <f>费率表!$I$6</f>
        <v>0.07</v>
      </c>
      <c r="G1791" s="216">
        <f t="shared" si="167"/>
        <v>171.34331503872</v>
      </c>
      <c r="H1791" s="193"/>
      <c r="I1791" s="193"/>
      <c r="J1791" s="193"/>
      <c r="K1791" s="193"/>
      <c r="L1791" s="193"/>
      <c r="M1791" s="193"/>
      <c r="N1791" s="193"/>
      <c r="O1791" s="193"/>
      <c r="S1791" s="194"/>
      <c r="T1791" s="194"/>
      <c r="U1791" s="194"/>
      <c r="V1791" s="194"/>
      <c r="W1791" s="194"/>
      <c r="X1791" s="194"/>
      <c r="Y1791" s="194"/>
      <c r="Z1791" s="194"/>
      <c r="AA1791" s="194"/>
      <c r="AB1791" s="194"/>
      <c r="AC1791" s="194"/>
      <c r="AD1791" s="194"/>
      <c r="AE1791" s="195"/>
      <c r="AF1791" s="195"/>
      <c r="AG1791" s="195"/>
      <c r="AH1791" s="195"/>
    </row>
    <row r="1792" customHeight="1" spans="1:34">
      <c r="A1792" s="204" t="s">
        <v>15</v>
      </c>
      <c r="B1792" s="218" t="s">
        <v>517</v>
      </c>
      <c r="C1792" s="219"/>
      <c r="D1792" s="54"/>
      <c r="E1792" s="214"/>
      <c r="F1792" s="230"/>
      <c r="G1792" s="216">
        <f>SUM(G1793:G1793)</f>
        <v>58.0897241379314</v>
      </c>
      <c r="H1792" s="193"/>
      <c r="I1792" s="193"/>
      <c r="J1792" s="193"/>
      <c r="K1792" s="193"/>
      <c r="L1792" s="193"/>
      <c r="M1792" s="193"/>
      <c r="N1792" s="193"/>
      <c r="O1792" s="193"/>
      <c r="S1792" s="194"/>
      <c r="T1792" s="194"/>
      <c r="U1792" s="194"/>
      <c r="V1792" s="194"/>
      <c r="W1792" s="194"/>
      <c r="X1792" s="194"/>
      <c r="Y1792" s="194"/>
      <c r="Z1792" s="194"/>
      <c r="AA1792" s="194"/>
      <c r="AB1792" s="194"/>
      <c r="AC1792" s="194"/>
      <c r="AD1792" s="194"/>
      <c r="AE1792" s="195"/>
      <c r="AF1792" s="195"/>
      <c r="AG1792" s="195"/>
      <c r="AH1792" s="195"/>
    </row>
    <row r="1793" customHeight="1" spans="1:34">
      <c r="A1793" s="204"/>
      <c r="B1793" s="218" t="s">
        <v>696</v>
      </c>
      <c r="C1793" s="219"/>
      <c r="D1793" s="54" t="s">
        <v>695</v>
      </c>
      <c r="E1793" s="214">
        <f>E1787*施工机械台时费!$K$65</f>
        <v>7.44</v>
      </c>
      <c r="F1793" s="214">
        <f>主要材料预算!$N$14</f>
        <v>7.8077586206897</v>
      </c>
      <c r="G1793" s="216">
        <f t="shared" ref="G1793:G1795" si="168">E1793*F1793</f>
        <v>58.0897241379314</v>
      </c>
      <c r="H1793" s="193"/>
      <c r="I1793" s="193"/>
      <c r="J1793" s="193"/>
      <c r="K1793" s="193"/>
      <c r="L1793" s="193"/>
      <c r="M1793" s="193"/>
      <c r="N1793" s="193"/>
      <c r="O1793" s="193"/>
      <c r="S1793" s="194"/>
      <c r="T1793" s="194"/>
      <c r="U1793" s="194"/>
      <c r="V1793" s="194"/>
      <c r="W1793" s="194"/>
      <c r="X1793" s="194"/>
      <c r="Y1793" s="194"/>
      <c r="Z1793" s="194"/>
      <c r="AA1793" s="194"/>
      <c r="AB1793" s="194"/>
      <c r="AC1793" s="194"/>
      <c r="AD1793" s="194"/>
      <c r="AE1793" s="195"/>
      <c r="AF1793" s="195"/>
      <c r="AG1793" s="195"/>
      <c r="AH1793" s="195"/>
    </row>
    <row r="1794" customHeight="1" spans="1:34">
      <c r="A1794" s="204" t="s">
        <v>906</v>
      </c>
      <c r="B1794" s="215" t="s">
        <v>772</v>
      </c>
      <c r="C1794" s="215"/>
      <c r="D1794" s="54"/>
      <c r="E1794" s="214">
        <f>G1776+G1790+G1791+G1792</f>
        <v>2677.19468258693</v>
      </c>
      <c r="F1794" s="222">
        <f>费率表!$I$7</f>
        <v>0.09</v>
      </c>
      <c r="G1794" s="216">
        <f t="shared" si="168"/>
        <v>240.947521432824</v>
      </c>
      <c r="H1794" s="193"/>
      <c r="I1794" s="193"/>
      <c r="J1794" s="193"/>
      <c r="K1794" s="193"/>
      <c r="L1794" s="193"/>
      <c r="M1794" s="193"/>
      <c r="N1794" s="193"/>
      <c r="O1794" s="193"/>
      <c r="S1794" s="194"/>
      <c r="T1794" s="194"/>
      <c r="U1794" s="194"/>
      <c r="V1794" s="194"/>
      <c r="W1794" s="194"/>
      <c r="X1794" s="194"/>
      <c r="Y1794" s="194"/>
      <c r="Z1794" s="194"/>
      <c r="AA1794" s="194"/>
      <c r="AB1794" s="194"/>
      <c r="AC1794" s="194"/>
      <c r="AD1794" s="194"/>
      <c r="AE1794" s="195"/>
      <c r="AF1794" s="195"/>
      <c r="AG1794" s="195"/>
      <c r="AH1794" s="195"/>
    </row>
    <row r="1795" customHeight="1" spans="1:34">
      <c r="A1795" s="204"/>
      <c r="B1795" s="215" t="s">
        <v>907</v>
      </c>
      <c r="C1795" s="215"/>
      <c r="D1795" s="54"/>
      <c r="E1795" s="214">
        <f>G1776+G1790+G1791+G1792+G1794</f>
        <v>2918.14220401976</v>
      </c>
      <c r="F1795" s="222">
        <f>费率表!$B$19</f>
        <v>0.03</v>
      </c>
      <c r="G1795" s="216">
        <f t="shared" si="168"/>
        <v>87.5442661205927</v>
      </c>
      <c r="H1795" s="193"/>
      <c r="I1795" s="193"/>
      <c r="J1795" s="193"/>
      <c r="K1795" s="193"/>
      <c r="L1795" s="193"/>
      <c r="M1795" s="193"/>
      <c r="N1795" s="193"/>
      <c r="O1795" s="193"/>
      <c r="S1795" s="194"/>
      <c r="T1795" s="194"/>
      <c r="U1795" s="194"/>
      <c r="V1795" s="194"/>
      <c r="W1795" s="194"/>
      <c r="X1795" s="194"/>
      <c r="Y1795" s="194"/>
      <c r="Z1795" s="194"/>
      <c r="AA1795" s="194"/>
      <c r="AB1795" s="194"/>
      <c r="AC1795" s="194"/>
      <c r="AD1795" s="194"/>
      <c r="AE1795" s="195"/>
      <c r="AF1795" s="195"/>
      <c r="AG1795" s="195"/>
      <c r="AH1795" s="195"/>
    </row>
    <row r="1796" customHeight="1" spans="1:34">
      <c r="A1796" s="223"/>
      <c r="B1796" s="224" t="s">
        <v>39</v>
      </c>
      <c r="C1796" s="224"/>
      <c r="D1796" s="224"/>
      <c r="E1796" s="225"/>
      <c r="F1796" s="224"/>
      <c r="G1796" s="226">
        <f>G1776+G1790+G1791+G1792+G1794+G1795</f>
        <v>3005.68647014035</v>
      </c>
      <c r="H1796" s="193"/>
      <c r="I1796" s="193"/>
      <c r="J1796" s="193"/>
      <c r="K1796" s="193"/>
      <c r="L1796" s="193"/>
      <c r="M1796" s="193"/>
      <c r="N1796" s="193"/>
      <c r="O1796" s="193"/>
      <c r="S1796" s="194"/>
      <c r="T1796" s="194"/>
      <c r="U1796" s="194"/>
      <c r="V1796" s="194"/>
      <c r="W1796" s="194"/>
      <c r="X1796" s="194"/>
      <c r="Y1796" s="194"/>
      <c r="Z1796" s="194"/>
      <c r="AA1796" s="194"/>
      <c r="AB1796" s="194"/>
      <c r="AC1796" s="194"/>
      <c r="AD1796" s="194"/>
      <c r="AE1796" s="195"/>
      <c r="AF1796" s="195"/>
      <c r="AG1796" s="195"/>
      <c r="AH1796" s="195"/>
    </row>
    <row r="1797" customHeight="1" spans="1:34">
      <c r="H1797" s="193"/>
      <c r="I1797" s="193"/>
      <c r="J1797" s="193"/>
      <c r="K1797" s="193"/>
      <c r="L1797" s="193"/>
      <c r="M1797" s="193"/>
      <c r="N1797" s="193"/>
      <c r="O1797" s="193"/>
      <c r="S1797" s="194"/>
      <c r="T1797" s="194"/>
      <c r="U1797" s="194"/>
      <c r="V1797" s="194"/>
      <c r="W1797" s="194"/>
      <c r="X1797" s="194"/>
      <c r="Y1797" s="194"/>
      <c r="Z1797" s="194"/>
      <c r="AA1797" s="194"/>
      <c r="AB1797" s="194"/>
      <c r="AC1797" s="194"/>
      <c r="AD1797" s="194"/>
      <c r="AE1797" s="195"/>
      <c r="AF1797" s="195"/>
      <c r="AG1797" s="195"/>
      <c r="AH1797" s="195"/>
    </row>
    <row r="1798" customHeight="1" spans="1:34">
      <c r="A1798" s="285" t="s">
        <v>868</v>
      </c>
      <c r="B1798" s="285"/>
      <c r="C1798" s="285"/>
      <c r="D1798" s="285"/>
      <c r="E1798" s="285"/>
      <c r="F1798" s="285"/>
      <c r="G1798" s="285"/>
      <c r="H1798" s="193"/>
      <c r="I1798" s="193"/>
      <c r="J1798" s="193"/>
      <c r="K1798" s="193"/>
      <c r="L1798" s="193"/>
      <c r="M1798" s="193"/>
      <c r="N1798" s="193"/>
      <c r="O1798" s="193"/>
      <c r="S1798" s="194"/>
      <c r="T1798" s="194"/>
      <c r="U1798" s="194"/>
      <c r="V1798" s="194"/>
      <c r="W1798" s="194"/>
      <c r="X1798" s="194"/>
      <c r="Y1798" s="194"/>
      <c r="Z1798" s="194"/>
      <c r="AA1798" s="194"/>
      <c r="AB1798" s="194"/>
      <c r="AC1798" s="194"/>
      <c r="AD1798" s="194"/>
      <c r="AE1798" s="195"/>
      <c r="AF1798" s="195"/>
      <c r="AG1798" s="195"/>
      <c r="AH1798" s="195"/>
    </row>
    <row r="1799" customHeight="1" spans="1:34">
      <c r="A1799" s="286" t="s">
        <v>869</v>
      </c>
      <c r="B1799" s="287"/>
      <c r="C1799" s="200"/>
      <c r="D1799" s="200" t="s">
        <v>870</v>
      </c>
      <c r="E1799" s="201" t="s">
        <v>1515</v>
      </c>
      <c r="F1799" s="202"/>
      <c r="G1799" s="203"/>
      <c r="H1799" s="193"/>
      <c r="I1799" s="193"/>
      <c r="J1799" s="193"/>
      <c r="K1799" s="193"/>
      <c r="L1799" s="193"/>
      <c r="M1799" s="193"/>
      <c r="N1799" s="193"/>
      <c r="O1799" s="193"/>
      <c r="S1799" s="194"/>
      <c r="T1799" s="194"/>
      <c r="U1799" s="194"/>
      <c r="V1799" s="194"/>
      <c r="W1799" s="194"/>
      <c r="X1799" s="194"/>
      <c r="Y1799" s="194"/>
      <c r="Z1799" s="194"/>
      <c r="AA1799" s="194"/>
      <c r="AB1799" s="194"/>
      <c r="AC1799" s="194"/>
      <c r="AD1799" s="194"/>
      <c r="AE1799" s="195"/>
      <c r="AF1799" s="195"/>
      <c r="AG1799" s="195"/>
      <c r="AH1799" s="195"/>
    </row>
    <row r="1800" customHeight="1" spans="1:34">
      <c r="A1800" s="288" t="s">
        <v>507</v>
      </c>
      <c r="B1800" s="289"/>
      <c r="C1800" s="290" t="s">
        <v>1513</v>
      </c>
      <c r="D1800" s="291"/>
      <c r="E1800" s="292"/>
      <c r="F1800" s="54" t="s">
        <v>873</v>
      </c>
      <c r="G1800" s="207" t="s">
        <v>592</v>
      </c>
      <c r="H1800" s="193"/>
      <c r="I1800" s="193"/>
      <c r="J1800" s="193"/>
      <c r="K1800" s="193"/>
      <c r="L1800" s="193"/>
      <c r="M1800" s="193"/>
      <c r="N1800" s="193"/>
      <c r="O1800" s="193"/>
      <c r="S1800" s="194"/>
      <c r="T1800" s="194"/>
      <c r="U1800" s="194"/>
      <c r="V1800" s="194"/>
      <c r="W1800" s="194"/>
      <c r="X1800" s="194"/>
      <c r="Y1800" s="194"/>
      <c r="Z1800" s="194"/>
      <c r="AA1800" s="194"/>
      <c r="AB1800" s="194"/>
      <c r="AC1800" s="194"/>
      <c r="AD1800" s="194"/>
      <c r="AE1800" s="195"/>
      <c r="AF1800" s="195"/>
      <c r="AG1800" s="195"/>
      <c r="AH1800" s="195"/>
    </row>
    <row r="1801" customHeight="1" spans="1:34">
      <c r="A1801" s="293" t="s">
        <v>875</v>
      </c>
      <c r="B1801" s="291"/>
      <c r="C1801" s="291"/>
      <c r="D1801" s="291"/>
      <c r="E1801" s="291"/>
      <c r="F1801" s="291"/>
      <c r="G1801" s="294"/>
      <c r="H1801" s="193"/>
      <c r="I1801" s="193"/>
      <c r="J1801" s="193"/>
      <c r="K1801" s="193"/>
      <c r="L1801" s="193"/>
      <c r="M1801" s="193"/>
      <c r="N1801" s="193"/>
      <c r="O1801" s="193"/>
      <c r="S1801" s="194"/>
      <c r="T1801" s="194"/>
      <c r="U1801" s="194"/>
      <c r="V1801" s="194"/>
      <c r="W1801" s="194"/>
      <c r="X1801" s="194"/>
      <c r="Y1801" s="194"/>
      <c r="Z1801" s="194"/>
      <c r="AA1801" s="194"/>
      <c r="AB1801" s="194"/>
      <c r="AC1801" s="194"/>
      <c r="AD1801" s="194"/>
      <c r="AE1801" s="195"/>
      <c r="AF1801" s="195"/>
      <c r="AG1801" s="195"/>
      <c r="AH1801" s="195"/>
    </row>
    <row r="1802" customHeight="1" spans="1:34">
      <c r="A1802" s="210" t="s">
        <v>1509</v>
      </c>
      <c r="B1802" s="211"/>
      <c r="C1802" s="211"/>
      <c r="D1802" s="211"/>
      <c r="E1802" s="211"/>
      <c r="F1802" s="211"/>
      <c r="G1802" s="295"/>
      <c r="H1802" s="193"/>
      <c r="I1802" s="193"/>
      <c r="J1802" s="193"/>
      <c r="K1802" s="193"/>
      <c r="L1802" s="193"/>
      <c r="M1802" s="193"/>
      <c r="N1802" s="193"/>
      <c r="O1802" s="193"/>
      <c r="S1802" s="194"/>
      <c r="T1802" s="194"/>
      <c r="U1802" s="194"/>
      <c r="V1802" s="194"/>
      <c r="W1802" s="194"/>
      <c r="X1802" s="194"/>
      <c r="Y1802" s="194"/>
      <c r="Z1802" s="194"/>
      <c r="AA1802" s="194"/>
      <c r="AB1802" s="194"/>
      <c r="AC1802" s="194"/>
      <c r="AD1802" s="194"/>
      <c r="AE1802" s="195"/>
      <c r="AF1802" s="195"/>
      <c r="AG1802" s="195"/>
      <c r="AH1802" s="195"/>
    </row>
    <row r="1803" customHeight="1" spans="1:34">
      <c r="A1803" s="204" t="s">
        <v>34</v>
      </c>
      <c r="B1803" s="54" t="s">
        <v>761</v>
      </c>
      <c r="C1803" s="54"/>
      <c r="D1803" s="54" t="s">
        <v>60</v>
      </c>
      <c r="E1803" s="214" t="s">
        <v>877</v>
      </c>
      <c r="F1803" s="54" t="s">
        <v>878</v>
      </c>
      <c r="G1803" s="207" t="s">
        <v>879</v>
      </c>
      <c r="H1803" s="193"/>
      <c r="I1803" s="193"/>
      <c r="J1803" s="193"/>
      <c r="K1803" s="193"/>
      <c r="L1803" s="193"/>
      <c r="M1803" s="193"/>
      <c r="N1803" s="193"/>
      <c r="O1803" s="193"/>
      <c r="S1803" s="194"/>
      <c r="T1803" s="194"/>
      <c r="U1803" s="194"/>
      <c r="V1803" s="194"/>
      <c r="W1803" s="194"/>
      <c r="X1803" s="194"/>
      <c r="Y1803" s="194"/>
      <c r="Z1803" s="194"/>
      <c r="AA1803" s="194"/>
      <c r="AB1803" s="194"/>
      <c r="AC1803" s="194"/>
      <c r="AD1803" s="194"/>
      <c r="AE1803" s="195"/>
      <c r="AF1803" s="195"/>
      <c r="AG1803" s="195"/>
      <c r="AH1803" s="195"/>
    </row>
    <row r="1804" customHeight="1" spans="1:34">
      <c r="A1804" s="204" t="s">
        <v>8</v>
      </c>
      <c r="B1804" s="215" t="s">
        <v>880</v>
      </c>
      <c r="C1804" s="215"/>
      <c r="D1804" s="54"/>
      <c r="E1804" s="214"/>
      <c r="F1804" s="214"/>
      <c r="G1804" s="216">
        <f>G1805+G1817</f>
        <v>370.458424121765</v>
      </c>
      <c r="H1804" s="193"/>
      <c r="I1804" s="193"/>
      <c r="J1804" s="193"/>
      <c r="K1804" s="193"/>
      <c r="L1804" s="193"/>
      <c r="M1804" s="193"/>
      <c r="N1804" s="193"/>
      <c r="O1804" s="193"/>
      <c r="S1804" s="194"/>
      <c r="T1804" s="194"/>
      <c r="U1804" s="194"/>
      <c r="V1804" s="194"/>
      <c r="W1804" s="194"/>
      <c r="X1804" s="194"/>
      <c r="Y1804" s="194"/>
      <c r="Z1804" s="194"/>
      <c r="AA1804" s="194"/>
      <c r="AB1804" s="194"/>
      <c r="AC1804" s="194"/>
      <c r="AD1804" s="194"/>
      <c r="AE1804" s="195"/>
      <c r="AF1804" s="195"/>
      <c r="AG1804" s="195"/>
      <c r="AH1804" s="195"/>
    </row>
    <row r="1805" customHeight="1" spans="1:34">
      <c r="A1805" s="204" t="s">
        <v>881</v>
      </c>
      <c r="B1805" s="215" t="s">
        <v>882</v>
      </c>
      <c r="C1805" s="215"/>
      <c r="D1805" s="54"/>
      <c r="E1805" s="214"/>
      <c r="F1805" s="214"/>
      <c r="G1805" s="216">
        <f>G1806+G1809+G1814</f>
        <v>353.490862711607</v>
      </c>
      <c r="H1805" s="193"/>
      <c r="I1805" s="193"/>
      <c r="J1805" s="193"/>
      <c r="K1805" s="193"/>
      <c r="L1805" s="193"/>
      <c r="M1805" s="193"/>
      <c r="N1805" s="193"/>
      <c r="O1805" s="193"/>
      <c r="S1805" s="194"/>
      <c r="T1805" s="194"/>
      <c r="U1805" s="194"/>
      <c r="V1805" s="194"/>
      <c r="W1805" s="194"/>
      <c r="X1805" s="194"/>
      <c r="Y1805" s="194"/>
      <c r="Z1805" s="194"/>
      <c r="AA1805" s="194"/>
      <c r="AB1805" s="194"/>
      <c r="AC1805" s="194"/>
      <c r="AD1805" s="194"/>
      <c r="AE1805" s="195"/>
      <c r="AF1805" s="195"/>
      <c r="AG1805" s="195"/>
      <c r="AH1805" s="195"/>
    </row>
    <row r="1806" customHeight="1" spans="1:34">
      <c r="A1806" s="204" t="s">
        <v>17</v>
      </c>
      <c r="B1806" s="215" t="s">
        <v>510</v>
      </c>
      <c r="C1806" s="215"/>
      <c r="D1806" s="54"/>
      <c r="E1806" s="214"/>
      <c r="F1806" s="214"/>
      <c r="G1806" s="216">
        <f>SUM(G1807:G1808)</f>
        <v>184.64</v>
      </c>
      <c r="H1806" s="193"/>
      <c r="I1806" s="193"/>
      <c r="J1806" s="193"/>
      <c r="K1806" s="193"/>
      <c r="L1806" s="193"/>
      <c r="M1806" s="193"/>
      <c r="N1806" s="193"/>
      <c r="O1806" s="193"/>
      <c r="S1806" s="194"/>
      <c r="T1806" s="194"/>
      <c r="U1806" s="194"/>
      <c r="V1806" s="194"/>
      <c r="W1806" s="194"/>
      <c r="X1806" s="194"/>
      <c r="Y1806" s="194"/>
      <c r="Z1806" s="194"/>
      <c r="AA1806" s="194"/>
      <c r="AB1806" s="194"/>
      <c r="AC1806" s="194"/>
      <c r="AD1806" s="194"/>
      <c r="AE1806" s="195"/>
      <c r="AF1806" s="195"/>
      <c r="AG1806" s="195"/>
      <c r="AH1806" s="195"/>
    </row>
    <row r="1807" customHeight="1" spans="1:34">
      <c r="A1807" s="204"/>
      <c r="B1807" s="215" t="s">
        <v>704</v>
      </c>
      <c r="C1807" s="215"/>
      <c r="D1807" s="54" t="s">
        <v>705</v>
      </c>
      <c r="E1807" s="214"/>
      <c r="F1807" s="214">
        <f>主要材料预算!$D$19</f>
        <v>8.1</v>
      </c>
      <c r="G1807" s="216">
        <f t="shared" ref="G1807:G1813" si="169">E1807*F1807</f>
        <v>0</v>
      </c>
      <c r="H1807" s="193"/>
      <c r="I1807" s="193"/>
      <c r="J1807" s="193"/>
      <c r="K1807" s="193"/>
      <c r="L1807" s="193"/>
      <c r="M1807" s="193"/>
      <c r="N1807" s="193"/>
      <c r="O1807" s="193"/>
      <c r="S1807" s="194"/>
      <c r="T1807" s="194"/>
      <c r="U1807" s="194"/>
      <c r="V1807" s="194"/>
      <c r="W1807" s="194"/>
      <c r="X1807" s="194"/>
      <c r="Y1807" s="194"/>
      <c r="Z1807" s="194"/>
      <c r="AA1807" s="194"/>
      <c r="AB1807" s="194"/>
      <c r="AC1807" s="194"/>
      <c r="AD1807" s="194"/>
      <c r="AE1807" s="195"/>
      <c r="AF1807" s="195"/>
      <c r="AG1807" s="195"/>
      <c r="AH1807" s="195"/>
    </row>
    <row r="1808" customHeight="1" spans="1:34">
      <c r="A1808" s="204"/>
      <c r="B1808" s="215" t="s">
        <v>706</v>
      </c>
      <c r="C1808" s="215"/>
      <c r="D1808" s="54" t="s">
        <v>705</v>
      </c>
      <c r="E1808" s="217">
        <v>32</v>
      </c>
      <c r="F1808" s="214">
        <f>主要材料预算!$D$20</f>
        <v>5.77</v>
      </c>
      <c r="G1808" s="216">
        <f t="shared" si="169"/>
        <v>184.64</v>
      </c>
      <c r="H1808" s="193"/>
      <c r="I1808" s="193"/>
      <c r="J1808" s="193"/>
      <c r="K1808" s="193"/>
      <c r="L1808" s="193"/>
      <c r="M1808" s="193"/>
      <c r="N1808" s="193"/>
      <c r="O1808" s="193"/>
      <c r="S1808" s="194"/>
      <c r="T1808" s="194"/>
      <c r="U1808" s="194"/>
      <c r="V1808" s="194"/>
      <c r="W1808" s="194"/>
      <c r="X1808" s="194"/>
      <c r="Y1808" s="194"/>
      <c r="Z1808" s="194"/>
      <c r="AA1808" s="194"/>
      <c r="AB1808" s="194"/>
      <c r="AC1808" s="194"/>
      <c r="AD1808" s="194"/>
      <c r="AE1808" s="195"/>
      <c r="AF1808" s="195"/>
      <c r="AG1808" s="195"/>
      <c r="AH1808" s="195"/>
    </row>
    <row r="1809" customHeight="1" spans="1:34">
      <c r="A1809" s="204" t="s">
        <v>19</v>
      </c>
      <c r="B1809" s="218" t="s">
        <v>511</v>
      </c>
      <c r="C1809" s="219"/>
      <c r="D1809" s="54"/>
      <c r="E1809" s="214"/>
      <c r="F1809" s="214"/>
      <c r="G1809" s="216">
        <f>SUM(G1810:G1813)</f>
        <v>83.4</v>
      </c>
      <c r="H1809" s="193"/>
      <c r="I1809" s="193"/>
      <c r="J1809" s="193"/>
      <c r="K1809" s="193"/>
      <c r="L1809" s="193"/>
      <c r="M1809" s="193"/>
      <c r="N1809" s="193"/>
      <c r="O1809" s="193"/>
      <c r="S1809" s="194"/>
      <c r="T1809" s="194"/>
      <c r="U1809" s="194"/>
      <c r="V1809" s="194"/>
      <c r="W1809" s="194"/>
      <c r="X1809" s="194"/>
      <c r="Y1809" s="194"/>
      <c r="Z1809" s="194"/>
      <c r="AA1809" s="194"/>
      <c r="AB1809" s="194"/>
      <c r="AC1809" s="194"/>
      <c r="AD1809" s="194"/>
      <c r="AE1809" s="195"/>
      <c r="AF1809" s="195"/>
      <c r="AG1809" s="195"/>
      <c r="AH1809" s="195"/>
    </row>
    <row r="1810" customHeight="1" spans="1:34">
      <c r="A1810" s="204"/>
      <c r="B1810" s="218" t="s">
        <v>1503</v>
      </c>
      <c r="C1810" s="219"/>
      <c r="D1810" s="54" t="s">
        <v>1142</v>
      </c>
      <c r="E1810" s="214"/>
      <c r="F1810" s="214">
        <f>基础材料!$D$30</f>
        <v>0.5</v>
      </c>
      <c r="G1810" s="216">
        <f t="shared" si="169"/>
        <v>0</v>
      </c>
      <c r="H1810" s="193"/>
      <c r="I1810" s="193"/>
      <c r="J1810" s="193"/>
      <c r="K1810" s="193"/>
      <c r="L1810" s="193"/>
      <c r="M1810" s="193"/>
      <c r="N1810" s="193"/>
      <c r="O1810" s="193"/>
      <c r="S1810" s="194"/>
      <c r="T1810" s="194"/>
      <c r="U1810" s="194"/>
      <c r="V1810" s="194"/>
      <c r="W1810" s="194"/>
      <c r="X1810" s="194"/>
      <c r="Y1810" s="194"/>
      <c r="Z1810" s="194"/>
      <c r="AA1810" s="194"/>
      <c r="AB1810" s="194"/>
      <c r="AC1810" s="194"/>
      <c r="AD1810" s="194"/>
      <c r="AE1810" s="195"/>
      <c r="AF1810" s="195"/>
      <c r="AG1810" s="195"/>
      <c r="AH1810" s="195"/>
    </row>
    <row r="1811" customHeight="1" spans="1:34">
      <c r="A1811" s="204"/>
      <c r="B1811" s="218" t="s">
        <v>1510</v>
      </c>
      <c r="C1811" s="219"/>
      <c r="D1811" s="54" t="s">
        <v>695</v>
      </c>
      <c r="E1811" s="214">
        <v>4.4</v>
      </c>
      <c r="F1811" s="214">
        <f>基础材料!$D$31</f>
        <v>1.5</v>
      </c>
      <c r="G1811" s="216">
        <f t="shared" si="169"/>
        <v>6.6</v>
      </c>
      <c r="H1811" s="193"/>
      <c r="I1811" s="193"/>
      <c r="J1811" s="193"/>
      <c r="K1811" s="193"/>
      <c r="L1811" s="193"/>
      <c r="M1811" s="193"/>
      <c r="N1811" s="193"/>
      <c r="O1811" s="193"/>
      <c r="S1811" s="194"/>
      <c r="T1811" s="194"/>
      <c r="U1811" s="194"/>
      <c r="V1811" s="194"/>
      <c r="W1811" s="194"/>
      <c r="X1811" s="194"/>
      <c r="Y1811" s="194"/>
      <c r="Z1811" s="194"/>
      <c r="AA1811" s="194"/>
      <c r="AB1811" s="194"/>
      <c r="AC1811" s="194"/>
      <c r="AD1811" s="194"/>
      <c r="AE1811" s="195"/>
      <c r="AF1811" s="195"/>
      <c r="AG1811" s="195"/>
      <c r="AH1811" s="195"/>
    </row>
    <row r="1812" customHeight="1" spans="1:34">
      <c r="A1812" s="204"/>
      <c r="B1812" s="218" t="s">
        <v>1514</v>
      </c>
      <c r="C1812" s="219"/>
      <c r="D1812" s="54" t="s">
        <v>695</v>
      </c>
      <c r="E1812" s="214"/>
      <c r="F1812" s="214">
        <f>基础材料!$D$32</f>
        <v>3.5</v>
      </c>
      <c r="G1812" s="216">
        <f t="shared" si="169"/>
        <v>0</v>
      </c>
      <c r="H1812" s="193"/>
      <c r="I1812" s="193"/>
      <c r="J1812" s="193"/>
      <c r="K1812" s="193"/>
      <c r="L1812" s="193"/>
      <c r="M1812" s="193"/>
      <c r="N1812" s="193"/>
      <c r="O1812" s="193"/>
      <c r="S1812" s="194"/>
      <c r="T1812" s="194"/>
      <c r="U1812" s="194"/>
      <c r="V1812" s="194"/>
      <c r="W1812" s="194"/>
      <c r="X1812" s="194"/>
      <c r="Y1812" s="194"/>
      <c r="Z1812" s="194"/>
      <c r="AA1812" s="194"/>
      <c r="AB1812" s="194"/>
      <c r="AC1812" s="194"/>
      <c r="AD1812" s="194"/>
      <c r="AE1812" s="195"/>
      <c r="AF1812" s="195"/>
      <c r="AG1812" s="195"/>
      <c r="AH1812" s="195"/>
    </row>
    <row r="1813" customHeight="1" spans="1:34">
      <c r="A1813" s="204"/>
      <c r="B1813" s="296" t="s">
        <v>1504</v>
      </c>
      <c r="C1813" s="297"/>
      <c r="D1813" s="54" t="s">
        <v>204</v>
      </c>
      <c r="E1813" s="214">
        <v>24</v>
      </c>
      <c r="F1813" s="214">
        <f>基础材料!$D$33</f>
        <v>3.2</v>
      </c>
      <c r="G1813" s="216">
        <f t="shared" si="169"/>
        <v>76.8</v>
      </c>
      <c r="H1813" s="193"/>
      <c r="I1813" s="193"/>
      <c r="J1813" s="193"/>
      <c r="K1813" s="193"/>
      <c r="L1813" s="193"/>
      <c r="M1813" s="193"/>
      <c r="N1813" s="193"/>
      <c r="O1813" s="193"/>
      <c r="S1813" s="194"/>
      <c r="T1813" s="194"/>
      <c r="U1813" s="194"/>
      <c r="V1813" s="194"/>
      <c r="W1813" s="194"/>
      <c r="X1813" s="194"/>
      <c r="Y1813" s="194"/>
      <c r="Z1813" s="194"/>
      <c r="AA1813" s="194"/>
      <c r="AB1813" s="194"/>
      <c r="AC1813" s="194"/>
      <c r="AD1813" s="194"/>
      <c r="AE1813" s="195"/>
      <c r="AF1813" s="195"/>
      <c r="AG1813" s="195"/>
      <c r="AH1813" s="195"/>
    </row>
    <row r="1814" customHeight="1" spans="1:34">
      <c r="A1814" s="204" t="s">
        <v>21</v>
      </c>
      <c r="B1814" s="215" t="s">
        <v>895</v>
      </c>
      <c r="C1814" s="215"/>
      <c r="D1814" s="215"/>
      <c r="E1814" s="214"/>
      <c r="F1814" s="214"/>
      <c r="G1814" s="216">
        <f>SUM(G1815:G1816)</f>
        <v>85.4508627116075</v>
      </c>
      <c r="H1814" s="193"/>
      <c r="I1814" s="193"/>
      <c r="J1814" s="193"/>
      <c r="K1814" s="193"/>
      <c r="L1814" s="193"/>
      <c r="M1814" s="193"/>
      <c r="N1814" s="193"/>
      <c r="O1814" s="193"/>
      <c r="S1814" s="194"/>
      <c r="T1814" s="194"/>
      <c r="U1814" s="194"/>
      <c r="V1814" s="194"/>
      <c r="W1814" s="194"/>
      <c r="X1814" s="194"/>
      <c r="Y1814" s="194"/>
      <c r="Z1814" s="194"/>
      <c r="AA1814" s="194"/>
      <c r="AB1814" s="194"/>
      <c r="AC1814" s="194"/>
      <c r="AD1814" s="194"/>
      <c r="AE1814" s="195"/>
      <c r="AF1814" s="195"/>
      <c r="AG1814" s="195"/>
      <c r="AH1814" s="195"/>
    </row>
    <row r="1815" customHeight="1" spans="1:34">
      <c r="A1815" s="204"/>
      <c r="B1815" s="218" t="s">
        <v>1511</v>
      </c>
      <c r="C1815" s="219"/>
      <c r="D1815" s="54" t="s">
        <v>896</v>
      </c>
      <c r="E1815" s="214">
        <v>3</v>
      </c>
      <c r="F1815" s="214">
        <f>施工机械台时费!$E$65</f>
        <v>25.1400007977663</v>
      </c>
      <c r="G1815" s="216">
        <f t="shared" ref="G1815:G1819" si="170">E1815*F1815</f>
        <v>75.4200023932988</v>
      </c>
      <c r="H1815" s="193"/>
      <c r="I1815" s="193"/>
      <c r="J1815" s="193"/>
      <c r="K1815" s="193"/>
      <c r="L1815" s="193"/>
      <c r="M1815" s="193"/>
      <c r="N1815" s="193"/>
      <c r="O1815" s="193"/>
      <c r="S1815" s="194"/>
      <c r="T1815" s="194"/>
      <c r="U1815" s="194"/>
      <c r="V1815" s="194"/>
      <c r="W1815" s="194"/>
      <c r="X1815" s="194"/>
      <c r="Y1815" s="194"/>
      <c r="Z1815" s="194"/>
      <c r="AA1815" s="194"/>
      <c r="AB1815" s="194"/>
      <c r="AC1815" s="194"/>
      <c r="AD1815" s="194"/>
      <c r="AE1815" s="195"/>
      <c r="AF1815" s="195"/>
      <c r="AG1815" s="195"/>
      <c r="AH1815" s="195"/>
    </row>
    <row r="1816" customHeight="1" spans="1:34">
      <c r="A1816" s="204"/>
      <c r="B1816" s="218" t="s">
        <v>902</v>
      </c>
      <c r="C1816" s="219"/>
      <c r="D1816" s="54" t="s">
        <v>894</v>
      </c>
      <c r="E1816" s="214">
        <f>SUM(G1815:G1815)</f>
        <v>75.4200023932988</v>
      </c>
      <c r="F1816" s="214">
        <v>13.3</v>
      </c>
      <c r="G1816" s="216">
        <f>E1816*F1816/100</f>
        <v>10.0308603183087</v>
      </c>
      <c r="H1816" s="193"/>
      <c r="I1816" s="193"/>
      <c r="J1816" s="193"/>
      <c r="K1816" s="193"/>
      <c r="L1816" s="193"/>
      <c r="M1816" s="193"/>
      <c r="N1816" s="193"/>
      <c r="O1816" s="193"/>
      <c r="S1816" s="194"/>
      <c r="T1816" s="194"/>
      <c r="U1816" s="194"/>
      <c r="V1816" s="194"/>
      <c r="W1816" s="194"/>
      <c r="X1816" s="194"/>
      <c r="Y1816" s="194"/>
      <c r="Z1816" s="194"/>
      <c r="AA1816" s="194"/>
      <c r="AB1816" s="194"/>
      <c r="AC1816" s="194"/>
      <c r="AD1816" s="194"/>
      <c r="AE1816" s="195"/>
      <c r="AF1816" s="195"/>
      <c r="AG1816" s="195"/>
      <c r="AH1816" s="195"/>
    </row>
    <row r="1817" customHeight="1" spans="1:34">
      <c r="A1817" s="204" t="s">
        <v>905</v>
      </c>
      <c r="B1817" s="215" t="s">
        <v>514</v>
      </c>
      <c r="C1817" s="215"/>
      <c r="D1817" s="54"/>
      <c r="E1817" s="220">
        <f>G1805</f>
        <v>353.490862711607</v>
      </c>
      <c r="F1817" s="221">
        <f>费率表!$I$4</f>
        <v>0.048</v>
      </c>
      <c r="G1817" s="216">
        <f t="shared" si="170"/>
        <v>16.9675614101572</v>
      </c>
      <c r="H1817" s="193"/>
      <c r="I1817" s="193"/>
      <c r="J1817" s="193"/>
      <c r="K1817" s="193"/>
      <c r="L1817" s="193"/>
      <c r="M1817" s="193"/>
      <c r="N1817" s="193"/>
      <c r="O1817" s="193"/>
      <c r="S1817" s="194"/>
      <c r="T1817" s="194"/>
      <c r="U1817" s="194"/>
      <c r="V1817" s="194"/>
      <c r="W1817" s="194"/>
      <c r="X1817" s="194"/>
      <c r="Y1817" s="194"/>
      <c r="Z1817" s="194"/>
      <c r="AA1817" s="194"/>
      <c r="AB1817" s="194"/>
      <c r="AC1817" s="194"/>
      <c r="AD1817" s="194"/>
      <c r="AE1817" s="195"/>
      <c r="AF1817" s="195"/>
      <c r="AG1817" s="195"/>
      <c r="AH1817" s="195"/>
    </row>
    <row r="1818" customHeight="1" spans="1:34">
      <c r="A1818" s="204" t="s">
        <v>10</v>
      </c>
      <c r="B1818" s="215" t="s">
        <v>770</v>
      </c>
      <c r="C1818" s="215"/>
      <c r="D1818" s="54"/>
      <c r="E1818" s="214">
        <f>G1804</f>
        <v>370.458424121765</v>
      </c>
      <c r="F1818" s="222">
        <f>费率表!$I$5</f>
        <v>0.07</v>
      </c>
      <c r="G1818" s="216">
        <f t="shared" si="170"/>
        <v>25.9320896885235</v>
      </c>
      <c r="H1818" s="193"/>
      <c r="I1818" s="193"/>
      <c r="J1818" s="193"/>
      <c r="K1818" s="193"/>
      <c r="L1818" s="193"/>
      <c r="M1818" s="193"/>
      <c r="N1818" s="193"/>
      <c r="O1818" s="193"/>
      <c r="S1818" s="194"/>
      <c r="T1818" s="194"/>
      <c r="U1818" s="194"/>
      <c r="V1818" s="194"/>
      <c r="W1818" s="194"/>
      <c r="X1818" s="194"/>
      <c r="Y1818" s="194"/>
      <c r="Z1818" s="194"/>
      <c r="AA1818" s="194"/>
      <c r="AB1818" s="194"/>
      <c r="AC1818" s="194"/>
      <c r="AD1818" s="194"/>
      <c r="AE1818" s="195"/>
      <c r="AF1818" s="195"/>
      <c r="AG1818" s="195"/>
      <c r="AH1818" s="195"/>
    </row>
    <row r="1819" customHeight="1" spans="1:34">
      <c r="A1819" s="204" t="s">
        <v>12</v>
      </c>
      <c r="B1819" s="215" t="s">
        <v>771</v>
      </c>
      <c r="C1819" s="215"/>
      <c r="D1819" s="54"/>
      <c r="E1819" s="214">
        <f>G1804+G1818</f>
        <v>396.390513810288</v>
      </c>
      <c r="F1819" s="222">
        <f>费率表!$I$6</f>
        <v>0.07</v>
      </c>
      <c r="G1819" s="216">
        <f t="shared" si="170"/>
        <v>27.7473359667202</v>
      </c>
      <c r="H1819" s="193"/>
      <c r="I1819" s="193"/>
      <c r="J1819" s="193"/>
      <c r="K1819" s="193"/>
      <c r="L1819" s="193"/>
      <c r="M1819" s="193"/>
      <c r="N1819" s="193"/>
      <c r="O1819" s="193"/>
      <c r="S1819" s="194"/>
      <c r="T1819" s="194"/>
      <c r="U1819" s="194"/>
      <c r="V1819" s="194"/>
      <c r="W1819" s="194"/>
      <c r="X1819" s="194"/>
      <c r="Y1819" s="194"/>
      <c r="Z1819" s="194"/>
      <c r="AA1819" s="194"/>
      <c r="AB1819" s="194"/>
      <c r="AC1819" s="194"/>
      <c r="AD1819" s="194"/>
      <c r="AE1819" s="195"/>
      <c r="AF1819" s="195"/>
      <c r="AG1819" s="195"/>
      <c r="AH1819" s="195"/>
    </row>
    <row r="1820" customHeight="1" spans="1:34">
      <c r="A1820" s="204" t="s">
        <v>15</v>
      </c>
      <c r="B1820" s="218" t="s">
        <v>517</v>
      </c>
      <c r="C1820" s="219"/>
      <c r="D1820" s="54"/>
      <c r="E1820" s="214"/>
      <c r="F1820" s="230"/>
      <c r="G1820" s="216">
        <f>SUM(G1821:G1821)</f>
        <v>58.0897241379314</v>
      </c>
      <c r="H1820" s="193"/>
      <c r="I1820" s="193"/>
      <c r="J1820" s="193"/>
      <c r="K1820" s="193"/>
      <c r="L1820" s="193"/>
      <c r="M1820" s="193"/>
      <c r="N1820" s="193"/>
      <c r="O1820" s="193"/>
      <c r="S1820" s="194"/>
      <c r="T1820" s="194"/>
      <c r="U1820" s="194"/>
      <c r="V1820" s="194"/>
      <c r="W1820" s="194"/>
      <c r="X1820" s="194"/>
      <c r="Y1820" s="194"/>
      <c r="Z1820" s="194"/>
      <c r="AA1820" s="194"/>
      <c r="AB1820" s="194"/>
      <c r="AC1820" s="194"/>
      <c r="AD1820" s="194"/>
      <c r="AE1820" s="195"/>
      <c r="AF1820" s="195"/>
      <c r="AG1820" s="195"/>
      <c r="AH1820" s="195"/>
    </row>
    <row r="1821" customHeight="1" spans="1:34">
      <c r="A1821" s="204"/>
      <c r="B1821" s="218" t="s">
        <v>696</v>
      </c>
      <c r="C1821" s="219"/>
      <c r="D1821" s="54" t="s">
        <v>695</v>
      </c>
      <c r="E1821" s="214">
        <f>E1815*施工机械台时费!$K$65</f>
        <v>7.44</v>
      </c>
      <c r="F1821" s="214">
        <f>主要材料预算!$N$14</f>
        <v>7.8077586206897</v>
      </c>
      <c r="G1821" s="216">
        <f t="shared" ref="G1821:G1823" si="171">E1821*F1821</f>
        <v>58.0897241379314</v>
      </c>
      <c r="H1821" s="193"/>
      <c r="I1821" s="193"/>
      <c r="J1821" s="193"/>
      <c r="K1821" s="193"/>
      <c r="L1821" s="193"/>
      <c r="M1821" s="193"/>
      <c r="N1821" s="193"/>
      <c r="O1821" s="193"/>
      <c r="S1821" s="194"/>
      <c r="T1821" s="194"/>
      <c r="U1821" s="194"/>
      <c r="V1821" s="194"/>
      <c r="W1821" s="194"/>
      <c r="X1821" s="194"/>
      <c r="Y1821" s="194"/>
      <c r="Z1821" s="194"/>
      <c r="AA1821" s="194"/>
      <c r="AB1821" s="194"/>
      <c r="AC1821" s="194"/>
      <c r="AD1821" s="194"/>
      <c r="AE1821" s="195"/>
      <c r="AF1821" s="195"/>
      <c r="AG1821" s="195"/>
      <c r="AH1821" s="195"/>
    </row>
    <row r="1822" customHeight="1" spans="1:34">
      <c r="A1822" s="204" t="s">
        <v>906</v>
      </c>
      <c r="B1822" s="215" t="s">
        <v>772</v>
      </c>
      <c r="C1822" s="215"/>
      <c r="D1822" s="54"/>
      <c r="E1822" s="214">
        <f>G1804+G1818+G1819+G1820</f>
        <v>482.22757391494</v>
      </c>
      <c r="F1822" s="222">
        <f>费率表!$I$7</f>
        <v>0.09</v>
      </c>
      <c r="G1822" s="216">
        <f t="shared" si="171"/>
        <v>43.4004816523446</v>
      </c>
      <c r="H1822" s="193"/>
      <c r="I1822" s="193"/>
      <c r="J1822" s="193"/>
      <c r="K1822" s="193"/>
      <c r="L1822" s="193"/>
      <c r="M1822" s="193"/>
      <c r="N1822" s="193"/>
      <c r="O1822" s="193"/>
      <c r="S1822" s="194"/>
      <c r="T1822" s="194"/>
      <c r="U1822" s="194"/>
      <c r="V1822" s="194"/>
      <c r="W1822" s="194"/>
      <c r="X1822" s="194"/>
      <c r="Y1822" s="194"/>
      <c r="Z1822" s="194"/>
      <c r="AA1822" s="194"/>
      <c r="AB1822" s="194"/>
      <c r="AC1822" s="194"/>
      <c r="AD1822" s="194"/>
      <c r="AE1822" s="195"/>
      <c r="AF1822" s="195"/>
      <c r="AG1822" s="195"/>
      <c r="AH1822" s="195"/>
    </row>
    <row r="1823" customHeight="1" spans="1:34">
      <c r="A1823" s="204"/>
      <c r="B1823" s="215" t="s">
        <v>907</v>
      </c>
      <c r="C1823" s="215"/>
      <c r="D1823" s="54"/>
      <c r="E1823" s="214">
        <f>G1804+G1818+G1819+G1820+G1822</f>
        <v>525.628055567285</v>
      </c>
      <c r="F1823" s="222">
        <f>费率表!$B$19</f>
        <v>0.03</v>
      </c>
      <c r="G1823" s="216">
        <f t="shared" si="171"/>
        <v>15.7688416670185</v>
      </c>
      <c r="H1823" s="193"/>
      <c r="I1823" s="193"/>
      <c r="J1823" s="193"/>
      <c r="K1823" s="193"/>
      <c r="L1823" s="193"/>
      <c r="M1823" s="193"/>
      <c r="N1823" s="193"/>
      <c r="O1823" s="193"/>
      <c r="S1823" s="194"/>
      <c r="T1823" s="194"/>
      <c r="U1823" s="194"/>
      <c r="V1823" s="194"/>
      <c r="W1823" s="194"/>
      <c r="X1823" s="194"/>
      <c r="Y1823" s="194"/>
      <c r="Z1823" s="194"/>
      <c r="AA1823" s="194"/>
      <c r="AB1823" s="194"/>
      <c r="AC1823" s="194"/>
      <c r="AD1823" s="194"/>
      <c r="AE1823" s="195"/>
      <c r="AF1823" s="195"/>
      <c r="AG1823" s="195"/>
      <c r="AH1823" s="195"/>
    </row>
    <row r="1824" customHeight="1" spans="1:34">
      <c r="A1824" s="223"/>
      <c r="B1824" s="224" t="s">
        <v>39</v>
      </c>
      <c r="C1824" s="224"/>
      <c r="D1824" s="224"/>
      <c r="E1824" s="225"/>
      <c r="F1824" s="224"/>
      <c r="G1824" s="226">
        <f>G1804+G1818+G1819+G1820+G1822+G1823</f>
        <v>541.396897234303</v>
      </c>
      <c r="H1824" s="193"/>
      <c r="I1824" s="193"/>
      <c r="J1824" s="193"/>
      <c r="K1824" s="193"/>
      <c r="L1824" s="193"/>
      <c r="M1824" s="193"/>
      <c r="N1824" s="193"/>
      <c r="O1824" s="193"/>
      <c r="S1824" s="194"/>
      <c r="T1824" s="194"/>
      <c r="U1824" s="194"/>
      <c r="V1824" s="194"/>
      <c r="W1824" s="194"/>
      <c r="X1824" s="194"/>
      <c r="Y1824" s="194"/>
      <c r="Z1824" s="194"/>
      <c r="AA1824" s="194"/>
      <c r="AB1824" s="194"/>
      <c r="AC1824" s="194"/>
      <c r="AD1824" s="194"/>
      <c r="AE1824" s="195"/>
      <c r="AF1824" s="195"/>
      <c r="AG1824" s="195"/>
      <c r="AH1824" s="195"/>
    </row>
    <row r="1825" customHeight="1" spans="1:34">
      <c r="H1825" s="193"/>
      <c r="I1825" s="193"/>
      <c r="J1825" s="193"/>
      <c r="K1825" s="193"/>
      <c r="L1825" s="193"/>
      <c r="M1825" s="193"/>
      <c r="N1825" s="193"/>
      <c r="O1825" s="193"/>
      <c r="S1825" s="194"/>
      <c r="T1825" s="194"/>
      <c r="U1825" s="194"/>
      <c r="V1825" s="194"/>
      <c r="W1825" s="194"/>
      <c r="X1825" s="194"/>
      <c r="Y1825" s="194"/>
      <c r="Z1825" s="194"/>
      <c r="AA1825" s="194"/>
      <c r="AB1825" s="194"/>
      <c r="AC1825" s="194"/>
      <c r="AD1825" s="194"/>
      <c r="AE1825" s="195"/>
      <c r="AF1825" s="195"/>
      <c r="AG1825" s="195"/>
      <c r="AH1825" s="195"/>
    </row>
    <row r="1826" customHeight="1" spans="1:34">
      <c r="H1826" s="193"/>
      <c r="I1826" s="193"/>
      <c r="J1826" s="193"/>
      <c r="K1826" s="193"/>
      <c r="L1826" s="193"/>
      <c r="M1826" s="193"/>
      <c r="N1826" s="193"/>
      <c r="O1826" s="193"/>
      <c r="S1826" s="194"/>
      <c r="T1826" s="194"/>
      <c r="U1826" s="194"/>
      <c r="V1826" s="194"/>
      <c r="W1826" s="194"/>
      <c r="X1826" s="194"/>
      <c r="Y1826" s="194"/>
      <c r="Z1826" s="194"/>
      <c r="AA1826" s="194"/>
      <c r="AB1826" s="194"/>
      <c r="AC1826" s="194"/>
      <c r="AD1826" s="194"/>
      <c r="AE1826" s="195"/>
      <c r="AF1826" s="195"/>
      <c r="AG1826" s="195"/>
      <c r="AH1826" s="195"/>
    </row>
    <row r="1827" customHeight="1" spans="1:34">
      <c r="A1827" s="285" t="s">
        <v>868</v>
      </c>
      <c r="B1827" s="285"/>
      <c r="C1827" s="285"/>
      <c r="D1827" s="285"/>
      <c r="E1827" s="285"/>
      <c r="F1827" s="285"/>
      <c r="G1827" s="285"/>
      <c r="H1827" s="193"/>
      <c r="I1827" s="193"/>
      <c r="J1827" s="193"/>
      <c r="K1827" s="193"/>
      <c r="L1827" s="193"/>
      <c r="M1827" s="193"/>
      <c r="N1827" s="193"/>
      <c r="O1827" s="193"/>
      <c r="S1827" s="194"/>
      <c r="T1827" s="194"/>
      <c r="U1827" s="194"/>
      <c r="V1827" s="194"/>
      <c r="W1827" s="194"/>
      <c r="X1827" s="194"/>
      <c r="Y1827" s="194"/>
      <c r="Z1827" s="194"/>
      <c r="AA1827" s="194"/>
      <c r="AB1827" s="194"/>
      <c r="AC1827" s="194"/>
      <c r="AD1827" s="194"/>
      <c r="AE1827" s="195"/>
      <c r="AF1827" s="195"/>
      <c r="AG1827" s="195"/>
      <c r="AH1827" s="195"/>
    </row>
    <row r="1828" customHeight="1" spans="1:34">
      <c r="A1828" s="286" t="s">
        <v>869</v>
      </c>
      <c r="B1828" s="287"/>
      <c r="C1828" s="200"/>
      <c r="D1828" s="200" t="s">
        <v>870</v>
      </c>
      <c r="E1828" s="201" t="s">
        <v>1516</v>
      </c>
      <c r="F1828" s="202"/>
      <c r="G1828" s="203"/>
      <c r="H1828" s="193"/>
      <c r="I1828" s="193"/>
      <c r="J1828" s="193"/>
      <c r="K1828" s="193"/>
      <c r="L1828" s="193"/>
      <c r="M1828" s="193"/>
      <c r="N1828" s="193"/>
      <c r="O1828" s="193"/>
      <c r="S1828" s="194"/>
      <c r="T1828" s="194"/>
      <c r="U1828" s="194"/>
      <c r="V1828" s="194"/>
      <c r="W1828" s="194"/>
      <c r="X1828" s="194"/>
      <c r="Y1828" s="194"/>
      <c r="Z1828" s="194"/>
      <c r="AA1828" s="194"/>
      <c r="AB1828" s="194"/>
      <c r="AC1828" s="194"/>
      <c r="AD1828" s="194"/>
      <c r="AE1828" s="195"/>
      <c r="AF1828" s="195"/>
      <c r="AG1828" s="195"/>
      <c r="AH1828" s="195"/>
    </row>
    <row r="1829" customHeight="1" spans="1:34">
      <c r="A1829" s="288" t="s">
        <v>507</v>
      </c>
      <c r="B1829" s="289"/>
      <c r="C1829" s="290" t="s">
        <v>1517</v>
      </c>
      <c r="D1829" s="291"/>
      <c r="E1829" s="292"/>
      <c r="F1829" s="54" t="s">
        <v>873</v>
      </c>
      <c r="G1829" s="207" t="s">
        <v>589</v>
      </c>
      <c r="H1829" s="193"/>
      <c r="I1829" s="193"/>
      <c r="J1829" s="193"/>
      <c r="K1829" s="193"/>
      <c r="L1829" s="193"/>
      <c r="M1829" s="193"/>
      <c r="N1829" s="193"/>
      <c r="O1829" s="193"/>
      <c r="S1829" s="194"/>
      <c r="T1829" s="194"/>
      <c r="U1829" s="194"/>
      <c r="V1829" s="194"/>
      <c r="W1829" s="194"/>
      <c r="X1829" s="194"/>
      <c r="Y1829" s="194"/>
      <c r="Z1829" s="194"/>
      <c r="AA1829" s="194"/>
      <c r="AB1829" s="194"/>
      <c r="AC1829" s="194"/>
      <c r="AD1829" s="194"/>
      <c r="AE1829" s="195"/>
      <c r="AF1829" s="195"/>
      <c r="AG1829" s="195"/>
      <c r="AH1829" s="195"/>
    </row>
    <row r="1830" customHeight="1" spans="1:34">
      <c r="A1830" s="293" t="s">
        <v>875</v>
      </c>
      <c r="B1830" s="291"/>
      <c r="C1830" s="291"/>
      <c r="D1830" s="291"/>
      <c r="E1830" s="291"/>
      <c r="F1830" s="291"/>
      <c r="G1830" s="294"/>
      <c r="H1830" s="193"/>
      <c r="I1830" s="193"/>
      <c r="J1830" s="193"/>
      <c r="K1830" s="193"/>
      <c r="L1830" s="193"/>
      <c r="M1830" s="193"/>
      <c r="N1830" s="193"/>
      <c r="O1830" s="193"/>
      <c r="S1830" s="194"/>
      <c r="T1830" s="194"/>
      <c r="U1830" s="194"/>
      <c r="V1830" s="194"/>
      <c r="W1830" s="194"/>
      <c r="X1830" s="194"/>
      <c r="Y1830" s="194"/>
      <c r="Z1830" s="194"/>
      <c r="AA1830" s="194"/>
      <c r="AB1830" s="194"/>
      <c r="AC1830" s="194"/>
      <c r="AD1830" s="194"/>
      <c r="AE1830" s="195"/>
      <c r="AF1830" s="195"/>
      <c r="AG1830" s="195"/>
      <c r="AH1830" s="195"/>
    </row>
    <row r="1831" customHeight="1" spans="1:34">
      <c r="A1831" s="210" t="s">
        <v>1518</v>
      </c>
      <c r="B1831" s="211"/>
      <c r="C1831" s="211"/>
      <c r="D1831" s="211"/>
      <c r="E1831" s="211"/>
      <c r="F1831" s="211"/>
      <c r="G1831" s="295"/>
      <c r="H1831" s="193"/>
      <c r="I1831" s="193"/>
      <c r="J1831" s="193"/>
      <c r="K1831" s="193"/>
      <c r="L1831" s="193"/>
      <c r="M1831" s="193"/>
      <c r="N1831" s="193"/>
      <c r="O1831" s="193"/>
      <c r="S1831" s="194"/>
      <c r="T1831" s="194"/>
      <c r="U1831" s="194"/>
      <c r="V1831" s="194"/>
      <c r="W1831" s="194"/>
      <c r="X1831" s="194"/>
      <c r="Y1831" s="194"/>
      <c r="Z1831" s="194"/>
      <c r="AA1831" s="194"/>
      <c r="AB1831" s="194"/>
      <c r="AC1831" s="194"/>
      <c r="AD1831" s="194"/>
      <c r="AE1831" s="195"/>
      <c r="AF1831" s="195"/>
      <c r="AG1831" s="195"/>
      <c r="AH1831" s="195"/>
    </row>
    <row r="1832" customHeight="1" spans="1:34">
      <c r="A1832" s="204" t="s">
        <v>34</v>
      </c>
      <c r="B1832" s="54" t="s">
        <v>761</v>
      </c>
      <c r="C1832" s="54"/>
      <c r="D1832" s="54" t="s">
        <v>60</v>
      </c>
      <c r="E1832" s="214" t="s">
        <v>877</v>
      </c>
      <c r="F1832" s="54" t="s">
        <v>878</v>
      </c>
      <c r="G1832" s="207" t="s">
        <v>879</v>
      </c>
      <c r="H1832" s="193"/>
      <c r="I1832" s="193"/>
      <c r="J1832" s="193"/>
      <c r="K1832" s="193"/>
      <c r="L1832" s="193"/>
      <c r="M1832" s="193"/>
      <c r="N1832" s="193"/>
      <c r="O1832" s="193"/>
      <c r="S1832" s="194"/>
      <c r="T1832" s="194"/>
      <c r="U1832" s="194"/>
      <c r="V1832" s="194"/>
      <c r="W1832" s="194"/>
      <c r="X1832" s="194"/>
      <c r="Y1832" s="194"/>
      <c r="Z1832" s="194"/>
      <c r="AA1832" s="194"/>
      <c r="AB1832" s="194"/>
      <c r="AC1832" s="194"/>
      <c r="AD1832" s="194"/>
      <c r="AE1832" s="195"/>
      <c r="AF1832" s="195"/>
      <c r="AG1832" s="195"/>
      <c r="AH1832" s="195"/>
    </row>
    <row r="1833" customHeight="1" spans="1:34">
      <c r="A1833" s="204" t="s">
        <v>8</v>
      </c>
      <c r="B1833" s="215" t="s">
        <v>880</v>
      </c>
      <c r="C1833" s="215"/>
      <c r="D1833" s="54"/>
      <c r="E1833" s="214"/>
      <c r="F1833" s="214"/>
      <c r="G1833" s="216">
        <f>G1834+G1838</f>
        <v>362.8176</v>
      </c>
      <c r="H1833" s="193"/>
      <c r="I1833" s="193"/>
      <c r="J1833" s="193"/>
      <c r="K1833" s="193"/>
      <c r="L1833" s="193"/>
      <c r="M1833" s="193"/>
      <c r="N1833" s="193"/>
      <c r="O1833" s="193"/>
      <c r="S1833" s="194"/>
      <c r="T1833" s="194"/>
      <c r="U1833" s="194"/>
      <c r="V1833" s="194"/>
      <c r="W1833" s="194"/>
      <c r="X1833" s="194"/>
      <c r="Y1833" s="194"/>
      <c r="Z1833" s="194"/>
      <c r="AA1833" s="194"/>
      <c r="AB1833" s="194"/>
      <c r="AC1833" s="194"/>
      <c r="AD1833" s="194"/>
      <c r="AE1833" s="195"/>
      <c r="AF1833" s="195"/>
      <c r="AG1833" s="195"/>
      <c r="AH1833" s="195"/>
    </row>
    <row r="1834" customHeight="1" spans="1:34">
      <c r="A1834" s="204" t="s">
        <v>881</v>
      </c>
      <c r="B1834" s="215" t="s">
        <v>882</v>
      </c>
      <c r="C1834" s="215"/>
      <c r="D1834" s="54"/>
      <c r="E1834" s="214"/>
      <c r="F1834" s="214"/>
      <c r="G1834" s="216">
        <f>G1835</f>
        <v>346.2</v>
      </c>
      <c r="H1834" s="193"/>
      <c r="I1834" s="193"/>
      <c r="J1834" s="193"/>
      <c r="K1834" s="193"/>
      <c r="L1834" s="193"/>
      <c r="M1834" s="193"/>
      <c r="N1834" s="193"/>
      <c r="O1834" s="193"/>
      <c r="S1834" s="194"/>
      <c r="T1834" s="194"/>
      <c r="U1834" s="194"/>
      <c r="V1834" s="194"/>
      <c r="W1834" s="194"/>
      <c r="X1834" s="194"/>
      <c r="Y1834" s="194"/>
      <c r="Z1834" s="194"/>
      <c r="AA1834" s="194"/>
      <c r="AB1834" s="194"/>
      <c r="AC1834" s="194"/>
      <c r="AD1834" s="194"/>
      <c r="AE1834" s="195"/>
      <c r="AF1834" s="195"/>
      <c r="AG1834" s="195"/>
      <c r="AH1834" s="195"/>
    </row>
    <row r="1835" customHeight="1" spans="1:34">
      <c r="A1835" s="204" t="s">
        <v>17</v>
      </c>
      <c r="B1835" s="215" t="s">
        <v>510</v>
      </c>
      <c r="C1835" s="215"/>
      <c r="D1835" s="54"/>
      <c r="E1835" s="214"/>
      <c r="F1835" s="214"/>
      <c r="G1835" s="216">
        <f>SUM(G1836:G1837)</f>
        <v>346.2</v>
      </c>
      <c r="H1835" s="193"/>
      <c r="I1835" s="193"/>
      <c r="J1835" s="193"/>
      <c r="K1835" s="193"/>
      <c r="L1835" s="193"/>
      <c r="M1835" s="193"/>
      <c r="N1835" s="193"/>
      <c r="O1835" s="193"/>
      <c r="S1835" s="194"/>
      <c r="T1835" s="194"/>
      <c r="U1835" s="194"/>
      <c r="V1835" s="194"/>
      <c r="W1835" s="194"/>
      <c r="X1835" s="194"/>
      <c r="Y1835" s="194"/>
      <c r="Z1835" s="194"/>
      <c r="AA1835" s="194"/>
      <c r="AB1835" s="194"/>
      <c r="AC1835" s="194"/>
      <c r="AD1835" s="194"/>
      <c r="AE1835" s="195"/>
      <c r="AF1835" s="195"/>
      <c r="AG1835" s="195"/>
      <c r="AH1835" s="195"/>
    </row>
    <row r="1836" customHeight="1" spans="1:34">
      <c r="A1836" s="204"/>
      <c r="B1836" s="215" t="s">
        <v>704</v>
      </c>
      <c r="C1836" s="215"/>
      <c r="D1836" s="54" t="s">
        <v>705</v>
      </c>
      <c r="E1836" s="214"/>
      <c r="F1836" s="214"/>
      <c r="G1836" s="216"/>
      <c r="H1836" s="193"/>
      <c r="I1836" s="193"/>
      <c r="J1836" s="193"/>
      <c r="K1836" s="193"/>
      <c r="L1836" s="193"/>
      <c r="M1836" s="193"/>
      <c r="N1836" s="193"/>
      <c r="O1836" s="193"/>
      <c r="S1836" s="194"/>
      <c r="T1836" s="194"/>
      <c r="U1836" s="194"/>
      <c r="V1836" s="194"/>
      <c r="W1836" s="194"/>
      <c r="X1836" s="194"/>
      <c r="Y1836" s="194"/>
      <c r="Z1836" s="194"/>
      <c r="AA1836" s="194"/>
      <c r="AB1836" s="194"/>
      <c r="AC1836" s="194"/>
      <c r="AD1836" s="194"/>
      <c r="AE1836" s="195"/>
      <c r="AF1836" s="195"/>
      <c r="AG1836" s="195"/>
      <c r="AH1836" s="195"/>
    </row>
    <row r="1837" customHeight="1" spans="1:34">
      <c r="A1837" s="204"/>
      <c r="B1837" s="215" t="s">
        <v>706</v>
      </c>
      <c r="C1837" s="215"/>
      <c r="D1837" s="54" t="s">
        <v>705</v>
      </c>
      <c r="E1837" s="217">
        <v>60</v>
      </c>
      <c r="F1837" s="214">
        <f>主要材料预算!$D$20</f>
        <v>5.77</v>
      </c>
      <c r="G1837" s="216">
        <f t="shared" ref="G1837:G1842" si="172">E1837*F1837</f>
        <v>346.2</v>
      </c>
      <c r="H1837" s="193"/>
      <c r="I1837" s="193"/>
      <c r="J1837" s="193"/>
      <c r="K1837" s="193"/>
      <c r="L1837" s="193"/>
      <c r="M1837" s="193"/>
      <c r="N1837" s="193"/>
      <c r="O1837" s="193"/>
      <c r="S1837" s="194"/>
      <c r="T1837" s="194"/>
      <c r="U1837" s="194"/>
      <c r="V1837" s="194"/>
      <c r="W1837" s="194"/>
      <c r="X1837" s="194"/>
      <c r="Y1837" s="194"/>
      <c r="Z1837" s="194"/>
      <c r="AA1837" s="194"/>
      <c r="AB1837" s="194"/>
      <c r="AC1837" s="194"/>
      <c r="AD1837" s="194"/>
      <c r="AE1837" s="195"/>
      <c r="AF1837" s="195"/>
      <c r="AG1837" s="195"/>
      <c r="AH1837" s="195"/>
    </row>
    <row r="1838" customHeight="1" spans="1:34">
      <c r="A1838" s="204" t="s">
        <v>905</v>
      </c>
      <c r="B1838" s="215" t="s">
        <v>514</v>
      </c>
      <c r="C1838" s="215"/>
      <c r="D1838" s="54"/>
      <c r="E1838" s="220">
        <f>G1834</f>
        <v>346.2</v>
      </c>
      <c r="F1838" s="221">
        <f>费率表!$I$4</f>
        <v>0.048</v>
      </c>
      <c r="G1838" s="216">
        <f t="shared" si="172"/>
        <v>16.6176</v>
      </c>
      <c r="H1838" s="193"/>
      <c r="I1838" s="193"/>
      <c r="J1838" s="193"/>
      <c r="K1838" s="193"/>
      <c r="L1838" s="193"/>
      <c r="M1838" s="193"/>
      <c r="N1838" s="193"/>
      <c r="O1838" s="193"/>
      <c r="S1838" s="194"/>
      <c r="T1838" s="194"/>
      <c r="U1838" s="194"/>
      <c r="V1838" s="194"/>
      <c r="W1838" s="194"/>
      <c r="X1838" s="194"/>
      <c r="Y1838" s="194"/>
      <c r="Z1838" s="194"/>
      <c r="AA1838" s="194"/>
      <c r="AB1838" s="194"/>
      <c r="AC1838" s="194"/>
      <c r="AD1838" s="194"/>
      <c r="AE1838" s="195"/>
      <c r="AF1838" s="195"/>
      <c r="AG1838" s="195"/>
      <c r="AH1838" s="195"/>
    </row>
    <row r="1839" customHeight="1" spans="1:34">
      <c r="A1839" s="204" t="s">
        <v>10</v>
      </c>
      <c r="B1839" s="215" t="s">
        <v>770</v>
      </c>
      <c r="C1839" s="215"/>
      <c r="D1839" s="54"/>
      <c r="E1839" s="214">
        <f>G1833</f>
        <v>362.8176</v>
      </c>
      <c r="F1839" s="222">
        <f>费率表!$I$5</f>
        <v>0.07</v>
      </c>
      <c r="G1839" s="216">
        <f t="shared" si="172"/>
        <v>25.397232</v>
      </c>
      <c r="H1839" s="193"/>
      <c r="I1839" s="193"/>
      <c r="J1839" s="193"/>
      <c r="K1839" s="193"/>
      <c r="L1839" s="193"/>
      <c r="M1839" s="193"/>
      <c r="N1839" s="193"/>
      <c r="O1839" s="193"/>
      <c r="S1839" s="194"/>
      <c r="T1839" s="194"/>
      <c r="U1839" s="194"/>
      <c r="V1839" s="194"/>
      <c r="W1839" s="194"/>
      <c r="X1839" s="194"/>
      <c r="Y1839" s="194"/>
      <c r="Z1839" s="194"/>
      <c r="AA1839" s="194"/>
      <c r="AB1839" s="194"/>
      <c r="AC1839" s="194"/>
      <c r="AD1839" s="194"/>
      <c r="AE1839" s="195"/>
      <c r="AF1839" s="195"/>
      <c r="AG1839" s="195"/>
      <c r="AH1839" s="195"/>
    </row>
    <row r="1840" customHeight="1" spans="1:34">
      <c r="A1840" s="204" t="s">
        <v>12</v>
      </c>
      <c r="B1840" s="215" t="s">
        <v>771</v>
      </c>
      <c r="C1840" s="215"/>
      <c r="D1840" s="54"/>
      <c r="E1840" s="214">
        <f>G1833+G1839</f>
        <v>388.214832</v>
      </c>
      <c r="F1840" s="222">
        <f>费率表!$I$6</f>
        <v>0.07</v>
      </c>
      <c r="G1840" s="216">
        <f t="shared" si="172"/>
        <v>27.17503824</v>
      </c>
      <c r="H1840" s="193"/>
      <c r="I1840" s="193"/>
      <c r="J1840" s="193"/>
      <c r="K1840" s="193"/>
      <c r="L1840" s="193"/>
      <c r="M1840" s="193"/>
      <c r="N1840" s="193"/>
      <c r="O1840" s="193"/>
      <c r="S1840" s="194"/>
      <c r="T1840" s="194"/>
      <c r="U1840" s="194"/>
      <c r="V1840" s="194"/>
      <c r="W1840" s="194"/>
      <c r="X1840" s="194"/>
      <c r="Y1840" s="194"/>
      <c r="Z1840" s="194"/>
      <c r="AA1840" s="194"/>
      <c r="AB1840" s="194"/>
      <c r="AC1840" s="194"/>
      <c r="AD1840" s="194"/>
      <c r="AE1840" s="195"/>
      <c r="AF1840" s="195"/>
      <c r="AG1840" s="195"/>
      <c r="AH1840" s="195"/>
    </row>
    <row r="1841" customHeight="1" spans="1:34">
      <c r="A1841" s="204" t="s">
        <v>15</v>
      </c>
      <c r="B1841" s="215" t="s">
        <v>772</v>
      </c>
      <c r="C1841" s="215"/>
      <c r="D1841" s="54"/>
      <c r="E1841" s="214">
        <f>G1833+G1839+G1840</f>
        <v>415.38987024</v>
      </c>
      <c r="F1841" s="222">
        <f>费率表!$I$7</f>
        <v>0.09</v>
      </c>
      <c r="G1841" s="216">
        <f t="shared" si="172"/>
        <v>37.3850883216</v>
      </c>
      <c r="H1841" s="193"/>
      <c r="I1841" s="193"/>
      <c r="J1841" s="193"/>
      <c r="K1841" s="193"/>
      <c r="L1841" s="193"/>
      <c r="M1841" s="193"/>
      <c r="N1841" s="193"/>
      <c r="O1841" s="193"/>
      <c r="S1841" s="194"/>
      <c r="T1841" s="194"/>
      <c r="U1841" s="194"/>
      <c r="V1841" s="194"/>
      <c r="W1841" s="194"/>
      <c r="X1841" s="194"/>
      <c r="Y1841" s="194"/>
      <c r="Z1841" s="194"/>
      <c r="AA1841" s="194"/>
      <c r="AB1841" s="194"/>
      <c r="AC1841" s="194"/>
      <c r="AD1841" s="194"/>
      <c r="AE1841" s="195"/>
      <c r="AF1841" s="195"/>
      <c r="AG1841" s="195"/>
      <c r="AH1841" s="195"/>
    </row>
    <row r="1842" customHeight="1" spans="1:34">
      <c r="A1842" s="204"/>
      <c r="B1842" s="215" t="s">
        <v>907</v>
      </c>
      <c r="C1842" s="215"/>
      <c r="D1842" s="54"/>
      <c r="E1842" s="214">
        <f>G1833+G1839+G1840+G1841</f>
        <v>452.7749585616</v>
      </c>
      <c r="F1842" s="222">
        <f>费率表!$B$19</f>
        <v>0.03</v>
      </c>
      <c r="G1842" s="216">
        <f t="shared" si="172"/>
        <v>13.583248756848</v>
      </c>
      <c r="H1842" s="193"/>
      <c r="I1842" s="193"/>
      <c r="J1842" s="193"/>
      <c r="K1842" s="193"/>
      <c r="L1842" s="193"/>
      <c r="M1842" s="193"/>
      <c r="N1842" s="193"/>
      <c r="O1842" s="193"/>
      <c r="S1842" s="194"/>
      <c r="T1842" s="194"/>
      <c r="U1842" s="194"/>
      <c r="V1842" s="194"/>
      <c r="W1842" s="194"/>
      <c r="X1842" s="194"/>
      <c r="Y1842" s="194"/>
      <c r="Z1842" s="194"/>
      <c r="AA1842" s="194"/>
      <c r="AB1842" s="194"/>
      <c r="AC1842" s="194"/>
      <c r="AD1842" s="194"/>
      <c r="AE1842" s="195"/>
      <c r="AF1842" s="195"/>
      <c r="AG1842" s="195"/>
      <c r="AH1842" s="195"/>
    </row>
    <row r="1843" customHeight="1" spans="1:34">
      <c r="A1843" s="223"/>
      <c r="B1843" s="224" t="s">
        <v>39</v>
      </c>
      <c r="C1843" s="224"/>
      <c r="D1843" s="224"/>
      <c r="E1843" s="225"/>
      <c r="F1843" s="224"/>
      <c r="G1843" s="226">
        <f>G1833+G1839+G1840+G1841+G1842</f>
        <v>466.358207318448</v>
      </c>
      <c r="H1843" s="193"/>
      <c r="I1843" s="193"/>
      <c r="J1843" s="193"/>
      <c r="K1843" s="193"/>
      <c r="L1843" s="193"/>
      <c r="M1843" s="193"/>
      <c r="N1843" s="193"/>
      <c r="O1843" s="193"/>
      <c r="S1843" s="194"/>
      <c r="T1843" s="194"/>
      <c r="U1843" s="194"/>
      <c r="V1843" s="194"/>
      <c r="W1843" s="194"/>
      <c r="X1843" s="194"/>
      <c r="Y1843" s="194"/>
      <c r="Z1843" s="194"/>
      <c r="AA1843" s="194"/>
      <c r="AB1843" s="194"/>
      <c r="AC1843" s="194"/>
      <c r="AD1843" s="194"/>
      <c r="AE1843" s="195"/>
      <c r="AF1843" s="195"/>
      <c r="AG1843" s="195"/>
      <c r="AH1843" s="195"/>
    </row>
    <row r="1844" customHeight="1" spans="1:34">
      <c r="H1844" s="193"/>
      <c r="I1844" s="193"/>
      <c r="J1844" s="193"/>
      <c r="K1844" s="193"/>
      <c r="L1844" s="193"/>
      <c r="M1844" s="193"/>
      <c r="N1844" s="193"/>
      <c r="O1844" s="193"/>
      <c r="S1844" s="194"/>
      <c r="T1844" s="194"/>
      <c r="U1844" s="194"/>
      <c r="V1844" s="194"/>
      <c r="W1844" s="194"/>
      <c r="X1844" s="194"/>
      <c r="Y1844" s="194"/>
      <c r="Z1844" s="194"/>
      <c r="AA1844" s="194"/>
      <c r="AB1844" s="194"/>
      <c r="AC1844" s="194"/>
      <c r="AD1844" s="194"/>
      <c r="AE1844" s="195"/>
      <c r="AF1844" s="195"/>
      <c r="AG1844" s="195"/>
      <c r="AH1844" s="195"/>
    </row>
    <row r="1845" customHeight="1" spans="1:34">
      <c r="A1845" s="285" t="s">
        <v>868</v>
      </c>
      <c r="B1845" s="285"/>
      <c r="C1845" s="285"/>
      <c r="D1845" s="285"/>
      <c r="E1845" s="285"/>
      <c r="F1845" s="285"/>
      <c r="G1845" s="285"/>
      <c r="H1845" s="193"/>
      <c r="I1845" s="193"/>
      <c r="J1845" s="193"/>
      <c r="K1845" s="193"/>
      <c r="L1845" s="193"/>
      <c r="M1845" s="193"/>
      <c r="N1845" s="193"/>
      <c r="O1845" s="193"/>
      <c r="S1845" s="194"/>
      <c r="T1845" s="194"/>
      <c r="U1845" s="194"/>
      <c r="V1845" s="194"/>
      <c r="W1845" s="194"/>
      <c r="X1845" s="194"/>
      <c r="Y1845" s="194"/>
      <c r="Z1845" s="194"/>
      <c r="AA1845" s="194"/>
      <c r="AB1845" s="194"/>
      <c r="AC1845" s="194"/>
      <c r="AD1845" s="194"/>
      <c r="AE1845" s="195"/>
      <c r="AF1845" s="195"/>
      <c r="AG1845" s="195"/>
      <c r="AH1845" s="195"/>
    </row>
    <row r="1846" customHeight="1" spans="1:34">
      <c r="A1846" s="286" t="s">
        <v>869</v>
      </c>
      <c r="B1846" s="287"/>
      <c r="C1846" s="200"/>
      <c r="D1846" s="200" t="s">
        <v>870</v>
      </c>
      <c r="E1846" s="201" t="s">
        <v>1519</v>
      </c>
      <c r="F1846" s="202"/>
      <c r="G1846" s="203"/>
      <c r="H1846" s="193"/>
      <c r="I1846" s="193"/>
      <c r="J1846" s="193"/>
      <c r="K1846" s="193"/>
      <c r="L1846" s="193"/>
      <c r="M1846" s="193"/>
      <c r="N1846" s="193"/>
      <c r="O1846" s="193"/>
      <c r="S1846" s="194"/>
      <c r="T1846" s="194"/>
      <c r="U1846" s="194"/>
      <c r="V1846" s="194"/>
      <c r="W1846" s="194"/>
      <c r="X1846" s="194"/>
      <c r="Y1846" s="194"/>
      <c r="Z1846" s="194"/>
      <c r="AA1846" s="194"/>
      <c r="AB1846" s="194"/>
      <c r="AC1846" s="194"/>
      <c r="AD1846" s="194"/>
      <c r="AE1846" s="195"/>
      <c r="AF1846" s="195"/>
      <c r="AG1846" s="195"/>
      <c r="AH1846" s="195"/>
    </row>
    <row r="1847" customHeight="1" spans="1:34">
      <c r="A1847" s="288" t="s">
        <v>507</v>
      </c>
      <c r="B1847" s="289"/>
      <c r="C1847" s="290" t="s">
        <v>1520</v>
      </c>
      <c r="D1847" s="291"/>
      <c r="E1847" s="292"/>
      <c r="F1847" s="54" t="s">
        <v>873</v>
      </c>
      <c r="G1847" s="207" t="s">
        <v>592</v>
      </c>
      <c r="H1847" s="193"/>
      <c r="I1847" s="193"/>
      <c r="J1847" s="193"/>
      <c r="K1847" s="193"/>
      <c r="L1847" s="193"/>
      <c r="M1847" s="193"/>
      <c r="N1847" s="193"/>
      <c r="O1847" s="193"/>
      <c r="S1847" s="194"/>
      <c r="T1847" s="194"/>
      <c r="U1847" s="194"/>
      <c r="V1847" s="194"/>
      <c r="W1847" s="194"/>
      <c r="X1847" s="194"/>
      <c r="Y1847" s="194"/>
      <c r="Z1847" s="194"/>
      <c r="AA1847" s="194"/>
      <c r="AB1847" s="194"/>
      <c r="AC1847" s="194"/>
      <c r="AD1847" s="194"/>
      <c r="AE1847" s="195"/>
      <c r="AF1847" s="195"/>
      <c r="AG1847" s="195"/>
      <c r="AH1847" s="195"/>
    </row>
    <row r="1848" customHeight="1" spans="1:34">
      <c r="A1848" s="293" t="s">
        <v>875</v>
      </c>
      <c r="B1848" s="291"/>
      <c r="C1848" s="291"/>
      <c r="D1848" s="291"/>
      <c r="E1848" s="291"/>
      <c r="F1848" s="291"/>
      <c r="G1848" s="294"/>
      <c r="H1848" s="193"/>
      <c r="I1848" s="193"/>
      <c r="J1848" s="193"/>
      <c r="K1848" s="193"/>
      <c r="L1848" s="193"/>
      <c r="M1848" s="193"/>
      <c r="N1848" s="193"/>
      <c r="O1848" s="193"/>
      <c r="S1848" s="194"/>
      <c r="T1848" s="194"/>
      <c r="U1848" s="194"/>
      <c r="V1848" s="194"/>
      <c r="W1848" s="194"/>
      <c r="X1848" s="194"/>
      <c r="Y1848" s="194"/>
      <c r="Z1848" s="194"/>
      <c r="AA1848" s="194"/>
      <c r="AB1848" s="194"/>
      <c r="AC1848" s="194"/>
      <c r="AD1848" s="194"/>
      <c r="AE1848" s="195"/>
      <c r="AF1848" s="195"/>
      <c r="AG1848" s="195"/>
      <c r="AH1848" s="195"/>
    </row>
    <row r="1849" customHeight="1" spans="1:34">
      <c r="A1849" s="210" t="s">
        <v>1521</v>
      </c>
      <c r="B1849" s="211"/>
      <c r="C1849" s="211"/>
      <c r="D1849" s="211"/>
      <c r="E1849" s="211"/>
      <c r="F1849" s="211"/>
      <c r="G1849" s="295"/>
      <c r="H1849" s="193"/>
      <c r="I1849" s="193"/>
      <c r="J1849" s="193"/>
      <c r="K1849" s="193"/>
      <c r="L1849" s="193"/>
      <c r="M1849" s="193"/>
      <c r="N1849" s="193"/>
      <c r="O1849" s="193"/>
      <c r="S1849" s="194"/>
      <c r="T1849" s="194"/>
      <c r="U1849" s="194"/>
      <c r="V1849" s="194"/>
      <c r="W1849" s="194"/>
      <c r="X1849" s="194"/>
      <c r="Y1849" s="194"/>
      <c r="Z1849" s="194"/>
      <c r="AA1849" s="194"/>
      <c r="AB1849" s="194"/>
      <c r="AC1849" s="194"/>
      <c r="AD1849" s="194"/>
      <c r="AE1849" s="195"/>
      <c r="AF1849" s="195"/>
      <c r="AG1849" s="195"/>
      <c r="AH1849" s="195"/>
    </row>
    <row r="1850" customHeight="1" spans="1:34">
      <c r="A1850" s="204" t="s">
        <v>34</v>
      </c>
      <c r="B1850" s="54" t="s">
        <v>761</v>
      </c>
      <c r="C1850" s="54"/>
      <c r="D1850" s="54" t="s">
        <v>60</v>
      </c>
      <c r="E1850" s="214" t="s">
        <v>877</v>
      </c>
      <c r="F1850" s="54" t="s">
        <v>878</v>
      </c>
      <c r="G1850" s="207" t="s">
        <v>879</v>
      </c>
      <c r="H1850" s="193"/>
      <c r="I1850" s="193"/>
      <c r="J1850" s="193"/>
      <c r="K1850" s="193"/>
      <c r="L1850" s="193"/>
      <c r="M1850" s="193"/>
      <c r="N1850" s="193"/>
      <c r="O1850" s="193"/>
      <c r="S1850" s="194"/>
      <c r="T1850" s="194"/>
      <c r="U1850" s="194"/>
      <c r="V1850" s="194"/>
      <c r="W1850" s="194"/>
      <c r="X1850" s="194"/>
      <c r="Y1850" s="194"/>
      <c r="Z1850" s="194"/>
      <c r="AA1850" s="194"/>
      <c r="AB1850" s="194"/>
      <c r="AC1850" s="194"/>
      <c r="AD1850" s="194"/>
      <c r="AE1850" s="195"/>
      <c r="AF1850" s="195"/>
      <c r="AG1850" s="195"/>
      <c r="AH1850" s="195"/>
    </row>
    <row r="1851" customHeight="1" spans="1:34">
      <c r="A1851" s="204" t="s">
        <v>8</v>
      </c>
      <c r="B1851" s="215" t="s">
        <v>880</v>
      </c>
      <c r="C1851" s="215"/>
      <c r="D1851" s="54"/>
      <c r="E1851" s="214"/>
      <c r="F1851" s="214"/>
      <c r="G1851" s="216">
        <f>G1852+G1859</f>
        <v>340.826368</v>
      </c>
      <c r="H1851" s="193"/>
      <c r="I1851" s="193"/>
      <c r="J1851" s="193"/>
      <c r="K1851" s="193"/>
      <c r="L1851" s="193"/>
      <c r="M1851" s="193"/>
      <c r="N1851" s="193"/>
      <c r="O1851" s="193"/>
      <c r="S1851" s="194"/>
      <c r="T1851" s="194"/>
      <c r="U1851" s="194"/>
      <c r="V1851" s="194"/>
      <c r="W1851" s="194"/>
      <c r="X1851" s="194"/>
      <c r="Y1851" s="194"/>
      <c r="Z1851" s="194"/>
      <c r="AA1851" s="194"/>
      <c r="AB1851" s="194"/>
      <c r="AC1851" s="194"/>
      <c r="AD1851" s="194"/>
      <c r="AE1851" s="195"/>
      <c r="AF1851" s="195"/>
      <c r="AG1851" s="195"/>
      <c r="AH1851" s="195"/>
    </row>
    <row r="1852" customHeight="1" spans="1:34">
      <c r="A1852" s="204" t="s">
        <v>881</v>
      </c>
      <c r="B1852" s="215" t="s">
        <v>882</v>
      </c>
      <c r="C1852" s="215"/>
      <c r="D1852" s="54"/>
      <c r="E1852" s="214"/>
      <c r="F1852" s="214"/>
      <c r="G1852" s="216">
        <f>G1853+G1856</f>
        <v>325.216</v>
      </c>
      <c r="H1852" s="193"/>
      <c r="I1852" s="193"/>
      <c r="J1852" s="193"/>
      <c r="K1852" s="193"/>
      <c r="L1852" s="193"/>
      <c r="M1852" s="193"/>
      <c r="N1852" s="193"/>
      <c r="O1852" s="193"/>
      <c r="S1852" s="194"/>
      <c r="T1852" s="194"/>
      <c r="U1852" s="194"/>
      <c r="V1852" s="194"/>
      <c r="W1852" s="194"/>
      <c r="X1852" s="194"/>
      <c r="Y1852" s="194"/>
      <c r="Z1852" s="194"/>
      <c r="AA1852" s="194"/>
      <c r="AB1852" s="194"/>
      <c r="AC1852" s="194"/>
      <c r="AD1852" s="194"/>
      <c r="AE1852" s="195"/>
      <c r="AF1852" s="195"/>
      <c r="AG1852" s="195"/>
      <c r="AH1852" s="195"/>
    </row>
    <row r="1853" customHeight="1" spans="1:34">
      <c r="A1853" s="204" t="s">
        <v>17</v>
      </c>
      <c r="B1853" s="215" t="s">
        <v>510</v>
      </c>
      <c r="C1853" s="215"/>
      <c r="D1853" s="54"/>
      <c r="E1853" s="214"/>
      <c r="F1853" s="214"/>
      <c r="G1853" s="216">
        <f>SUM(G1854:G1855)</f>
        <v>251.716</v>
      </c>
      <c r="H1853" s="193"/>
      <c r="I1853" s="193"/>
      <c r="J1853" s="193"/>
      <c r="K1853" s="193"/>
      <c r="L1853" s="193"/>
      <c r="M1853" s="193"/>
      <c r="N1853" s="193"/>
      <c r="O1853" s="193"/>
      <c r="S1853" s="194"/>
      <c r="T1853" s="194"/>
      <c r="U1853" s="194"/>
      <c r="V1853" s="194"/>
      <c r="W1853" s="194"/>
      <c r="X1853" s="194"/>
      <c r="Y1853" s="194"/>
      <c r="Z1853" s="194"/>
      <c r="AA1853" s="194"/>
      <c r="AB1853" s="194"/>
      <c r="AC1853" s="194"/>
      <c r="AD1853" s="194"/>
      <c r="AE1853" s="195"/>
      <c r="AF1853" s="195"/>
      <c r="AG1853" s="195"/>
      <c r="AH1853" s="195"/>
    </row>
    <row r="1854" customHeight="1" spans="1:34">
      <c r="A1854" s="204"/>
      <c r="B1854" s="215" t="s">
        <v>704</v>
      </c>
      <c r="C1854" s="215"/>
      <c r="D1854" s="54" t="s">
        <v>705</v>
      </c>
      <c r="E1854" s="214">
        <v>1.3</v>
      </c>
      <c r="F1854" s="214">
        <f>主要材料预算!$D$19</f>
        <v>8.1</v>
      </c>
      <c r="G1854" s="216">
        <f t="shared" ref="G1854:G1857" si="173">E1854*F1854</f>
        <v>10.53</v>
      </c>
      <c r="H1854" s="193"/>
      <c r="I1854" s="193"/>
      <c r="J1854" s="193"/>
      <c r="K1854" s="193"/>
      <c r="L1854" s="193"/>
      <c r="M1854" s="193"/>
      <c r="N1854" s="193"/>
      <c r="O1854" s="193"/>
      <c r="S1854" s="194"/>
      <c r="T1854" s="194"/>
      <c r="U1854" s="194"/>
      <c r="V1854" s="194"/>
      <c r="W1854" s="194"/>
      <c r="X1854" s="194"/>
      <c r="Y1854" s="194"/>
      <c r="Z1854" s="194"/>
      <c r="AA1854" s="194"/>
      <c r="AB1854" s="194"/>
      <c r="AC1854" s="194"/>
      <c r="AD1854" s="194"/>
      <c r="AE1854" s="195"/>
      <c r="AF1854" s="195"/>
      <c r="AG1854" s="195"/>
      <c r="AH1854" s="195"/>
    </row>
    <row r="1855" customHeight="1" spans="1:34">
      <c r="A1855" s="204"/>
      <c r="B1855" s="215" t="s">
        <v>706</v>
      </c>
      <c r="C1855" s="215"/>
      <c r="D1855" s="54" t="s">
        <v>705</v>
      </c>
      <c r="E1855" s="217">
        <v>41.8</v>
      </c>
      <c r="F1855" s="214">
        <f>主要材料预算!$D$20</f>
        <v>5.77</v>
      </c>
      <c r="G1855" s="216">
        <f t="shared" si="173"/>
        <v>241.186</v>
      </c>
      <c r="H1855" s="193"/>
      <c r="I1855" s="193"/>
      <c r="J1855" s="193"/>
      <c r="K1855" s="193"/>
      <c r="L1855" s="193"/>
      <c r="M1855" s="193"/>
      <c r="N1855" s="193"/>
      <c r="O1855" s="193"/>
      <c r="S1855" s="194"/>
      <c r="T1855" s="194"/>
      <c r="U1855" s="194"/>
      <c r="V1855" s="194"/>
      <c r="W1855" s="194"/>
      <c r="X1855" s="194"/>
      <c r="Y1855" s="194"/>
      <c r="Z1855" s="194"/>
      <c r="AA1855" s="194"/>
      <c r="AB1855" s="194"/>
      <c r="AC1855" s="194"/>
      <c r="AD1855" s="194"/>
      <c r="AE1855" s="195"/>
      <c r="AF1855" s="195"/>
      <c r="AG1855" s="195"/>
      <c r="AH1855" s="195"/>
    </row>
    <row r="1856" customHeight="1" spans="1:34">
      <c r="A1856" s="204" t="s">
        <v>19</v>
      </c>
      <c r="B1856" s="218" t="s">
        <v>511</v>
      </c>
      <c r="C1856" s="219"/>
      <c r="D1856" s="54"/>
      <c r="E1856" s="214"/>
      <c r="F1856" s="214"/>
      <c r="G1856" s="216">
        <f>SUM(G1857:G1858)</f>
        <v>73.5</v>
      </c>
      <c r="H1856" s="193"/>
      <c r="I1856" s="193"/>
      <c r="J1856" s="193"/>
      <c r="K1856" s="193"/>
      <c r="L1856" s="193"/>
      <c r="M1856" s="193"/>
      <c r="N1856" s="193"/>
      <c r="O1856" s="193"/>
      <c r="S1856" s="194"/>
      <c r="T1856" s="194"/>
      <c r="U1856" s="194"/>
      <c r="V1856" s="194"/>
      <c r="W1856" s="194"/>
      <c r="X1856" s="194"/>
      <c r="Y1856" s="194"/>
      <c r="Z1856" s="194"/>
      <c r="AA1856" s="194"/>
      <c r="AB1856" s="194"/>
      <c r="AC1856" s="194"/>
      <c r="AD1856" s="194"/>
      <c r="AE1856" s="195"/>
      <c r="AF1856" s="195"/>
      <c r="AG1856" s="195"/>
      <c r="AH1856" s="195"/>
    </row>
    <row r="1857" customHeight="1" spans="1:34">
      <c r="A1857" s="204"/>
      <c r="B1857" s="218" t="s">
        <v>1514</v>
      </c>
      <c r="C1857" s="219"/>
      <c r="D1857" s="54" t="s">
        <v>695</v>
      </c>
      <c r="E1857" s="214">
        <v>20</v>
      </c>
      <c r="F1857" s="214">
        <f>基础材料!$D$32</f>
        <v>3.5</v>
      </c>
      <c r="G1857" s="216">
        <f t="shared" si="173"/>
        <v>70</v>
      </c>
      <c r="H1857" s="193"/>
      <c r="I1857" s="193"/>
      <c r="J1857" s="193"/>
      <c r="K1857" s="193"/>
      <c r="L1857" s="193"/>
      <c r="M1857" s="193"/>
      <c r="N1857" s="193"/>
      <c r="O1857" s="193"/>
      <c r="S1857" s="194"/>
      <c r="T1857" s="194"/>
      <c r="U1857" s="194"/>
      <c r="V1857" s="194"/>
      <c r="W1857" s="194"/>
      <c r="X1857" s="194"/>
      <c r="Y1857" s="194"/>
      <c r="Z1857" s="194"/>
      <c r="AA1857" s="194"/>
      <c r="AB1857" s="194"/>
      <c r="AC1857" s="194"/>
      <c r="AD1857" s="194"/>
      <c r="AE1857" s="195"/>
      <c r="AF1857" s="195"/>
      <c r="AG1857" s="195"/>
      <c r="AH1857" s="195"/>
    </row>
    <row r="1858" customHeight="1" spans="1:34">
      <c r="A1858" s="204"/>
      <c r="B1858" s="218" t="s">
        <v>893</v>
      </c>
      <c r="C1858" s="219"/>
      <c r="D1858" s="54" t="s">
        <v>894</v>
      </c>
      <c r="E1858" s="214">
        <f>SUM(G1857:G1857)</f>
        <v>70</v>
      </c>
      <c r="F1858" s="214">
        <v>5</v>
      </c>
      <c r="G1858" s="216">
        <f>E1858*F1858/100</f>
        <v>3.5</v>
      </c>
      <c r="H1858" s="193"/>
      <c r="I1858" s="193"/>
      <c r="J1858" s="193"/>
      <c r="K1858" s="193"/>
      <c r="L1858" s="193"/>
      <c r="M1858" s="193"/>
      <c r="N1858" s="193"/>
      <c r="O1858" s="193"/>
      <c r="S1858" s="194"/>
      <c r="T1858" s="194"/>
      <c r="U1858" s="194"/>
      <c r="V1858" s="194"/>
      <c r="W1858" s="194"/>
      <c r="X1858" s="194"/>
      <c r="Y1858" s="194"/>
      <c r="Z1858" s="194"/>
      <c r="AA1858" s="194"/>
      <c r="AB1858" s="194"/>
      <c r="AC1858" s="194"/>
      <c r="AD1858" s="194"/>
      <c r="AE1858" s="195"/>
      <c r="AF1858" s="195"/>
      <c r="AG1858" s="195"/>
      <c r="AH1858" s="195"/>
    </row>
    <row r="1859" customHeight="1" spans="1:34">
      <c r="A1859" s="204" t="s">
        <v>905</v>
      </c>
      <c r="B1859" s="215" t="s">
        <v>514</v>
      </c>
      <c r="C1859" s="215"/>
      <c r="D1859" s="54"/>
      <c r="E1859" s="220">
        <f>G1852</f>
        <v>325.216</v>
      </c>
      <c r="F1859" s="221">
        <f>费率表!$I$4</f>
        <v>0.048</v>
      </c>
      <c r="G1859" s="216">
        <f t="shared" ref="G1859:G1863" si="174">E1859*F1859</f>
        <v>15.610368</v>
      </c>
      <c r="H1859" s="193"/>
      <c r="I1859" s="193"/>
      <c r="J1859" s="193"/>
      <c r="K1859" s="193"/>
      <c r="L1859" s="193"/>
      <c r="M1859" s="193"/>
      <c r="N1859" s="193"/>
      <c r="O1859" s="193"/>
      <c r="S1859" s="194"/>
      <c r="T1859" s="194"/>
      <c r="U1859" s="194"/>
      <c r="V1859" s="194"/>
      <c r="W1859" s="194"/>
      <c r="X1859" s="194"/>
      <c r="Y1859" s="194"/>
      <c r="Z1859" s="194"/>
      <c r="AA1859" s="194"/>
      <c r="AB1859" s="194"/>
      <c r="AC1859" s="194"/>
      <c r="AD1859" s="194"/>
      <c r="AE1859" s="195"/>
      <c r="AF1859" s="195"/>
      <c r="AG1859" s="195"/>
      <c r="AH1859" s="195"/>
    </row>
    <row r="1860" customHeight="1" spans="1:34">
      <c r="A1860" s="204" t="s">
        <v>10</v>
      </c>
      <c r="B1860" s="215" t="s">
        <v>770</v>
      </c>
      <c r="C1860" s="215"/>
      <c r="D1860" s="54"/>
      <c r="E1860" s="214">
        <f>G1851</f>
        <v>340.826368</v>
      </c>
      <c r="F1860" s="222">
        <f>费率表!$I$5</f>
        <v>0.07</v>
      </c>
      <c r="G1860" s="216">
        <f t="shared" si="174"/>
        <v>23.85784576</v>
      </c>
      <c r="H1860" s="193"/>
      <c r="I1860" s="193"/>
      <c r="J1860" s="193"/>
      <c r="K1860" s="193"/>
      <c r="L1860" s="193"/>
      <c r="M1860" s="193"/>
      <c r="N1860" s="193"/>
      <c r="O1860" s="193"/>
      <c r="S1860" s="194"/>
      <c r="T1860" s="194"/>
      <c r="U1860" s="194"/>
      <c r="V1860" s="194"/>
      <c r="W1860" s="194"/>
      <c r="X1860" s="194"/>
      <c r="Y1860" s="194"/>
      <c r="Z1860" s="194"/>
      <c r="AA1860" s="194"/>
      <c r="AB1860" s="194"/>
      <c r="AC1860" s="194"/>
      <c r="AD1860" s="194"/>
      <c r="AE1860" s="195"/>
      <c r="AF1860" s="195"/>
      <c r="AG1860" s="195"/>
      <c r="AH1860" s="195"/>
    </row>
    <row r="1861" customHeight="1" spans="1:34">
      <c r="A1861" s="204" t="s">
        <v>12</v>
      </c>
      <c r="B1861" s="215" t="s">
        <v>771</v>
      </c>
      <c r="C1861" s="215"/>
      <c r="D1861" s="54"/>
      <c r="E1861" s="214">
        <f>G1851+G1860</f>
        <v>364.68421376</v>
      </c>
      <c r="F1861" s="222">
        <f>费率表!$I$6</f>
        <v>0.07</v>
      </c>
      <c r="G1861" s="216">
        <f t="shared" si="174"/>
        <v>25.5278949632</v>
      </c>
      <c r="H1861" s="193"/>
      <c r="I1861" s="193"/>
      <c r="J1861" s="193"/>
      <c r="K1861" s="193"/>
      <c r="L1861" s="193"/>
      <c r="M1861" s="193"/>
      <c r="N1861" s="193"/>
      <c r="O1861" s="193"/>
      <c r="S1861" s="194"/>
      <c r="T1861" s="194"/>
      <c r="U1861" s="194"/>
      <c r="V1861" s="194"/>
      <c r="W1861" s="194"/>
      <c r="X1861" s="194"/>
      <c r="Y1861" s="194"/>
      <c r="Z1861" s="194"/>
      <c r="AA1861" s="194"/>
      <c r="AB1861" s="194"/>
      <c r="AC1861" s="194"/>
      <c r="AD1861" s="194"/>
      <c r="AE1861" s="195"/>
      <c r="AF1861" s="195"/>
      <c r="AG1861" s="195"/>
      <c r="AH1861" s="195"/>
    </row>
    <row r="1862" customHeight="1" spans="1:34">
      <c r="A1862" s="204" t="s">
        <v>15</v>
      </c>
      <c r="B1862" s="215" t="s">
        <v>772</v>
      </c>
      <c r="C1862" s="215"/>
      <c r="D1862" s="54"/>
      <c r="E1862" s="214">
        <f>G1851+G1860+G1861</f>
        <v>390.2121087232</v>
      </c>
      <c r="F1862" s="222">
        <f>费率表!$I$7</f>
        <v>0.09</v>
      </c>
      <c r="G1862" s="216">
        <f t="shared" si="174"/>
        <v>35.119089785088</v>
      </c>
      <c r="H1862" s="193"/>
      <c r="I1862" s="193"/>
      <c r="J1862" s="193"/>
      <c r="K1862" s="193"/>
      <c r="L1862" s="193"/>
      <c r="M1862" s="193"/>
      <c r="N1862" s="193"/>
      <c r="O1862" s="193"/>
      <c r="S1862" s="194"/>
      <c r="T1862" s="194"/>
      <c r="U1862" s="194"/>
      <c r="V1862" s="194"/>
      <c r="W1862" s="194"/>
      <c r="X1862" s="194"/>
      <c r="Y1862" s="194"/>
      <c r="Z1862" s="194"/>
      <c r="AA1862" s="194"/>
      <c r="AB1862" s="194"/>
      <c r="AC1862" s="194"/>
      <c r="AD1862" s="194"/>
      <c r="AE1862" s="195"/>
      <c r="AF1862" s="195"/>
      <c r="AG1862" s="195"/>
      <c r="AH1862" s="195"/>
    </row>
    <row r="1863" customHeight="1" spans="1:34">
      <c r="A1863" s="204"/>
      <c r="B1863" s="215" t="s">
        <v>907</v>
      </c>
      <c r="C1863" s="215"/>
      <c r="D1863" s="54"/>
      <c r="E1863" s="214">
        <f>G1851+G1860+G1861+G1862</f>
        <v>425.331198508288</v>
      </c>
      <c r="F1863" s="222">
        <f>费率表!$B$19</f>
        <v>0.03</v>
      </c>
      <c r="G1863" s="216">
        <f t="shared" si="174"/>
        <v>12.7599359552486</v>
      </c>
      <c r="H1863" s="193"/>
      <c r="I1863" s="193"/>
      <c r="J1863" s="193"/>
      <c r="K1863" s="193"/>
      <c r="L1863" s="193"/>
      <c r="M1863" s="193"/>
      <c r="N1863" s="193"/>
      <c r="O1863" s="193"/>
      <c r="S1863" s="194"/>
      <c r="T1863" s="194"/>
      <c r="U1863" s="194"/>
      <c r="V1863" s="194"/>
      <c r="W1863" s="194"/>
      <c r="X1863" s="194"/>
      <c r="Y1863" s="194"/>
      <c r="Z1863" s="194"/>
      <c r="AA1863" s="194"/>
      <c r="AB1863" s="194"/>
      <c r="AC1863" s="194"/>
      <c r="AD1863" s="194"/>
      <c r="AE1863" s="195"/>
      <c r="AF1863" s="195"/>
      <c r="AG1863" s="195"/>
      <c r="AH1863" s="195"/>
    </row>
    <row r="1864" customHeight="1" spans="1:34">
      <c r="A1864" s="223"/>
      <c r="B1864" s="224" t="s">
        <v>39</v>
      </c>
      <c r="C1864" s="224"/>
      <c r="D1864" s="224"/>
      <c r="E1864" s="225"/>
      <c r="F1864" s="224"/>
      <c r="G1864" s="226">
        <f>G1851+G1860+G1861+G1862+G1863</f>
        <v>438.091134463537</v>
      </c>
      <c r="H1864" s="193"/>
      <c r="I1864" s="193"/>
      <c r="J1864" s="193"/>
      <c r="K1864" s="193"/>
      <c r="L1864" s="193"/>
      <c r="M1864" s="193"/>
      <c r="N1864" s="193"/>
      <c r="O1864" s="193"/>
      <c r="S1864" s="194"/>
      <c r="T1864" s="194"/>
      <c r="U1864" s="194"/>
      <c r="V1864" s="194"/>
      <c r="W1864" s="194"/>
      <c r="X1864" s="194"/>
      <c r="Y1864" s="194"/>
      <c r="Z1864" s="194"/>
      <c r="AA1864" s="194"/>
      <c r="AB1864" s="194"/>
      <c r="AC1864" s="194"/>
      <c r="AD1864" s="194"/>
      <c r="AE1864" s="195"/>
      <c r="AF1864" s="195"/>
      <c r="AG1864" s="195"/>
      <c r="AH1864" s="195"/>
    </row>
    <row r="1865" customHeight="1" spans="1:34">
      <c r="H1865" s="193"/>
      <c r="I1865" s="193"/>
      <c r="J1865" s="193"/>
      <c r="K1865" s="193"/>
      <c r="L1865" s="193"/>
      <c r="M1865" s="193"/>
      <c r="N1865" s="193"/>
      <c r="O1865" s="193"/>
      <c r="S1865" s="194"/>
      <c r="T1865" s="194"/>
      <c r="U1865" s="194"/>
      <c r="V1865" s="194"/>
      <c r="W1865" s="194"/>
      <c r="X1865" s="194"/>
      <c r="Y1865" s="194"/>
      <c r="Z1865" s="194"/>
      <c r="AA1865" s="194"/>
      <c r="AB1865" s="194"/>
      <c r="AC1865" s="194"/>
      <c r="AD1865" s="194"/>
      <c r="AE1865" s="195"/>
      <c r="AF1865" s="195"/>
      <c r="AG1865" s="195"/>
      <c r="AH1865" s="195"/>
    </row>
    <row r="1866" customHeight="1" spans="1:34">
      <c r="H1866" s="193"/>
      <c r="I1866" s="193"/>
      <c r="J1866" s="193"/>
      <c r="K1866" s="193"/>
      <c r="L1866" s="193"/>
      <c r="M1866" s="193"/>
      <c r="N1866" s="193"/>
      <c r="O1866" s="193"/>
      <c r="S1866" s="194"/>
      <c r="T1866" s="194"/>
      <c r="U1866" s="194"/>
      <c r="V1866" s="194"/>
      <c r="W1866" s="194"/>
      <c r="X1866" s="194"/>
      <c r="Y1866" s="194"/>
      <c r="Z1866" s="194"/>
      <c r="AA1866" s="194"/>
      <c r="AB1866" s="194"/>
      <c r="AC1866" s="194"/>
      <c r="AD1866" s="194"/>
      <c r="AE1866" s="195"/>
      <c r="AF1866" s="195"/>
      <c r="AG1866" s="195"/>
      <c r="AH1866" s="195"/>
    </row>
    <row r="1867" customHeight="1" spans="1:34">
      <c r="H1867" s="193"/>
      <c r="I1867" s="193"/>
      <c r="J1867" s="193"/>
      <c r="K1867" s="193"/>
      <c r="L1867" s="193"/>
      <c r="M1867" s="193"/>
      <c r="N1867" s="193"/>
      <c r="O1867" s="193"/>
      <c r="S1867" s="194"/>
      <c r="T1867" s="194"/>
      <c r="U1867" s="194"/>
      <c r="V1867" s="194"/>
      <c r="W1867" s="194"/>
      <c r="X1867" s="194"/>
      <c r="Y1867" s="194"/>
      <c r="Z1867" s="194"/>
      <c r="AA1867" s="194"/>
      <c r="AB1867" s="194"/>
      <c r="AC1867" s="194"/>
      <c r="AD1867" s="194"/>
      <c r="AE1867" s="195"/>
      <c r="AF1867" s="195"/>
      <c r="AG1867" s="195"/>
      <c r="AH1867" s="195"/>
    </row>
    <row r="1868" customHeight="1" spans="1:34">
      <c r="H1868" s="193"/>
      <c r="I1868" s="193"/>
      <c r="J1868" s="193"/>
      <c r="K1868" s="193"/>
      <c r="L1868" s="193"/>
      <c r="M1868" s="193"/>
      <c r="N1868" s="193"/>
      <c r="O1868" s="193"/>
      <c r="S1868" s="194"/>
      <c r="T1868" s="194"/>
      <c r="U1868" s="194"/>
      <c r="V1868" s="194"/>
      <c r="W1868" s="194"/>
      <c r="X1868" s="194"/>
      <c r="Y1868" s="194"/>
      <c r="Z1868" s="194"/>
      <c r="AA1868" s="194"/>
      <c r="AB1868" s="194"/>
      <c r="AC1868" s="194"/>
      <c r="AD1868" s="194"/>
      <c r="AE1868" s="195"/>
      <c r="AF1868" s="195"/>
      <c r="AG1868" s="195"/>
      <c r="AH1868" s="195"/>
    </row>
    <row r="1869" customHeight="1" spans="1:34">
      <c r="H1869" s="193"/>
      <c r="I1869" s="193"/>
      <c r="J1869" s="193"/>
      <c r="K1869" s="193"/>
      <c r="L1869" s="193"/>
      <c r="M1869" s="193"/>
      <c r="N1869" s="193"/>
      <c r="O1869" s="193"/>
      <c r="S1869" s="194"/>
      <c r="T1869" s="194"/>
      <c r="U1869" s="194"/>
      <c r="V1869" s="194"/>
      <c r="W1869" s="194"/>
      <c r="X1869" s="194"/>
      <c r="Y1869" s="194"/>
      <c r="Z1869" s="194"/>
      <c r="AA1869" s="194"/>
      <c r="AB1869" s="194"/>
      <c r="AC1869" s="194"/>
      <c r="AD1869" s="194"/>
      <c r="AE1869" s="195"/>
      <c r="AF1869" s="195"/>
      <c r="AG1869" s="195"/>
      <c r="AH1869" s="195"/>
    </row>
    <row r="1870" customHeight="1" spans="1:34">
      <c r="H1870" s="193"/>
      <c r="I1870" s="193"/>
      <c r="J1870" s="193"/>
      <c r="K1870" s="193"/>
      <c r="L1870" s="193"/>
      <c r="M1870" s="193"/>
      <c r="N1870" s="193"/>
      <c r="O1870" s="193"/>
      <c r="S1870" s="194"/>
      <c r="T1870" s="194"/>
      <c r="U1870" s="194"/>
      <c r="V1870" s="194"/>
      <c r="W1870" s="194"/>
      <c r="X1870" s="194"/>
      <c r="Y1870" s="194"/>
      <c r="Z1870" s="194"/>
      <c r="AA1870" s="194"/>
      <c r="AB1870" s="194"/>
      <c r="AC1870" s="194"/>
      <c r="AD1870" s="194"/>
      <c r="AE1870" s="195"/>
      <c r="AF1870" s="195"/>
      <c r="AG1870" s="195"/>
      <c r="AH1870" s="195"/>
    </row>
    <row r="1871" customHeight="1" spans="1:34">
      <c r="H1871" s="193"/>
      <c r="I1871" s="193"/>
      <c r="J1871" s="193"/>
      <c r="K1871" s="193"/>
      <c r="L1871" s="193"/>
      <c r="M1871" s="193"/>
      <c r="N1871" s="193"/>
      <c r="O1871" s="193"/>
      <c r="S1871" s="194"/>
      <c r="T1871" s="194"/>
      <c r="U1871" s="194"/>
      <c r="V1871" s="194"/>
      <c r="W1871" s="194"/>
      <c r="X1871" s="194"/>
      <c r="Y1871" s="194"/>
      <c r="Z1871" s="194"/>
      <c r="AA1871" s="194"/>
      <c r="AB1871" s="194"/>
      <c r="AC1871" s="194"/>
      <c r="AD1871" s="194"/>
      <c r="AE1871" s="195"/>
      <c r="AF1871" s="195"/>
      <c r="AG1871" s="195"/>
      <c r="AH1871" s="195"/>
    </row>
    <row r="1872" customHeight="1" spans="1:34">
      <c r="H1872" s="193"/>
      <c r="I1872" s="193"/>
      <c r="J1872" s="193"/>
      <c r="K1872" s="193"/>
      <c r="L1872" s="193"/>
      <c r="M1872" s="193"/>
      <c r="N1872" s="193"/>
      <c r="O1872" s="193"/>
      <c r="S1872" s="194"/>
      <c r="T1872" s="194"/>
      <c r="U1872" s="194"/>
      <c r="V1872" s="194"/>
      <c r="W1872" s="194"/>
      <c r="X1872" s="194"/>
      <c r="Y1872" s="194"/>
      <c r="Z1872" s="194"/>
      <c r="AA1872" s="194"/>
      <c r="AB1872" s="194"/>
      <c r="AC1872" s="194"/>
      <c r="AD1872" s="194"/>
      <c r="AE1872" s="195"/>
      <c r="AF1872" s="195"/>
      <c r="AG1872" s="195"/>
      <c r="AH1872" s="195"/>
    </row>
    <row r="1873" customHeight="1" spans="1:34">
      <c r="A1873" s="285" t="s">
        <v>868</v>
      </c>
      <c r="B1873" s="285"/>
      <c r="C1873" s="285"/>
      <c r="D1873" s="285"/>
      <c r="E1873" s="285"/>
      <c r="F1873" s="285"/>
      <c r="G1873" s="285"/>
      <c r="H1873" s="193"/>
      <c r="I1873" s="193"/>
      <c r="J1873" s="193"/>
      <c r="K1873" s="193"/>
      <c r="L1873" s="193"/>
      <c r="M1873" s="193"/>
      <c r="N1873" s="193"/>
      <c r="O1873" s="193"/>
      <c r="S1873" s="194"/>
      <c r="T1873" s="194"/>
      <c r="U1873" s="194"/>
      <c r="V1873" s="194"/>
      <c r="W1873" s="194"/>
      <c r="X1873" s="194"/>
      <c r="Y1873" s="194"/>
      <c r="Z1873" s="194"/>
      <c r="AA1873" s="194"/>
      <c r="AB1873" s="194"/>
      <c r="AC1873" s="194"/>
      <c r="AD1873" s="194"/>
      <c r="AE1873" s="195"/>
      <c r="AF1873" s="195"/>
      <c r="AG1873" s="195"/>
      <c r="AH1873" s="195"/>
    </row>
    <row r="1874" customHeight="1" spans="1:34">
      <c r="A1874" s="286" t="s">
        <v>869</v>
      </c>
      <c r="B1874" s="287"/>
      <c r="C1874" s="200"/>
      <c r="D1874" s="200" t="s">
        <v>870</v>
      </c>
      <c r="E1874" s="201" t="s">
        <v>1522</v>
      </c>
      <c r="F1874" s="202"/>
      <c r="G1874" s="203"/>
      <c r="H1874" s="193"/>
      <c r="I1874" s="193"/>
      <c r="J1874" s="193"/>
      <c r="K1874" s="193"/>
      <c r="L1874" s="193"/>
      <c r="M1874" s="193"/>
      <c r="N1874" s="193"/>
      <c r="O1874" s="193"/>
      <c r="S1874" s="194"/>
      <c r="T1874" s="194"/>
      <c r="U1874" s="194"/>
      <c r="V1874" s="194"/>
      <c r="W1874" s="194"/>
      <c r="X1874" s="194"/>
      <c r="Y1874" s="194"/>
      <c r="Z1874" s="194"/>
      <c r="AA1874" s="194"/>
      <c r="AB1874" s="194"/>
      <c r="AC1874" s="194"/>
      <c r="AD1874" s="194"/>
      <c r="AE1874" s="195"/>
      <c r="AF1874" s="195"/>
      <c r="AG1874" s="195"/>
      <c r="AH1874" s="195"/>
    </row>
    <row r="1875" customHeight="1" spans="1:34">
      <c r="A1875" s="288" t="s">
        <v>507</v>
      </c>
      <c r="B1875" s="289"/>
      <c r="C1875" s="290" t="s">
        <v>1523</v>
      </c>
      <c r="D1875" s="291"/>
      <c r="E1875" s="292"/>
      <c r="F1875" s="54" t="s">
        <v>873</v>
      </c>
      <c r="G1875" s="138" t="s">
        <v>1524</v>
      </c>
      <c r="H1875" s="193"/>
      <c r="I1875" s="193"/>
      <c r="J1875" s="193"/>
      <c r="K1875" s="193"/>
      <c r="L1875" s="193"/>
      <c r="M1875" s="193"/>
      <c r="N1875" s="193"/>
      <c r="O1875" s="193"/>
      <c r="S1875" s="194"/>
      <c r="T1875" s="194"/>
      <c r="U1875" s="194"/>
      <c r="V1875" s="194"/>
      <c r="W1875" s="194"/>
      <c r="X1875" s="194"/>
      <c r="Y1875" s="194"/>
      <c r="Z1875" s="194"/>
      <c r="AA1875" s="194"/>
      <c r="AB1875" s="194"/>
      <c r="AC1875" s="194"/>
      <c r="AD1875" s="194"/>
      <c r="AE1875" s="195"/>
      <c r="AF1875" s="195"/>
      <c r="AG1875" s="195"/>
      <c r="AH1875" s="195"/>
    </row>
    <row r="1876" customHeight="1" spans="1:34">
      <c r="A1876" s="293" t="s">
        <v>875</v>
      </c>
      <c r="B1876" s="291"/>
      <c r="C1876" s="291"/>
      <c r="D1876" s="291"/>
      <c r="E1876" s="291"/>
      <c r="F1876" s="291"/>
      <c r="G1876" s="294"/>
      <c r="H1876" s="193"/>
      <c r="I1876" s="193"/>
      <c r="J1876" s="193"/>
      <c r="K1876" s="193"/>
      <c r="L1876" s="193"/>
      <c r="M1876" s="193"/>
      <c r="N1876" s="193"/>
      <c r="O1876" s="193"/>
      <c r="S1876" s="194"/>
      <c r="T1876" s="194"/>
      <c r="U1876" s="194"/>
      <c r="V1876" s="194"/>
      <c r="W1876" s="194"/>
      <c r="X1876" s="194"/>
      <c r="Y1876" s="194"/>
      <c r="Z1876" s="194"/>
      <c r="AA1876" s="194"/>
      <c r="AB1876" s="194"/>
      <c r="AC1876" s="194"/>
      <c r="AD1876" s="194"/>
      <c r="AE1876" s="195"/>
      <c r="AF1876" s="195"/>
      <c r="AG1876" s="195"/>
      <c r="AH1876" s="195"/>
    </row>
    <row r="1877" customHeight="1" spans="1:34">
      <c r="A1877" s="210" t="s">
        <v>1525</v>
      </c>
      <c r="B1877" s="211"/>
      <c r="C1877" s="211"/>
      <c r="D1877" s="211"/>
      <c r="E1877" s="211"/>
      <c r="F1877" s="211"/>
      <c r="G1877" s="295"/>
      <c r="H1877" s="193"/>
      <c r="I1877" s="193"/>
      <c r="J1877" s="193"/>
      <c r="K1877" s="193"/>
      <c r="L1877" s="193"/>
      <c r="M1877" s="193"/>
      <c r="N1877" s="193"/>
      <c r="O1877" s="193"/>
      <c r="S1877" s="194"/>
      <c r="T1877" s="194"/>
      <c r="U1877" s="194"/>
      <c r="V1877" s="194"/>
      <c r="W1877" s="194"/>
      <c r="X1877" s="194"/>
      <c r="Y1877" s="194"/>
      <c r="Z1877" s="194"/>
      <c r="AA1877" s="194"/>
      <c r="AB1877" s="194"/>
      <c r="AC1877" s="194"/>
      <c r="AD1877" s="194"/>
      <c r="AE1877" s="195"/>
      <c r="AF1877" s="195"/>
      <c r="AG1877" s="195"/>
      <c r="AH1877" s="195"/>
    </row>
    <row r="1878" customHeight="1" spans="1:34">
      <c r="A1878" s="204" t="s">
        <v>34</v>
      </c>
      <c r="B1878" s="54" t="s">
        <v>761</v>
      </c>
      <c r="C1878" s="54"/>
      <c r="D1878" s="54" t="s">
        <v>60</v>
      </c>
      <c r="E1878" s="214" t="s">
        <v>877</v>
      </c>
      <c r="F1878" s="54" t="s">
        <v>878</v>
      </c>
      <c r="G1878" s="207" t="s">
        <v>879</v>
      </c>
      <c r="H1878" s="193"/>
      <c r="I1878" s="193"/>
      <c r="J1878" s="193"/>
      <c r="K1878" s="193"/>
      <c r="L1878" s="193"/>
      <c r="M1878" s="193"/>
      <c r="N1878" s="193"/>
      <c r="O1878" s="193"/>
      <c r="S1878" s="194"/>
      <c r="T1878" s="194"/>
      <c r="U1878" s="194"/>
      <c r="V1878" s="194"/>
      <c r="W1878" s="194"/>
      <c r="X1878" s="194"/>
      <c r="Y1878" s="194"/>
      <c r="Z1878" s="194"/>
      <c r="AA1878" s="194"/>
      <c r="AB1878" s="194"/>
      <c r="AC1878" s="194"/>
      <c r="AD1878" s="194"/>
      <c r="AE1878" s="195"/>
      <c r="AF1878" s="195"/>
      <c r="AG1878" s="195"/>
      <c r="AH1878" s="195"/>
    </row>
    <row r="1879" customHeight="1" spans="1:34">
      <c r="A1879" s="204" t="s">
        <v>8</v>
      </c>
      <c r="B1879" s="215" t="s">
        <v>880</v>
      </c>
      <c r="C1879" s="215"/>
      <c r="D1879" s="54"/>
      <c r="E1879" s="214"/>
      <c r="F1879" s="214"/>
      <c r="G1879" s="216">
        <f>G1880+G1884</f>
        <v>411.239392</v>
      </c>
      <c r="H1879" s="193"/>
      <c r="I1879" s="193"/>
      <c r="J1879" s="193"/>
      <c r="K1879" s="193"/>
      <c r="L1879" s="193"/>
      <c r="M1879" s="193"/>
      <c r="N1879" s="193"/>
      <c r="O1879" s="193"/>
      <c r="S1879" s="194"/>
      <c r="T1879" s="194"/>
      <c r="U1879" s="194"/>
      <c r="V1879" s="194"/>
      <c r="W1879" s="194"/>
      <c r="X1879" s="194"/>
      <c r="Y1879" s="194"/>
      <c r="Z1879" s="194"/>
      <c r="AA1879" s="194"/>
      <c r="AB1879" s="194"/>
      <c r="AC1879" s="194"/>
      <c r="AD1879" s="194"/>
      <c r="AE1879" s="195"/>
      <c r="AF1879" s="195"/>
      <c r="AG1879" s="195"/>
      <c r="AH1879" s="195"/>
    </row>
    <row r="1880" customHeight="1" spans="1:34">
      <c r="A1880" s="204" t="s">
        <v>881</v>
      </c>
      <c r="B1880" s="215" t="s">
        <v>882</v>
      </c>
      <c r="C1880" s="215"/>
      <c r="D1880" s="54"/>
      <c r="E1880" s="214"/>
      <c r="F1880" s="214"/>
      <c r="G1880" s="216">
        <f>G1881</f>
        <v>392.404</v>
      </c>
      <c r="H1880" s="193"/>
      <c r="I1880" s="193"/>
      <c r="J1880" s="193"/>
      <c r="K1880" s="193"/>
      <c r="L1880" s="193"/>
      <c r="M1880" s="193"/>
      <c r="N1880" s="193"/>
      <c r="O1880" s="193"/>
      <c r="S1880" s="194"/>
      <c r="T1880" s="194"/>
      <c r="U1880" s="194"/>
      <c r="V1880" s="194"/>
      <c r="W1880" s="194"/>
      <c r="X1880" s="194"/>
      <c r="Y1880" s="194"/>
      <c r="Z1880" s="194"/>
      <c r="AA1880" s="194"/>
      <c r="AB1880" s="194"/>
      <c r="AC1880" s="194"/>
      <c r="AD1880" s="194"/>
      <c r="AE1880" s="195"/>
      <c r="AF1880" s="195"/>
      <c r="AG1880" s="195"/>
      <c r="AH1880" s="195"/>
    </row>
    <row r="1881" customHeight="1" spans="1:34">
      <c r="A1881" s="204" t="s">
        <v>17</v>
      </c>
      <c r="B1881" s="215" t="s">
        <v>510</v>
      </c>
      <c r="C1881" s="215"/>
      <c r="D1881" s="54"/>
      <c r="E1881" s="214"/>
      <c r="F1881" s="214"/>
      <c r="G1881" s="216">
        <f>SUM(G1882:G1883)</f>
        <v>392.404</v>
      </c>
      <c r="H1881" s="193"/>
      <c r="I1881" s="193"/>
      <c r="J1881" s="193"/>
      <c r="K1881" s="193"/>
      <c r="L1881" s="193"/>
      <c r="M1881" s="193"/>
      <c r="N1881" s="193"/>
      <c r="O1881" s="193"/>
      <c r="S1881" s="194"/>
      <c r="T1881" s="194"/>
      <c r="U1881" s="194"/>
      <c r="V1881" s="194"/>
      <c r="W1881" s="194"/>
      <c r="X1881" s="194"/>
      <c r="Y1881" s="194"/>
      <c r="Z1881" s="194"/>
      <c r="AA1881" s="194"/>
      <c r="AB1881" s="194"/>
      <c r="AC1881" s="194"/>
      <c r="AD1881" s="194"/>
      <c r="AE1881" s="195"/>
      <c r="AF1881" s="195"/>
      <c r="AG1881" s="195"/>
      <c r="AH1881" s="195"/>
    </row>
    <row r="1882" customHeight="1" spans="1:34">
      <c r="A1882" s="204"/>
      <c r="B1882" s="215" t="s">
        <v>704</v>
      </c>
      <c r="C1882" s="215"/>
      <c r="D1882" s="54" t="s">
        <v>705</v>
      </c>
      <c r="E1882" s="214">
        <v>2</v>
      </c>
      <c r="F1882" s="214">
        <f>主要材料预算!$D$19</f>
        <v>8.1</v>
      </c>
      <c r="G1882" s="216">
        <f t="shared" ref="G1882:G1888" si="175">E1882*F1882</f>
        <v>16.2</v>
      </c>
      <c r="H1882" s="193"/>
      <c r="I1882" s="193"/>
      <c r="J1882" s="193"/>
      <c r="K1882" s="193"/>
      <c r="L1882" s="193"/>
      <c r="M1882" s="193"/>
      <c r="N1882" s="193"/>
      <c r="O1882" s="193"/>
      <c r="S1882" s="194"/>
      <c r="T1882" s="194"/>
      <c r="U1882" s="194"/>
      <c r="V1882" s="194"/>
      <c r="W1882" s="194"/>
      <c r="X1882" s="194"/>
      <c r="Y1882" s="194"/>
      <c r="Z1882" s="194"/>
      <c r="AA1882" s="194"/>
      <c r="AB1882" s="194"/>
      <c r="AC1882" s="194"/>
      <c r="AD1882" s="194"/>
      <c r="AE1882" s="195"/>
      <c r="AF1882" s="195"/>
      <c r="AG1882" s="195"/>
      <c r="AH1882" s="195"/>
    </row>
    <row r="1883" customHeight="1" spans="1:34">
      <c r="A1883" s="204"/>
      <c r="B1883" s="215" t="s">
        <v>706</v>
      </c>
      <c r="C1883" s="215"/>
      <c r="D1883" s="54" t="s">
        <v>705</v>
      </c>
      <c r="E1883" s="217">
        <v>65.2</v>
      </c>
      <c r="F1883" s="214">
        <f>主要材料预算!$D$20</f>
        <v>5.77</v>
      </c>
      <c r="G1883" s="216">
        <f t="shared" si="175"/>
        <v>376.204</v>
      </c>
      <c r="H1883" s="193"/>
      <c r="I1883" s="193"/>
      <c r="J1883" s="193"/>
      <c r="K1883" s="193"/>
      <c r="L1883" s="193"/>
      <c r="M1883" s="193"/>
      <c r="N1883" s="193"/>
      <c r="O1883" s="193"/>
      <c r="S1883" s="194"/>
      <c r="T1883" s="194"/>
      <c r="U1883" s="194"/>
      <c r="V1883" s="194"/>
      <c r="W1883" s="194"/>
      <c r="X1883" s="194"/>
      <c r="Y1883" s="194"/>
      <c r="Z1883" s="194"/>
      <c r="AA1883" s="194"/>
      <c r="AB1883" s="194"/>
      <c r="AC1883" s="194"/>
      <c r="AD1883" s="194"/>
      <c r="AE1883" s="195"/>
      <c r="AF1883" s="195"/>
      <c r="AG1883" s="195"/>
      <c r="AH1883" s="195"/>
    </row>
    <row r="1884" customHeight="1" spans="1:34">
      <c r="A1884" s="204" t="s">
        <v>905</v>
      </c>
      <c r="B1884" s="215" t="s">
        <v>514</v>
      </c>
      <c r="C1884" s="215"/>
      <c r="D1884" s="54"/>
      <c r="E1884" s="220">
        <f>G1880</f>
        <v>392.404</v>
      </c>
      <c r="F1884" s="221">
        <f>费率表!$J$4</f>
        <v>0.048</v>
      </c>
      <c r="G1884" s="216">
        <f t="shared" si="175"/>
        <v>18.835392</v>
      </c>
      <c r="H1884" s="193"/>
      <c r="I1884" s="193"/>
      <c r="J1884" s="193"/>
      <c r="K1884" s="193"/>
      <c r="L1884" s="193"/>
      <c r="M1884" s="193"/>
      <c r="N1884" s="193"/>
      <c r="O1884" s="193"/>
      <c r="S1884" s="194"/>
      <c r="T1884" s="194"/>
      <c r="U1884" s="194"/>
      <c r="V1884" s="194"/>
      <c r="W1884" s="194"/>
      <c r="X1884" s="194"/>
      <c r="Y1884" s="194"/>
      <c r="Z1884" s="194"/>
      <c r="AA1884" s="194"/>
      <c r="AB1884" s="194"/>
      <c r="AC1884" s="194"/>
      <c r="AD1884" s="194"/>
      <c r="AE1884" s="195"/>
      <c r="AF1884" s="195"/>
      <c r="AG1884" s="195"/>
      <c r="AH1884" s="195"/>
    </row>
    <row r="1885" customHeight="1" spans="1:34">
      <c r="A1885" s="204" t="s">
        <v>10</v>
      </c>
      <c r="B1885" s="215" t="s">
        <v>770</v>
      </c>
      <c r="C1885" s="215"/>
      <c r="D1885" s="54"/>
      <c r="E1885" s="214">
        <f>G1879</f>
        <v>411.239392</v>
      </c>
      <c r="F1885" s="222">
        <f>费率表!$J$5</f>
        <v>0.075</v>
      </c>
      <c r="G1885" s="216">
        <f t="shared" si="175"/>
        <v>30.8429544</v>
      </c>
      <c r="H1885" s="193"/>
      <c r="I1885" s="193"/>
      <c r="J1885" s="193"/>
      <c r="K1885" s="193"/>
      <c r="L1885" s="193"/>
      <c r="M1885" s="193"/>
      <c r="N1885" s="193"/>
      <c r="O1885" s="193"/>
      <c r="S1885" s="194"/>
      <c r="T1885" s="194"/>
      <c r="U1885" s="194"/>
      <c r="V1885" s="194"/>
      <c r="W1885" s="194"/>
      <c r="X1885" s="194"/>
      <c r="Y1885" s="194"/>
      <c r="Z1885" s="194"/>
      <c r="AA1885" s="194"/>
      <c r="AB1885" s="194"/>
      <c r="AC1885" s="194"/>
      <c r="AD1885" s="194"/>
      <c r="AE1885" s="195"/>
      <c r="AF1885" s="195"/>
      <c r="AG1885" s="195"/>
      <c r="AH1885" s="195"/>
    </row>
    <row r="1886" customHeight="1" spans="1:34">
      <c r="A1886" s="204" t="s">
        <v>12</v>
      </c>
      <c r="B1886" s="215" t="s">
        <v>771</v>
      </c>
      <c r="C1886" s="215"/>
      <c r="D1886" s="54"/>
      <c r="E1886" s="214">
        <f>G1879+G1885</f>
        <v>442.0823464</v>
      </c>
      <c r="F1886" s="222">
        <f>费率表!$J$6</f>
        <v>0.07</v>
      </c>
      <c r="G1886" s="216">
        <f t="shared" si="175"/>
        <v>30.945764248</v>
      </c>
      <c r="H1886" s="193"/>
      <c r="I1886" s="193"/>
      <c r="J1886" s="193"/>
      <c r="K1886" s="193"/>
      <c r="L1886" s="193"/>
      <c r="M1886" s="193"/>
      <c r="N1886" s="193"/>
      <c r="O1886" s="193"/>
      <c r="S1886" s="194"/>
      <c r="T1886" s="194"/>
      <c r="U1886" s="194"/>
      <c r="V1886" s="194"/>
      <c r="W1886" s="194"/>
      <c r="X1886" s="194"/>
      <c r="Y1886" s="194"/>
      <c r="Z1886" s="194"/>
      <c r="AA1886" s="194"/>
      <c r="AB1886" s="194"/>
      <c r="AC1886" s="194"/>
      <c r="AD1886" s="194"/>
      <c r="AE1886" s="195"/>
      <c r="AF1886" s="195"/>
      <c r="AG1886" s="195"/>
      <c r="AH1886" s="195"/>
    </row>
    <row r="1887" customHeight="1" spans="1:34">
      <c r="A1887" s="204" t="s">
        <v>15</v>
      </c>
      <c r="B1887" s="215" t="s">
        <v>772</v>
      </c>
      <c r="C1887" s="215"/>
      <c r="D1887" s="54"/>
      <c r="E1887" s="214">
        <f>G1879+G1885+G1886</f>
        <v>473.028110648</v>
      </c>
      <c r="F1887" s="222">
        <f>费率表!$J$7</f>
        <v>0.09</v>
      </c>
      <c r="G1887" s="216">
        <f t="shared" si="175"/>
        <v>42.57252995832</v>
      </c>
      <c r="H1887" s="193"/>
      <c r="I1887" s="193"/>
      <c r="J1887" s="193"/>
      <c r="K1887" s="193"/>
      <c r="L1887" s="193"/>
      <c r="M1887" s="193"/>
      <c r="N1887" s="193"/>
      <c r="O1887" s="193"/>
      <c r="S1887" s="194"/>
      <c r="T1887" s="194"/>
      <c r="U1887" s="194"/>
      <c r="V1887" s="194"/>
      <c r="W1887" s="194"/>
      <c r="X1887" s="194"/>
      <c r="Y1887" s="194"/>
      <c r="Z1887" s="194"/>
      <c r="AA1887" s="194"/>
      <c r="AB1887" s="194"/>
      <c r="AC1887" s="194"/>
      <c r="AD1887" s="194"/>
      <c r="AE1887" s="195"/>
      <c r="AF1887" s="195"/>
      <c r="AG1887" s="195"/>
      <c r="AH1887" s="195"/>
    </row>
    <row r="1888" customHeight="1" spans="1:34">
      <c r="A1888" s="204"/>
      <c r="B1888" s="215" t="s">
        <v>907</v>
      </c>
      <c r="C1888" s="215"/>
      <c r="D1888" s="54"/>
      <c r="E1888" s="214">
        <f>G1879+G1885+G1886+G1887</f>
        <v>515.60064060632</v>
      </c>
      <c r="F1888" s="222">
        <f>费率表!$B$19</f>
        <v>0.03</v>
      </c>
      <c r="G1888" s="216">
        <f t="shared" si="175"/>
        <v>15.4680192181896</v>
      </c>
      <c r="H1888" s="193"/>
      <c r="I1888" s="193"/>
      <c r="J1888" s="193"/>
      <c r="K1888" s="193"/>
      <c r="L1888" s="193"/>
      <c r="M1888" s="193"/>
      <c r="N1888" s="193"/>
      <c r="O1888" s="193"/>
      <c r="S1888" s="194"/>
      <c r="T1888" s="194"/>
      <c r="U1888" s="194"/>
      <c r="V1888" s="194"/>
      <c r="W1888" s="194"/>
      <c r="X1888" s="194"/>
      <c r="Y1888" s="194"/>
      <c r="Z1888" s="194"/>
      <c r="AA1888" s="194"/>
      <c r="AB1888" s="194"/>
      <c r="AC1888" s="194"/>
      <c r="AD1888" s="194"/>
      <c r="AE1888" s="195"/>
      <c r="AF1888" s="195"/>
      <c r="AG1888" s="195"/>
      <c r="AH1888" s="195"/>
    </row>
    <row r="1889" customHeight="1" spans="1:34">
      <c r="A1889" s="223"/>
      <c r="B1889" s="224" t="s">
        <v>39</v>
      </c>
      <c r="C1889" s="224"/>
      <c r="D1889" s="224"/>
      <c r="E1889" s="225"/>
      <c r="F1889" s="224"/>
      <c r="G1889" s="226">
        <f>G1879+G1885+G1886+G1887+G1888</f>
        <v>531.06865982451</v>
      </c>
      <c r="H1889" s="193"/>
      <c r="I1889" s="193"/>
      <c r="J1889" s="193"/>
      <c r="K1889" s="193"/>
      <c r="L1889" s="193"/>
      <c r="M1889" s="193"/>
      <c r="N1889" s="193"/>
      <c r="O1889" s="193"/>
      <c r="S1889" s="194"/>
      <c r="T1889" s="194"/>
      <c r="U1889" s="194"/>
      <c r="V1889" s="194"/>
      <c r="W1889" s="194"/>
      <c r="X1889" s="194"/>
      <c r="Y1889" s="194"/>
      <c r="Z1889" s="194"/>
      <c r="AA1889" s="194"/>
      <c r="AB1889" s="194"/>
      <c r="AC1889" s="194"/>
      <c r="AD1889" s="194"/>
      <c r="AE1889" s="195"/>
      <c r="AF1889" s="195"/>
      <c r="AG1889" s="195"/>
      <c r="AH1889" s="195"/>
    </row>
    <row r="1890" customHeight="1" spans="1:34">
      <c r="H1890" s="193"/>
      <c r="I1890" s="193"/>
      <c r="J1890" s="193"/>
      <c r="K1890" s="193"/>
      <c r="L1890" s="193"/>
      <c r="M1890" s="193"/>
      <c r="N1890" s="193"/>
      <c r="O1890" s="193"/>
      <c r="S1890" s="194"/>
      <c r="T1890" s="194"/>
      <c r="U1890" s="194"/>
      <c r="V1890" s="194"/>
      <c r="W1890" s="194"/>
      <c r="X1890" s="194"/>
      <c r="Y1890" s="194"/>
      <c r="Z1890" s="194"/>
      <c r="AA1890" s="194"/>
      <c r="AB1890" s="194"/>
      <c r="AC1890" s="194"/>
      <c r="AD1890" s="194"/>
      <c r="AE1890" s="195"/>
      <c r="AF1890" s="195"/>
      <c r="AG1890" s="195"/>
      <c r="AH1890" s="195"/>
    </row>
    <row r="1891" customHeight="1" spans="1:34">
      <c r="A1891" s="285" t="s">
        <v>868</v>
      </c>
      <c r="B1891" s="285"/>
      <c r="C1891" s="285"/>
      <c r="D1891" s="285"/>
      <c r="E1891" s="285"/>
      <c r="F1891" s="285"/>
      <c r="G1891" s="285"/>
      <c r="H1891" s="193"/>
      <c r="I1891" s="193"/>
      <c r="J1891" s="193"/>
      <c r="K1891" s="193"/>
      <c r="L1891" s="193"/>
      <c r="M1891" s="193"/>
      <c r="N1891" s="193"/>
      <c r="O1891" s="193"/>
      <c r="S1891" s="194"/>
      <c r="T1891" s="194"/>
      <c r="U1891" s="194"/>
      <c r="V1891" s="194"/>
      <c r="W1891" s="194"/>
      <c r="X1891" s="194"/>
      <c r="Y1891" s="194"/>
      <c r="Z1891" s="194"/>
      <c r="AA1891" s="194"/>
      <c r="AB1891" s="194"/>
      <c r="AC1891" s="194"/>
      <c r="AD1891" s="194"/>
      <c r="AE1891" s="195"/>
      <c r="AF1891" s="195"/>
      <c r="AG1891" s="195"/>
      <c r="AH1891" s="195"/>
    </row>
    <row r="1892" customHeight="1" spans="1:34">
      <c r="A1892" s="286" t="s">
        <v>869</v>
      </c>
      <c r="B1892" s="287"/>
      <c r="C1892" s="200"/>
      <c r="D1892" s="200" t="s">
        <v>870</v>
      </c>
      <c r="E1892" s="201" t="s">
        <v>1526</v>
      </c>
      <c r="F1892" s="202"/>
      <c r="G1892" s="203"/>
      <c r="H1892" s="193"/>
      <c r="I1892" s="193"/>
      <c r="J1892" s="193"/>
      <c r="K1892" s="193"/>
      <c r="L1892" s="193"/>
      <c r="M1892" s="193"/>
      <c r="N1892" s="193"/>
      <c r="O1892" s="193"/>
      <c r="S1892" s="194"/>
      <c r="T1892" s="194"/>
      <c r="U1892" s="194"/>
      <c r="V1892" s="194"/>
      <c r="W1892" s="194"/>
      <c r="X1892" s="194"/>
      <c r="Y1892" s="194"/>
      <c r="Z1892" s="194"/>
      <c r="AA1892" s="194"/>
      <c r="AB1892" s="194"/>
      <c r="AC1892" s="194"/>
      <c r="AD1892" s="194"/>
      <c r="AE1892" s="195"/>
      <c r="AF1892" s="195"/>
      <c r="AG1892" s="195"/>
      <c r="AH1892" s="195"/>
    </row>
    <row r="1893" customHeight="1" spans="1:34">
      <c r="A1893" s="288" t="s">
        <v>507</v>
      </c>
      <c r="B1893" s="289"/>
      <c r="C1893" s="290" t="s">
        <v>1527</v>
      </c>
      <c r="D1893" s="291"/>
      <c r="E1893" s="292"/>
      <c r="F1893" s="54" t="s">
        <v>873</v>
      </c>
      <c r="G1893" s="138" t="s">
        <v>1528</v>
      </c>
      <c r="H1893" s="193"/>
      <c r="I1893" s="193"/>
      <c r="J1893" s="193"/>
      <c r="K1893" s="193"/>
      <c r="L1893" s="193"/>
      <c r="M1893" s="193"/>
      <c r="N1893" s="193"/>
      <c r="O1893" s="193"/>
      <c r="S1893" s="194"/>
      <c r="T1893" s="194"/>
      <c r="U1893" s="194"/>
      <c r="V1893" s="194"/>
      <c r="W1893" s="194"/>
      <c r="X1893" s="194"/>
      <c r="Y1893" s="194"/>
      <c r="Z1893" s="194"/>
      <c r="AA1893" s="194"/>
      <c r="AB1893" s="194"/>
      <c r="AC1893" s="194"/>
      <c r="AD1893" s="194"/>
      <c r="AE1893" s="195"/>
      <c r="AF1893" s="195"/>
      <c r="AG1893" s="195"/>
      <c r="AH1893" s="195"/>
    </row>
    <row r="1894" customHeight="1" spans="1:34">
      <c r="A1894" s="293" t="s">
        <v>875</v>
      </c>
      <c r="B1894" s="291"/>
      <c r="C1894" s="291"/>
      <c r="D1894" s="291"/>
      <c r="E1894" s="291"/>
      <c r="F1894" s="291"/>
      <c r="G1894" s="294"/>
      <c r="H1894" s="193"/>
      <c r="I1894" s="193"/>
      <c r="J1894" s="193"/>
      <c r="K1894" s="193"/>
      <c r="L1894" s="193"/>
      <c r="M1894" s="193"/>
      <c r="N1894" s="193"/>
      <c r="O1894" s="193"/>
      <c r="S1894" s="194"/>
      <c r="T1894" s="194"/>
      <c r="U1894" s="194"/>
      <c r="V1894" s="194"/>
      <c r="W1894" s="194"/>
      <c r="X1894" s="194"/>
      <c r="Y1894" s="194"/>
      <c r="Z1894" s="194"/>
      <c r="AA1894" s="194"/>
      <c r="AB1894" s="194"/>
      <c r="AC1894" s="194"/>
      <c r="AD1894" s="194"/>
      <c r="AE1894" s="195"/>
      <c r="AF1894" s="195"/>
      <c r="AG1894" s="195"/>
      <c r="AH1894" s="195"/>
    </row>
    <row r="1895" customHeight="1" spans="1:34">
      <c r="A1895" s="210" t="s">
        <v>1529</v>
      </c>
      <c r="B1895" s="211"/>
      <c r="C1895" s="211"/>
      <c r="D1895" s="211"/>
      <c r="E1895" s="211"/>
      <c r="F1895" s="211"/>
      <c r="G1895" s="295"/>
      <c r="H1895" s="193"/>
      <c r="I1895" s="193"/>
      <c r="J1895" s="193"/>
      <c r="K1895" s="193"/>
      <c r="L1895" s="193"/>
      <c r="M1895" s="193"/>
      <c r="N1895" s="193"/>
      <c r="O1895" s="193"/>
      <c r="S1895" s="194"/>
      <c r="T1895" s="194"/>
      <c r="U1895" s="194"/>
      <c r="V1895" s="194"/>
      <c r="W1895" s="194"/>
      <c r="X1895" s="194"/>
      <c r="Y1895" s="194"/>
      <c r="Z1895" s="194"/>
      <c r="AA1895" s="194"/>
      <c r="AB1895" s="194"/>
      <c r="AC1895" s="194"/>
      <c r="AD1895" s="194"/>
      <c r="AE1895" s="195"/>
      <c r="AF1895" s="195"/>
      <c r="AG1895" s="195"/>
      <c r="AH1895" s="195"/>
    </row>
    <row r="1896" customHeight="1" spans="1:34">
      <c r="A1896" s="204" t="s">
        <v>34</v>
      </c>
      <c r="B1896" s="54" t="s">
        <v>761</v>
      </c>
      <c r="C1896" s="54"/>
      <c r="D1896" s="54" t="s">
        <v>60</v>
      </c>
      <c r="E1896" s="214" t="s">
        <v>877</v>
      </c>
      <c r="F1896" s="54" t="s">
        <v>878</v>
      </c>
      <c r="G1896" s="207" t="s">
        <v>879</v>
      </c>
      <c r="H1896" s="193"/>
      <c r="I1896" s="193"/>
      <c r="J1896" s="193"/>
      <c r="K1896" s="193"/>
      <c r="L1896" s="193"/>
      <c r="M1896" s="193"/>
      <c r="N1896" s="193"/>
      <c r="O1896" s="193"/>
      <c r="S1896" s="194"/>
      <c r="T1896" s="194"/>
      <c r="U1896" s="194"/>
      <c r="V1896" s="194"/>
      <c r="W1896" s="194"/>
      <c r="X1896" s="194"/>
      <c r="Y1896" s="194"/>
      <c r="Z1896" s="194"/>
      <c r="AA1896" s="194"/>
      <c r="AB1896" s="194"/>
      <c r="AC1896" s="194"/>
      <c r="AD1896" s="194"/>
      <c r="AE1896" s="195"/>
      <c r="AF1896" s="195"/>
      <c r="AG1896" s="195"/>
      <c r="AH1896" s="195"/>
    </row>
    <row r="1897" customHeight="1" spans="1:34">
      <c r="A1897" s="204" t="s">
        <v>8</v>
      </c>
      <c r="B1897" s="215" t="s">
        <v>880</v>
      </c>
      <c r="C1897" s="215"/>
      <c r="D1897" s="54"/>
      <c r="E1897" s="214"/>
      <c r="F1897" s="214"/>
      <c r="G1897" s="216">
        <f>G1898+G1902</f>
        <v>293.672656</v>
      </c>
      <c r="H1897" s="193"/>
      <c r="I1897" s="193"/>
      <c r="J1897" s="193"/>
      <c r="K1897" s="193"/>
      <c r="L1897" s="193"/>
      <c r="M1897" s="193"/>
      <c r="N1897" s="193"/>
      <c r="O1897" s="193"/>
      <c r="S1897" s="194"/>
      <c r="T1897" s="194"/>
      <c r="U1897" s="194"/>
      <c r="V1897" s="194"/>
      <c r="W1897" s="194"/>
      <c r="X1897" s="194"/>
      <c r="Y1897" s="194"/>
      <c r="Z1897" s="194"/>
      <c r="AA1897" s="194"/>
      <c r="AB1897" s="194"/>
      <c r="AC1897" s="194"/>
      <c r="AD1897" s="194"/>
      <c r="AE1897" s="195"/>
      <c r="AF1897" s="195"/>
      <c r="AG1897" s="195"/>
      <c r="AH1897" s="195"/>
    </row>
    <row r="1898" customHeight="1" spans="1:34">
      <c r="A1898" s="204" t="s">
        <v>881</v>
      </c>
      <c r="B1898" s="215" t="s">
        <v>882</v>
      </c>
      <c r="C1898" s="215"/>
      <c r="D1898" s="54"/>
      <c r="E1898" s="214"/>
      <c r="F1898" s="214"/>
      <c r="G1898" s="216">
        <f>G1899</f>
        <v>280.222</v>
      </c>
      <c r="H1898" s="193"/>
      <c r="I1898" s="193"/>
      <c r="J1898" s="193"/>
      <c r="K1898" s="193"/>
      <c r="L1898" s="193"/>
      <c r="M1898" s="193"/>
      <c r="N1898" s="193"/>
      <c r="O1898" s="193"/>
      <c r="S1898" s="194"/>
      <c r="T1898" s="194"/>
      <c r="U1898" s="194"/>
      <c r="V1898" s="194"/>
      <c r="W1898" s="194"/>
      <c r="X1898" s="194"/>
      <c r="Y1898" s="194"/>
      <c r="Z1898" s="194"/>
      <c r="AA1898" s="194"/>
      <c r="AB1898" s="194"/>
      <c r="AC1898" s="194"/>
      <c r="AD1898" s="194"/>
      <c r="AE1898" s="195"/>
      <c r="AF1898" s="195"/>
      <c r="AG1898" s="195"/>
      <c r="AH1898" s="195"/>
    </row>
    <row r="1899" customHeight="1" spans="1:34">
      <c r="A1899" s="204" t="s">
        <v>17</v>
      </c>
      <c r="B1899" s="215" t="s">
        <v>510</v>
      </c>
      <c r="C1899" s="215"/>
      <c r="D1899" s="54"/>
      <c r="E1899" s="214"/>
      <c r="F1899" s="214"/>
      <c r="G1899" s="216">
        <f>SUM(G1900:G1901)</f>
        <v>280.222</v>
      </c>
      <c r="H1899" s="193"/>
      <c r="I1899" s="193"/>
      <c r="J1899" s="193"/>
      <c r="K1899" s="193"/>
      <c r="L1899" s="193"/>
      <c r="M1899" s="193"/>
      <c r="N1899" s="193"/>
      <c r="O1899" s="193"/>
      <c r="S1899" s="194"/>
      <c r="T1899" s="194"/>
      <c r="U1899" s="194"/>
      <c r="V1899" s="194"/>
      <c r="W1899" s="194"/>
      <c r="X1899" s="194"/>
      <c r="Y1899" s="194"/>
      <c r="Z1899" s="194"/>
      <c r="AA1899" s="194"/>
      <c r="AB1899" s="194"/>
      <c r="AC1899" s="194"/>
      <c r="AD1899" s="194"/>
      <c r="AE1899" s="195"/>
      <c r="AF1899" s="195"/>
      <c r="AG1899" s="195"/>
      <c r="AH1899" s="195"/>
    </row>
    <row r="1900" customHeight="1" spans="1:34">
      <c r="A1900" s="204"/>
      <c r="B1900" s="215" t="s">
        <v>704</v>
      </c>
      <c r="C1900" s="215"/>
      <c r="D1900" s="54" t="s">
        <v>705</v>
      </c>
      <c r="E1900" s="214">
        <v>1.4</v>
      </c>
      <c r="F1900" s="214">
        <f>主要材料预算!$D$19</f>
        <v>8.1</v>
      </c>
      <c r="G1900" s="216">
        <f t="shared" ref="G1900:G1906" si="176">E1900*F1900</f>
        <v>11.34</v>
      </c>
      <c r="H1900" s="193"/>
      <c r="I1900" s="193"/>
      <c r="J1900" s="193"/>
      <c r="K1900" s="193"/>
      <c r="L1900" s="193"/>
      <c r="M1900" s="193"/>
      <c r="N1900" s="193"/>
      <c r="O1900" s="193"/>
      <c r="S1900" s="194"/>
      <c r="T1900" s="194"/>
      <c r="U1900" s="194"/>
      <c r="V1900" s="194"/>
      <c r="W1900" s="194"/>
      <c r="X1900" s="194"/>
      <c r="Y1900" s="194"/>
      <c r="Z1900" s="194"/>
      <c r="AA1900" s="194"/>
      <c r="AB1900" s="194"/>
      <c r="AC1900" s="194"/>
      <c r="AD1900" s="194"/>
      <c r="AE1900" s="195"/>
      <c r="AF1900" s="195"/>
      <c r="AG1900" s="195"/>
      <c r="AH1900" s="195"/>
    </row>
    <row r="1901" customHeight="1" spans="1:34">
      <c r="A1901" s="204"/>
      <c r="B1901" s="215" t="s">
        <v>706</v>
      </c>
      <c r="C1901" s="215"/>
      <c r="D1901" s="54" t="s">
        <v>705</v>
      </c>
      <c r="E1901" s="217">
        <v>46.6</v>
      </c>
      <c r="F1901" s="214">
        <f>主要材料预算!$D$20</f>
        <v>5.77</v>
      </c>
      <c r="G1901" s="216">
        <f t="shared" si="176"/>
        <v>268.882</v>
      </c>
      <c r="H1901" s="193"/>
      <c r="I1901" s="193"/>
      <c r="J1901" s="193"/>
      <c r="K1901" s="193"/>
      <c r="L1901" s="193"/>
      <c r="M1901" s="193"/>
      <c r="N1901" s="193"/>
      <c r="O1901" s="193"/>
      <c r="S1901" s="194"/>
      <c r="T1901" s="194"/>
      <c r="U1901" s="194"/>
      <c r="V1901" s="194"/>
      <c r="W1901" s="194"/>
      <c r="X1901" s="194"/>
      <c r="Y1901" s="194"/>
      <c r="Z1901" s="194"/>
      <c r="AA1901" s="194"/>
      <c r="AB1901" s="194"/>
      <c r="AC1901" s="194"/>
      <c r="AD1901" s="194"/>
      <c r="AE1901" s="195"/>
      <c r="AF1901" s="195"/>
      <c r="AG1901" s="195"/>
      <c r="AH1901" s="195"/>
    </row>
    <row r="1902" customHeight="1" spans="1:34">
      <c r="A1902" s="204" t="s">
        <v>905</v>
      </c>
      <c r="B1902" s="215" t="s">
        <v>514</v>
      </c>
      <c r="C1902" s="215"/>
      <c r="D1902" s="54"/>
      <c r="E1902" s="220">
        <f>G1898</f>
        <v>280.222</v>
      </c>
      <c r="F1902" s="221">
        <f>费率表!$J$4</f>
        <v>0.048</v>
      </c>
      <c r="G1902" s="216">
        <f t="shared" si="176"/>
        <v>13.450656</v>
      </c>
      <c r="H1902" s="193"/>
      <c r="I1902" s="193"/>
      <c r="J1902" s="193"/>
      <c r="K1902" s="193"/>
      <c r="L1902" s="193"/>
      <c r="M1902" s="193"/>
      <c r="N1902" s="193"/>
      <c r="O1902" s="193"/>
      <c r="S1902" s="194"/>
      <c r="T1902" s="194"/>
      <c r="U1902" s="194"/>
      <c r="V1902" s="194"/>
      <c r="W1902" s="194"/>
      <c r="X1902" s="194"/>
      <c r="Y1902" s="194"/>
      <c r="Z1902" s="194"/>
      <c r="AA1902" s="194"/>
      <c r="AB1902" s="194"/>
      <c r="AC1902" s="194"/>
      <c r="AD1902" s="194"/>
      <c r="AE1902" s="195"/>
      <c r="AF1902" s="195"/>
      <c r="AG1902" s="195"/>
      <c r="AH1902" s="195"/>
    </row>
    <row r="1903" customHeight="1" spans="1:34">
      <c r="A1903" s="204" t="s">
        <v>10</v>
      </c>
      <c r="B1903" s="215" t="s">
        <v>770</v>
      </c>
      <c r="C1903" s="215"/>
      <c r="D1903" s="54"/>
      <c r="E1903" s="214">
        <f>G1897</f>
        <v>293.672656</v>
      </c>
      <c r="F1903" s="222">
        <f>费率表!$J$5</f>
        <v>0.075</v>
      </c>
      <c r="G1903" s="216">
        <f t="shared" si="176"/>
        <v>22.0254492</v>
      </c>
      <c r="H1903" s="193"/>
      <c r="I1903" s="193"/>
      <c r="J1903" s="193"/>
      <c r="K1903" s="193"/>
      <c r="L1903" s="193"/>
      <c r="M1903" s="193"/>
      <c r="N1903" s="193"/>
      <c r="O1903" s="193"/>
      <c r="S1903" s="194"/>
      <c r="T1903" s="194"/>
      <c r="U1903" s="194"/>
      <c r="V1903" s="194"/>
      <c r="W1903" s="194"/>
      <c r="X1903" s="194"/>
      <c r="Y1903" s="194"/>
      <c r="Z1903" s="194"/>
      <c r="AA1903" s="194"/>
      <c r="AB1903" s="194"/>
      <c r="AC1903" s="194"/>
      <c r="AD1903" s="194"/>
      <c r="AE1903" s="195"/>
      <c r="AF1903" s="195"/>
      <c r="AG1903" s="195"/>
      <c r="AH1903" s="195"/>
    </row>
    <row r="1904" customHeight="1" spans="1:34">
      <c r="A1904" s="204" t="s">
        <v>12</v>
      </c>
      <c r="B1904" s="215" t="s">
        <v>771</v>
      </c>
      <c r="C1904" s="215"/>
      <c r="D1904" s="54"/>
      <c r="E1904" s="214">
        <f>G1897+G1903</f>
        <v>315.6981052</v>
      </c>
      <c r="F1904" s="222">
        <f>费率表!$J$6</f>
        <v>0.07</v>
      </c>
      <c r="G1904" s="216">
        <f t="shared" si="176"/>
        <v>22.098867364</v>
      </c>
      <c r="H1904" s="193"/>
      <c r="I1904" s="193"/>
      <c r="J1904" s="193"/>
      <c r="K1904" s="193"/>
      <c r="L1904" s="193"/>
      <c r="M1904" s="193"/>
      <c r="N1904" s="193"/>
      <c r="O1904" s="193"/>
      <c r="S1904" s="194"/>
      <c r="T1904" s="194"/>
      <c r="U1904" s="194"/>
      <c r="V1904" s="194"/>
      <c r="W1904" s="194"/>
      <c r="X1904" s="194"/>
      <c r="Y1904" s="194"/>
      <c r="Z1904" s="194"/>
      <c r="AA1904" s="194"/>
      <c r="AB1904" s="194"/>
      <c r="AC1904" s="194"/>
      <c r="AD1904" s="194"/>
      <c r="AE1904" s="195"/>
      <c r="AF1904" s="195"/>
      <c r="AG1904" s="195"/>
      <c r="AH1904" s="195"/>
    </row>
    <row r="1905" customHeight="1" spans="1:34">
      <c r="A1905" s="204" t="s">
        <v>15</v>
      </c>
      <c r="B1905" s="215" t="s">
        <v>772</v>
      </c>
      <c r="C1905" s="215"/>
      <c r="D1905" s="54"/>
      <c r="E1905" s="214">
        <f>G1897+G1903+G1904</f>
        <v>337.796972564</v>
      </c>
      <c r="F1905" s="222">
        <f>费率表!$J$7</f>
        <v>0.09</v>
      </c>
      <c r="G1905" s="216">
        <f t="shared" si="176"/>
        <v>30.40172753076</v>
      </c>
      <c r="H1905" s="193"/>
      <c r="I1905" s="193"/>
      <c r="J1905" s="193"/>
      <c r="K1905" s="193"/>
      <c r="L1905" s="193"/>
      <c r="M1905" s="193"/>
      <c r="N1905" s="193"/>
      <c r="O1905" s="193"/>
      <c r="S1905" s="194"/>
      <c r="T1905" s="194"/>
      <c r="U1905" s="194"/>
      <c r="V1905" s="194"/>
      <c r="W1905" s="194"/>
      <c r="X1905" s="194"/>
      <c r="Y1905" s="194"/>
      <c r="Z1905" s="194"/>
      <c r="AA1905" s="194"/>
      <c r="AB1905" s="194"/>
      <c r="AC1905" s="194"/>
      <c r="AD1905" s="194"/>
      <c r="AE1905" s="195"/>
      <c r="AF1905" s="195"/>
      <c r="AG1905" s="195"/>
      <c r="AH1905" s="195"/>
    </row>
    <row r="1906" customHeight="1" spans="1:34">
      <c r="A1906" s="204"/>
      <c r="B1906" s="215" t="s">
        <v>907</v>
      </c>
      <c r="C1906" s="215"/>
      <c r="D1906" s="54"/>
      <c r="E1906" s="214">
        <f>G1897+G1903+G1904+G1905</f>
        <v>368.19870009476</v>
      </c>
      <c r="F1906" s="222">
        <f>费率表!$B$19</f>
        <v>0.03</v>
      </c>
      <c r="G1906" s="216">
        <f t="shared" si="176"/>
        <v>11.0459610028428</v>
      </c>
      <c r="H1906" s="193"/>
      <c r="I1906" s="193"/>
      <c r="J1906" s="193"/>
      <c r="K1906" s="193"/>
      <c r="L1906" s="193"/>
      <c r="M1906" s="193"/>
      <c r="N1906" s="193"/>
      <c r="O1906" s="193"/>
      <c r="S1906" s="194"/>
      <c r="T1906" s="194"/>
      <c r="U1906" s="194"/>
      <c r="V1906" s="194"/>
      <c r="W1906" s="194"/>
      <c r="X1906" s="194"/>
      <c r="Y1906" s="194"/>
      <c r="Z1906" s="194"/>
      <c r="AA1906" s="194"/>
      <c r="AB1906" s="194"/>
      <c r="AC1906" s="194"/>
      <c r="AD1906" s="194"/>
      <c r="AE1906" s="195"/>
      <c r="AF1906" s="195"/>
      <c r="AG1906" s="195"/>
      <c r="AH1906" s="195"/>
    </row>
    <row r="1907" customHeight="1" spans="1:34">
      <c r="A1907" s="223"/>
      <c r="B1907" s="224" t="s">
        <v>39</v>
      </c>
      <c r="C1907" s="224"/>
      <c r="D1907" s="224"/>
      <c r="E1907" s="225"/>
      <c r="F1907" s="224"/>
      <c r="G1907" s="226">
        <f>G1897+G1903+G1904+G1905+G1906</f>
        <v>379.244661097603</v>
      </c>
      <c r="H1907" s="193"/>
      <c r="I1907" s="193"/>
      <c r="J1907" s="193"/>
      <c r="K1907" s="193"/>
      <c r="L1907" s="193"/>
      <c r="M1907" s="193"/>
      <c r="N1907" s="193"/>
      <c r="O1907" s="193"/>
      <c r="S1907" s="194"/>
      <c r="T1907" s="194"/>
      <c r="U1907" s="194"/>
      <c r="V1907" s="194"/>
      <c r="W1907" s="194"/>
      <c r="X1907" s="194"/>
      <c r="Y1907" s="194"/>
      <c r="Z1907" s="194"/>
      <c r="AA1907" s="194"/>
      <c r="AB1907" s="194"/>
      <c r="AC1907" s="194"/>
      <c r="AD1907" s="194"/>
      <c r="AE1907" s="195"/>
      <c r="AF1907" s="195"/>
      <c r="AG1907" s="195"/>
      <c r="AH1907" s="195"/>
    </row>
    <row r="1908" customHeight="1" spans="1:34">
      <c r="H1908" s="193"/>
      <c r="I1908" s="193"/>
      <c r="J1908" s="193"/>
      <c r="K1908" s="193"/>
      <c r="L1908" s="193"/>
      <c r="M1908" s="193"/>
      <c r="N1908" s="193"/>
      <c r="O1908" s="193"/>
      <c r="S1908" s="194"/>
      <c r="T1908" s="194"/>
      <c r="U1908" s="194"/>
      <c r="V1908" s="194"/>
      <c r="W1908" s="194"/>
      <c r="X1908" s="194"/>
      <c r="Y1908" s="194"/>
      <c r="Z1908" s="194"/>
      <c r="AA1908" s="194"/>
      <c r="AB1908" s="194"/>
      <c r="AC1908" s="194"/>
      <c r="AD1908" s="194"/>
      <c r="AE1908" s="195"/>
      <c r="AF1908" s="195"/>
      <c r="AG1908" s="195"/>
      <c r="AH1908" s="195"/>
    </row>
    <row r="1909" customHeight="1" spans="1:34">
      <c r="H1909" s="193"/>
      <c r="I1909" s="193"/>
      <c r="J1909" s="193"/>
      <c r="K1909" s="193"/>
      <c r="L1909" s="193"/>
      <c r="M1909" s="193"/>
      <c r="N1909" s="193"/>
      <c r="O1909" s="193"/>
      <c r="S1909" s="194"/>
      <c r="T1909" s="194"/>
      <c r="U1909" s="194"/>
      <c r="V1909" s="194"/>
      <c r="W1909" s="194"/>
      <c r="X1909" s="194"/>
      <c r="Y1909" s="194"/>
      <c r="Z1909" s="194"/>
      <c r="AA1909" s="194"/>
      <c r="AB1909" s="194"/>
      <c r="AC1909" s="194"/>
      <c r="AD1909" s="194"/>
      <c r="AE1909" s="195"/>
      <c r="AF1909" s="195"/>
      <c r="AG1909" s="195"/>
      <c r="AH1909" s="195"/>
    </row>
    <row r="1910" customHeight="1" spans="1:34">
      <c r="A1910" s="285" t="s">
        <v>868</v>
      </c>
      <c r="B1910" s="285"/>
      <c r="C1910" s="285"/>
      <c r="D1910" s="285"/>
      <c r="E1910" s="285"/>
      <c r="F1910" s="285"/>
      <c r="G1910" s="285"/>
      <c r="H1910" s="193"/>
      <c r="I1910" s="193"/>
      <c r="J1910" s="193"/>
      <c r="K1910" s="193"/>
      <c r="L1910" s="193"/>
      <c r="M1910" s="193"/>
      <c r="N1910" s="193"/>
      <c r="O1910" s="193"/>
      <c r="S1910" s="194"/>
      <c r="T1910" s="194"/>
      <c r="U1910" s="194"/>
      <c r="V1910" s="194"/>
      <c r="W1910" s="194"/>
      <c r="X1910" s="194"/>
      <c r="Y1910" s="194"/>
      <c r="Z1910" s="194"/>
      <c r="AA1910" s="194"/>
      <c r="AB1910" s="194"/>
      <c r="AC1910" s="194"/>
      <c r="AD1910" s="194"/>
      <c r="AE1910" s="195"/>
      <c r="AF1910" s="195"/>
      <c r="AG1910" s="195"/>
      <c r="AH1910" s="195"/>
    </row>
    <row r="1911" customHeight="1" spans="1:34">
      <c r="A1911" s="286" t="s">
        <v>869</v>
      </c>
      <c r="B1911" s="287"/>
      <c r="C1911" s="200"/>
      <c r="D1911" s="200" t="s">
        <v>870</v>
      </c>
      <c r="E1911" s="201" t="s">
        <v>1530</v>
      </c>
      <c r="F1911" s="202"/>
      <c r="G1911" s="203"/>
      <c r="H1911" s="193"/>
      <c r="I1911" s="193"/>
      <c r="J1911" s="193"/>
      <c r="K1911" s="193"/>
      <c r="L1911" s="193"/>
      <c r="M1911" s="193"/>
      <c r="N1911" s="193"/>
      <c r="O1911" s="193"/>
      <c r="S1911" s="194"/>
      <c r="T1911" s="194"/>
      <c r="U1911" s="194"/>
      <c r="V1911" s="194"/>
      <c r="W1911" s="194"/>
      <c r="X1911" s="194"/>
      <c r="Y1911" s="194"/>
      <c r="Z1911" s="194"/>
      <c r="AA1911" s="194"/>
      <c r="AB1911" s="194"/>
      <c r="AC1911" s="194"/>
      <c r="AD1911" s="194"/>
      <c r="AE1911" s="195"/>
      <c r="AF1911" s="195"/>
      <c r="AG1911" s="195"/>
      <c r="AH1911" s="195"/>
    </row>
    <row r="1912" customHeight="1" spans="1:34">
      <c r="A1912" s="288" t="s">
        <v>507</v>
      </c>
      <c r="B1912" s="289"/>
      <c r="C1912" s="290" t="s">
        <v>1531</v>
      </c>
      <c r="D1912" s="291"/>
      <c r="E1912" s="292"/>
      <c r="F1912" s="54" t="s">
        <v>873</v>
      </c>
      <c r="G1912" s="138" t="s">
        <v>1524</v>
      </c>
      <c r="H1912" s="193"/>
      <c r="I1912" s="193"/>
      <c r="J1912" s="193"/>
      <c r="K1912" s="193"/>
      <c r="L1912" s="193"/>
      <c r="M1912" s="193"/>
      <c r="N1912" s="193"/>
      <c r="O1912" s="193"/>
      <c r="S1912" s="194"/>
      <c r="T1912" s="194"/>
      <c r="U1912" s="194"/>
      <c r="V1912" s="194"/>
      <c r="W1912" s="194"/>
      <c r="X1912" s="194"/>
      <c r="Y1912" s="194"/>
      <c r="Z1912" s="194"/>
      <c r="AA1912" s="194"/>
      <c r="AB1912" s="194"/>
      <c r="AC1912" s="194"/>
      <c r="AD1912" s="194"/>
      <c r="AE1912" s="195"/>
      <c r="AF1912" s="195"/>
      <c r="AG1912" s="195"/>
      <c r="AH1912" s="195"/>
    </row>
    <row r="1913" customHeight="1" spans="1:34">
      <c r="A1913" s="293" t="s">
        <v>875</v>
      </c>
      <c r="B1913" s="291"/>
      <c r="C1913" s="291"/>
      <c r="D1913" s="291"/>
      <c r="E1913" s="291"/>
      <c r="F1913" s="291"/>
      <c r="G1913" s="294"/>
      <c r="H1913" s="193"/>
      <c r="I1913" s="193"/>
      <c r="J1913" s="193"/>
      <c r="K1913" s="193"/>
      <c r="L1913" s="193"/>
      <c r="M1913" s="193"/>
      <c r="N1913" s="193"/>
      <c r="O1913" s="193"/>
      <c r="S1913" s="194"/>
      <c r="T1913" s="194"/>
      <c r="U1913" s="194"/>
      <c r="V1913" s="194"/>
      <c r="W1913" s="194"/>
      <c r="X1913" s="194"/>
      <c r="Y1913" s="194"/>
      <c r="Z1913" s="194"/>
      <c r="AA1913" s="194"/>
      <c r="AB1913" s="194"/>
      <c r="AC1913" s="194"/>
      <c r="AD1913" s="194"/>
      <c r="AE1913" s="195"/>
      <c r="AF1913" s="195"/>
      <c r="AG1913" s="195"/>
      <c r="AH1913" s="195"/>
    </row>
    <row r="1914" customHeight="1" spans="1:34">
      <c r="A1914" s="210" t="s">
        <v>1525</v>
      </c>
      <c r="B1914" s="211"/>
      <c r="C1914" s="211"/>
      <c r="D1914" s="211"/>
      <c r="E1914" s="211"/>
      <c r="F1914" s="211"/>
      <c r="G1914" s="295"/>
      <c r="H1914" s="193"/>
      <c r="I1914" s="193"/>
      <c r="J1914" s="193"/>
      <c r="K1914" s="193"/>
      <c r="L1914" s="193"/>
      <c r="M1914" s="193"/>
      <c r="N1914" s="193"/>
      <c r="O1914" s="193"/>
      <c r="S1914" s="194"/>
      <c r="T1914" s="194"/>
      <c r="U1914" s="194"/>
      <c r="V1914" s="194"/>
      <c r="W1914" s="194"/>
      <c r="X1914" s="194"/>
      <c r="Y1914" s="194"/>
      <c r="Z1914" s="194"/>
      <c r="AA1914" s="194"/>
      <c r="AB1914" s="194"/>
      <c r="AC1914" s="194"/>
      <c r="AD1914" s="194"/>
      <c r="AE1914" s="195"/>
      <c r="AF1914" s="195"/>
      <c r="AG1914" s="195"/>
      <c r="AH1914" s="195"/>
    </row>
    <row r="1915" customHeight="1" spans="1:34">
      <c r="A1915" s="204" t="s">
        <v>34</v>
      </c>
      <c r="B1915" s="54" t="s">
        <v>761</v>
      </c>
      <c r="C1915" s="54"/>
      <c r="D1915" s="54" t="s">
        <v>60</v>
      </c>
      <c r="E1915" s="214" t="s">
        <v>877</v>
      </c>
      <c r="F1915" s="54" t="s">
        <v>878</v>
      </c>
      <c r="G1915" s="207" t="s">
        <v>879</v>
      </c>
      <c r="H1915" s="193"/>
      <c r="I1915" s="193"/>
      <c r="J1915" s="193"/>
      <c r="K1915" s="193"/>
      <c r="L1915" s="193"/>
      <c r="M1915" s="193"/>
      <c r="N1915" s="193"/>
      <c r="O1915" s="193"/>
      <c r="S1915" s="194"/>
      <c r="T1915" s="194"/>
      <c r="U1915" s="194"/>
      <c r="V1915" s="194"/>
      <c r="W1915" s="194"/>
      <c r="X1915" s="194"/>
      <c r="Y1915" s="194"/>
      <c r="Z1915" s="194"/>
      <c r="AA1915" s="194"/>
      <c r="AB1915" s="194"/>
      <c r="AC1915" s="194"/>
      <c r="AD1915" s="194"/>
      <c r="AE1915" s="195"/>
      <c r="AF1915" s="195"/>
      <c r="AG1915" s="195"/>
      <c r="AH1915" s="195"/>
    </row>
    <row r="1916" customHeight="1" spans="1:34">
      <c r="A1916" s="204" t="s">
        <v>8</v>
      </c>
      <c r="B1916" s="215" t="s">
        <v>880</v>
      </c>
      <c r="C1916" s="215"/>
      <c r="D1916" s="54"/>
      <c r="E1916" s="214"/>
      <c r="F1916" s="214"/>
      <c r="G1916" s="216">
        <f>G1917+G1921</f>
        <v>325.416576</v>
      </c>
      <c r="H1916" s="193"/>
      <c r="I1916" s="193"/>
      <c r="J1916" s="193"/>
      <c r="K1916" s="193"/>
      <c r="L1916" s="193"/>
      <c r="M1916" s="193"/>
      <c r="N1916" s="193"/>
      <c r="O1916" s="193"/>
      <c r="S1916" s="194"/>
      <c r="T1916" s="194"/>
      <c r="U1916" s="194"/>
      <c r="V1916" s="194"/>
      <c r="W1916" s="194"/>
      <c r="X1916" s="194"/>
      <c r="Y1916" s="194"/>
      <c r="Z1916" s="194"/>
      <c r="AA1916" s="194"/>
      <c r="AB1916" s="194"/>
      <c r="AC1916" s="194"/>
      <c r="AD1916" s="194"/>
      <c r="AE1916" s="195"/>
      <c r="AF1916" s="195"/>
      <c r="AG1916" s="195"/>
      <c r="AH1916" s="195"/>
    </row>
    <row r="1917" customHeight="1" spans="1:34">
      <c r="A1917" s="204" t="s">
        <v>881</v>
      </c>
      <c r="B1917" s="215" t="s">
        <v>882</v>
      </c>
      <c r="C1917" s="215"/>
      <c r="D1917" s="54"/>
      <c r="E1917" s="214"/>
      <c r="F1917" s="214"/>
      <c r="G1917" s="216">
        <f>G1918</f>
        <v>310.512</v>
      </c>
      <c r="H1917" s="193"/>
      <c r="I1917" s="193"/>
      <c r="J1917" s="193"/>
      <c r="K1917" s="193"/>
      <c r="L1917" s="193"/>
      <c r="M1917" s="193"/>
      <c r="N1917" s="193"/>
      <c r="O1917" s="193"/>
      <c r="S1917" s="194"/>
      <c r="T1917" s="194"/>
      <c r="U1917" s="194"/>
      <c r="V1917" s="194"/>
      <c r="W1917" s="194"/>
      <c r="X1917" s="194"/>
      <c r="Y1917" s="194"/>
      <c r="Z1917" s="194"/>
      <c r="AA1917" s="194"/>
      <c r="AB1917" s="194"/>
      <c r="AC1917" s="194"/>
      <c r="AD1917" s="194"/>
      <c r="AE1917" s="195"/>
      <c r="AF1917" s="195"/>
      <c r="AG1917" s="195"/>
      <c r="AH1917" s="195"/>
    </row>
    <row r="1918" customHeight="1" spans="1:34">
      <c r="A1918" s="204" t="s">
        <v>17</v>
      </c>
      <c r="B1918" s="215" t="s">
        <v>510</v>
      </c>
      <c r="C1918" s="215"/>
      <c r="D1918" s="54"/>
      <c r="E1918" s="214"/>
      <c r="F1918" s="214"/>
      <c r="G1918" s="216">
        <f>SUM(G1919:G1920)</f>
        <v>310.512</v>
      </c>
      <c r="H1918" s="193"/>
      <c r="I1918" s="193"/>
      <c r="J1918" s="193"/>
      <c r="K1918" s="193"/>
      <c r="L1918" s="193"/>
      <c r="M1918" s="193"/>
      <c r="N1918" s="193"/>
      <c r="O1918" s="193"/>
      <c r="S1918" s="194"/>
      <c r="T1918" s="194"/>
      <c r="U1918" s="194"/>
      <c r="V1918" s="194"/>
      <c r="W1918" s="194"/>
      <c r="X1918" s="194"/>
      <c r="Y1918" s="194"/>
      <c r="Z1918" s="194"/>
      <c r="AA1918" s="194"/>
      <c r="AB1918" s="194"/>
      <c r="AC1918" s="194"/>
      <c r="AD1918" s="194"/>
      <c r="AE1918" s="195"/>
      <c r="AF1918" s="195"/>
      <c r="AG1918" s="195"/>
      <c r="AH1918" s="195"/>
    </row>
    <row r="1919" customHeight="1" spans="1:34">
      <c r="A1919" s="204"/>
      <c r="B1919" s="215" t="s">
        <v>704</v>
      </c>
      <c r="C1919" s="215"/>
      <c r="D1919" s="54" t="s">
        <v>705</v>
      </c>
      <c r="E1919" s="214">
        <v>14.4</v>
      </c>
      <c r="F1919" s="214">
        <f>主要材料预算!$D$19</f>
        <v>8.1</v>
      </c>
      <c r="G1919" s="216">
        <f t="shared" ref="G1919:G1925" si="177">E1919*F1919</f>
        <v>116.64</v>
      </c>
      <c r="H1919" s="193"/>
      <c r="I1919" s="193"/>
      <c r="J1919" s="193"/>
      <c r="K1919" s="193"/>
      <c r="L1919" s="193"/>
      <c r="M1919" s="193"/>
      <c r="N1919" s="193"/>
      <c r="O1919" s="193"/>
      <c r="S1919" s="194"/>
      <c r="T1919" s="194"/>
      <c r="U1919" s="194"/>
      <c r="V1919" s="194"/>
      <c r="W1919" s="194"/>
      <c r="X1919" s="194"/>
      <c r="Y1919" s="194"/>
      <c r="Z1919" s="194"/>
      <c r="AA1919" s="194"/>
      <c r="AB1919" s="194"/>
      <c r="AC1919" s="194"/>
      <c r="AD1919" s="194"/>
      <c r="AE1919" s="195"/>
      <c r="AF1919" s="195"/>
      <c r="AG1919" s="195"/>
      <c r="AH1919" s="195"/>
    </row>
    <row r="1920" customHeight="1" spans="1:34">
      <c r="A1920" s="204"/>
      <c r="B1920" s="215" t="s">
        <v>706</v>
      </c>
      <c r="C1920" s="215"/>
      <c r="D1920" s="54" t="s">
        <v>705</v>
      </c>
      <c r="E1920" s="217">
        <v>33.6</v>
      </c>
      <c r="F1920" s="214">
        <f>主要材料预算!$D$20</f>
        <v>5.77</v>
      </c>
      <c r="G1920" s="216">
        <f t="shared" si="177"/>
        <v>193.872</v>
      </c>
      <c r="H1920" s="193"/>
      <c r="I1920" s="193"/>
      <c r="J1920" s="193"/>
      <c r="K1920" s="193"/>
      <c r="L1920" s="193"/>
      <c r="M1920" s="193"/>
      <c r="N1920" s="193"/>
      <c r="O1920" s="193"/>
      <c r="S1920" s="194"/>
      <c r="T1920" s="194"/>
      <c r="U1920" s="194"/>
      <c r="V1920" s="194"/>
      <c r="W1920" s="194"/>
      <c r="X1920" s="194"/>
      <c r="Y1920" s="194"/>
      <c r="Z1920" s="194"/>
      <c r="AA1920" s="194"/>
      <c r="AB1920" s="194"/>
      <c r="AC1920" s="194"/>
      <c r="AD1920" s="194"/>
      <c r="AE1920" s="195"/>
      <c r="AF1920" s="195"/>
      <c r="AG1920" s="195"/>
      <c r="AH1920" s="195"/>
    </row>
    <row r="1921" customHeight="1" spans="1:34">
      <c r="A1921" s="204" t="s">
        <v>905</v>
      </c>
      <c r="B1921" s="215" t="s">
        <v>514</v>
      </c>
      <c r="C1921" s="215"/>
      <c r="D1921" s="54"/>
      <c r="E1921" s="220">
        <f>G1917</f>
        <v>310.512</v>
      </c>
      <c r="F1921" s="221">
        <f>费率表!$J$4</f>
        <v>0.048</v>
      </c>
      <c r="G1921" s="216">
        <f t="shared" si="177"/>
        <v>14.904576</v>
      </c>
      <c r="H1921" s="193"/>
      <c r="I1921" s="193"/>
      <c r="J1921" s="193"/>
      <c r="K1921" s="193"/>
      <c r="L1921" s="193"/>
      <c r="M1921" s="193"/>
      <c r="N1921" s="193"/>
      <c r="O1921" s="193"/>
      <c r="S1921" s="194"/>
      <c r="T1921" s="194"/>
      <c r="U1921" s="194"/>
      <c r="V1921" s="194"/>
      <c r="W1921" s="194"/>
      <c r="X1921" s="194"/>
      <c r="Y1921" s="194"/>
      <c r="Z1921" s="194"/>
      <c r="AA1921" s="194"/>
      <c r="AB1921" s="194"/>
      <c r="AC1921" s="194"/>
      <c r="AD1921" s="194"/>
      <c r="AE1921" s="195"/>
      <c r="AF1921" s="195"/>
      <c r="AG1921" s="195"/>
      <c r="AH1921" s="195"/>
    </row>
    <row r="1922" customHeight="1" spans="1:34">
      <c r="A1922" s="204" t="s">
        <v>10</v>
      </c>
      <c r="B1922" s="215" t="s">
        <v>770</v>
      </c>
      <c r="C1922" s="215"/>
      <c r="D1922" s="54"/>
      <c r="E1922" s="214">
        <f>G1916</f>
        <v>325.416576</v>
      </c>
      <c r="F1922" s="222">
        <f>费率表!$J$5</f>
        <v>0.075</v>
      </c>
      <c r="G1922" s="216">
        <f t="shared" si="177"/>
        <v>24.4062432</v>
      </c>
      <c r="H1922" s="193"/>
      <c r="I1922" s="193"/>
      <c r="J1922" s="193"/>
      <c r="K1922" s="193"/>
      <c r="L1922" s="193"/>
      <c r="M1922" s="193"/>
      <c r="N1922" s="193"/>
      <c r="O1922" s="193"/>
      <c r="S1922" s="194"/>
      <c r="T1922" s="194"/>
      <c r="U1922" s="194"/>
      <c r="V1922" s="194"/>
      <c r="W1922" s="194"/>
      <c r="X1922" s="194"/>
      <c r="Y1922" s="194"/>
      <c r="Z1922" s="194"/>
      <c r="AA1922" s="194"/>
      <c r="AB1922" s="194"/>
      <c r="AC1922" s="194"/>
      <c r="AD1922" s="194"/>
      <c r="AE1922" s="195"/>
      <c r="AF1922" s="195"/>
      <c r="AG1922" s="195"/>
      <c r="AH1922" s="195"/>
    </row>
    <row r="1923" customHeight="1" spans="1:34">
      <c r="A1923" s="204" t="s">
        <v>12</v>
      </c>
      <c r="B1923" s="215" t="s">
        <v>771</v>
      </c>
      <c r="C1923" s="215"/>
      <c r="D1923" s="54"/>
      <c r="E1923" s="214">
        <f>G1916+G1922</f>
        <v>349.8228192</v>
      </c>
      <c r="F1923" s="222">
        <f>费率表!$J$6</f>
        <v>0.07</v>
      </c>
      <c r="G1923" s="216">
        <f t="shared" si="177"/>
        <v>24.487597344</v>
      </c>
      <c r="H1923" s="193"/>
      <c r="I1923" s="193"/>
      <c r="J1923" s="193"/>
      <c r="K1923" s="193"/>
      <c r="L1923" s="193"/>
      <c r="M1923" s="193"/>
      <c r="N1923" s="193"/>
      <c r="O1923" s="193"/>
      <c r="S1923" s="194"/>
      <c r="T1923" s="194"/>
      <c r="U1923" s="194"/>
      <c r="V1923" s="194"/>
      <c r="W1923" s="194"/>
      <c r="X1923" s="194"/>
      <c r="Y1923" s="194"/>
      <c r="Z1923" s="194"/>
      <c r="AA1923" s="194"/>
      <c r="AB1923" s="194"/>
      <c r="AC1923" s="194"/>
      <c r="AD1923" s="194"/>
      <c r="AE1923" s="195"/>
      <c r="AF1923" s="195"/>
      <c r="AG1923" s="195"/>
      <c r="AH1923" s="195"/>
    </row>
    <row r="1924" customHeight="1" spans="1:34">
      <c r="A1924" s="204" t="s">
        <v>15</v>
      </c>
      <c r="B1924" s="215" t="s">
        <v>772</v>
      </c>
      <c r="C1924" s="215"/>
      <c r="D1924" s="54"/>
      <c r="E1924" s="214">
        <f>G1916+G1922+G1923</f>
        <v>374.310416544</v>
      </c>
      <c r="F1924" s="222">
        <f>费率表!$J$7</f>
        <v>0.09</v>
      </c>
      <c r="G1924" s="216">
        <f t="shared" si="177"/>
        <v>33.68793748896</v>
      </c>
      <c r="H1924" s="193"/>
      <c r="I1924" s="193"/>
      <c r="J1924" s="193"/>
      <c r="K1924" s="193"/>
      <c r="L1924" s="193"/>
      <c r="M1924" s="193"/>
      <c r="N1924" s="193"/>
      <c r="O1924" s="193"/>
      <c r="S1924" s="194"/>
      <c r="T1924" s="194"/>
      <c r="U1924" s="194"/>
      <c r="V1924" s="194"/>
      <c r="W1924" s="194"/>
      <c r="X1924" s="194"/>
      <c r="Y1924" s="194"/>
      <c r="Z1924" s="194"/>
      <c r="AA1924" s="194"/>
      <c r="AB1924" s="194"/>
      <c r="AC1924" s="194"/>
      <c r="AD1924" s="194"/>
      <c r="AE1924" s="195"/>
      <c r="AF1924" s="195"/>
      <c r="AG1924" s="195"/>
      <c r="AH1924" s="195"/>
    </row>
    <row r="1925" customHeight="1" spans="1:34">
      <c r="A1925" s="204"/>
      <c r="B1925" s="215" t="s">
        <v>907</v>
      </c>
      <c r="C1925" s="215"/>
      <c r="D1925" s="54"/>
      <c r="E1925" s="214">
        <f>G1916+G1922+G1923+G1924</f>
        <v>407.99835403296</v>
      </c>
      <c r="F1925" s="222">
        <f>费率表!$B$19</f>
        <v>0.03</v>
      </c>
      <c r="G1925" s="216">
        <f t="shared" si="177"/>
        <v>12.2399506209888</v>
      </c>
      <c r="H1925" s="193"/>
      <c r="I1925" s="193"/>
      <c r="J1925" s="193"/>
      <c r="K1925" s="193"/>
      <c r="L1925" s="193"/>
      <c r="M1925" s="193"/>
      <c r="N1925" s="193"/>
      <c r="O1925" s="193"/>
      <c r="S1925" s="194"/>
      <c r="T1925" s="194"/>
      <c r="U1925" s="194"/>
      <c r="V1925" s="194"/>
      <c r="W1925" s="194"/>
      <c r="X1925" s="194"/>
      <c r="Y1925" s="194"/>
      <c r="Z1925" s="194"/>
      <c r="AA1925" s="194"/>
      <c r="AB1925" s="194"/>
      <c r="AC1925" s="194"/>
      <c r="AD1925" s="194"/>
      <c r="AE1925" s="195"/>
      <c r="AF1925" s="195"/>
      <c r="AG1925" s="195"/>
      <c r="AH1925" s="195"/>
    </row>
    <row r="1926" customHeight="1" spans="1:34">
      <c r="A1926" s="223"/>
      <c r="B1926" s="224" t="s">
        <v>39</v>
      </c>
      <c r="C1926" s="224"/>
      <c r="D1926" s="224"/>
      <c r="E1926" s="225"/>
      <c r="F1926" s="224"/>
      <c r="G1926" s="226">
        <f>G1916+G1922+G1923+G1924+G1925</f>
        <v>420.238304653949</v>
      </c>
      <c r="S1926" s="196"/>
      <c r="T1926" s="196"/>
      <c r="U1926" s="196"/>
      <c r="V1926" s="196"/>
      <c r="W1926" s="196"/>
      <c r="X1926" s="196"/>
      <c r="Y1926" s="196"/>
      <c r="Z1926" s="196"/>
      <c r="AA1926" s="196"/>
      <c r="AB1926" s="196"/>
      <c r="AC1926" s="196"/>
      <c r="AD1926" s="196"/>
      <c r="AE1926" s="197"/>
      <c r="AF1926" s="197"/>
      <c r="AG1926" s="197"/>
      <c r="AH1926" s="197"/>
    </row>
    <row r="1927" customHeight="1" spans="1:34">
      <c r="S1927" s="196"/>
      <c r="T1927" s="196"/>
      <c r="U1927" s="196"/>
      <c r="V1927" s="196"/>
      <c r="W1927" s="196"/>
      <c r="X1927" s="196"/>
      <c r="Y1927" s="196"/>
      <c r="Z1927" s="196"/>
      <c r="AA1927" s="196"/>
      <c r="AB1927" s="196"/>
      <c r="AC1927" s="196"/>
      <c r="AD1927" s="196"/>
      <c r="AE1927" s="197"/>
      <c r="AF1927" s="197"/>
      <c r="AG1927" s="197"/>
      <c r="AH1927" s="197"/>
    </row>
    <row r="1928" customHeight="1" spans="1:34">
      <c r="A1928" s="285" t="s">
        <v>868</v>
      </c>
      <c r="B1928" s="285"/>
      <c r="C1928" s="285"/>
      <c r="D1928" s="285"/>
      <c r="E1928" s="285"/>
      <c r="F1928" s="285"/>
      <c r="G1928" s="285"/>
      <c r="S1928" s="196"/>
      <c r="T1928" s="196"/>
      <c r="U1928" s="196"/>
      <c r="V1928" s="196"/>
      <c r="W1928" s="196"/>
      <c r="X1928" s="196"/>
      <c r="Y1928" s="196"/>
      <c r="Z1928" s="196"/>
      <c r="AA1928" s="196"/>
      <c r="AB1928" s="196"/>
      <c r="AC1928" s="196"/>
      <c r="AD1928" s="196"/>
      <c r="AE1928" s="197"/>
      <c r="AF1928" s="197"/>
      <c r="AG1928" s="197"/>
      <c r="AH1928" s="197"/>
    </row>
    <row r="1929" customHeight="1" spans="1:34">
      <c r="A1929" s="286" t="s">
        <v>869</v>
      </c>
      <c r="B1929" s="287"/>
      <c r="C1929" s="200"/>
      <c r="D1929" s="200" t="s">
        <v>870</v>
      </c>
      <c r="E1929" s="201" t="s">
        <v>1532</v>
      </c>
      <c r="F1929" s="202"/>
      <c r="G1929" s="203"/>
      <c r="S1929" s="196"/>
      <c r="T1929" s="196"/>
      <c r="U1929" s="196"/>
      <c r="V1929" s="196"/>
      <c r="W1929" s="196"/>
      <c r="X1929" s="196"/>
      <c r="Y1929" s="196"/>
      <c r="Z1929" s="196"/>
      <c r="AA1929" s="196"/>
      <c r="AB1929" s="196"/>
      <c r="AC1929" s="196"/>
      <c r="AD1929" s="196"/>
      <c r="AE1929" s="197"/>
      <c r="AF1929" s="197"/>
      <c r="AG1929" s="197"/>
      <c r="AH1929" s="197"/>
    </row>
    <row r="1930" customHeight="1" spans="1:34">
      <c r="A1930" s="288" t="s">
        <v>507</v>
      </c>
      <c r="B1930" s="289"/>
      <c r="C1930" s="290" t="s">
        <v>1531</v>
      </c>
      <c r="D1930" s="291"/>
      <c r="E1930" s="292"/>
      <c r="F1930" s="54" t="s">
        <v>873</v>
      </c>
      <c r="G1930" s="138" t="s">
        <v>1524</v>
      </c>
      <c r="S1930" s="196"/>
      <c r="T1930" s="196"/>
      <c r="U1930" s="196"/>
      <c r="V1930" s="196"/>
      <c r="W1930" s="196"/>
      <c r="X1930" s="196"/>
      <c r="Y1930" s="196"/>
      <c r="Z1930" s="196"/>
      <c r="AA1930" s="196"/>
      <c r="AB1930" s="196"/>
      <c r="AC1930" s="196"/>
      <c r="AD1930" s="196"/>
      <c r="AE1930" s="197"/>
      <c r="AF1930" s="197"/>
      <c r="AG1930" s="197"/>
      <c r="AH1930" s="197"/>
    </row>
    <row r="1931" customHeight="1" spans="1:34">
      <c r="A1931" s="293" t="s">
        <v>875</v>
      </c>
      <c r="B1931" s="291"/>
      <c r="C1931" s="291"/>
      <c r="D1931" s="291"/>
      <c r="E1931" s="291"/>
      <c r="F1931" s="291"/>
      <c r="G1931" s="294"/>
      <c r="S1931" s="196"/>
      <c r="T1931" s="196"/>
      <c r="U1931" s="196"/>
      <c r="V1931" s="196"/>
      <c r="W1931" s="196"/>
      <c r="X1931" s="196"/>
      <c r="Y1931" s="196"/>
      <c r="Z1931" s="196"/>
      <c r="AA1931" s="196"/>
      <c r="AB1931" s="196"/>
      <c r="AC1931" s="196"/>
      <c r="AD1931" s="196"/>
      <c r="AE1931" s="197"/>
      <c r="AF1931" s="197"/>
      <c r="AG1931" s="197"/>
      <c r="AH1931" s="197"/>
    </row>
    <row r="1932" customHeight="1" spans="1:34">
      <c r="A1932" s="210" t="s">
        <v>1525</v>
      </c>
      <c r="B1932" s="211"/>
      <c r="C1932" s="211"/>
      <c r="D1932" s="211"/>
      <c r="E1932" s="211"/>
      <c r="F1932" s="211"/>
      <c r="G1932" s="295"/>
      <c r="S1932" s="196"/>
      <c r="T1932" s="196"/>
      <c r="U1932" s="196"/>
      <c r="V1932" s="196"/>
      <c r="W1932" s="196"/>
      <c r="X1932" s="196"/>
      <c r="Y1932" s="196"/>
      <c r="Z1932" s="196"/>
      <c r="AA1932" s="196"/>
      <c r="AB1932" s="196"/>
      <c r="AC1932" s="196"/>
      <c r="AD1932" s="196"/>
      <c r="AE1932" s="197"/>
      <c r="AF1932" s="197"/>
      <c r="AG1932" s="197"/>
      <c r="AH1932" s="197"/>
    </row>
    <row r="1933" customHeight="1" spans="1:34">
      <c r="A1933" s="204" t="s">
        <v>34</v>
      </c>
      <c r="B1933" s="54" t="s">
        <v>761</v>
      </c>
      <c r="C1933" s="54"/>
      <c r="D1933" s="54" t="s">
        <v>60</v>
      </c>
      <c r="E1933" s="214" t="s">
        <v>877</v>
      </c>
      <c r="F1933" s="54" t="s">
        <v>878</v>
      </c>
      <c r="G1933" s="207" t="s">
        <v>879</v>
      </c>
      <c r="S1933" s="196"/>
      <c r="T1933" s="196"/>
      <c r="U1933" s="196"/>
      <c r="V1933" s="196"/>
      <c r="W1933" s="196"/>
      <c r="X1933" s="196"/>
      <c r="Y1933" s="196"/>
      <c r="Z1933" s="196"/>
      <c r="AA1933" s="196"/>
      <c r="AB1933" s="196"/>
      <c r="AC1933" s="196"/>
      <c r="AD1933" s="196"/>
      <c r="AE1933" s="197"/>
      <c r="AF1933" s="197"/>
      <c r="AG1933" s="197"/>
      <c r="AH1933" s="197"/>
    </row>
    <row r="1934" customHeight="1" spans="1:34">
      <c r="A1934" s="204" t="s">
        <v>8</v>
      </c>
      <c r="B1934" s="215" t="s">
        <v>880</v>
      </c>
      <c r="C1934" s="215"/>
      <c r="D1934" s="54"/>
      <c r="E1934" s="214"/>
      <c r="F1934" s="214"/>
      <c r="G1934" s="216">
        <f>G1935+G1939</f>
        <v>244.062432</v>
      </c>
      <c r="S1934" s="196"/>
      <c r="T1934" s="196"/>
      <c r="U1934" s="196"/>
      <c r="V1934" s="196"/>
      <c r="W1934" s="196"/>
      <c r="X1934" s="196"/>
      <c r="Y1934" s="196"/>
      <c r="Z1934" s="196"/>
      <c r="AA1934" s="196"/>
      <c r="AB1934" s="196"/>
      <c r="AC1934" s="196"/>
      <c r="AD1934" s="196"/>
      <c r="AE1934" s="197"/>
      <c r="AF1934" s="197"/>
      <c r="AG1934" s="197"/>
      <c r="AH1934" s="197"/>
    </row>
    <row r="1935" customHeight="1" spans="1:34">
      <c r="A1935" s="204" t="s">
        <v>881</v>
      </c>
      <c r="B1935" s="215" t="s">
        <v>882</v>
      </c>
      <c r="C1935" s="215"/>
      <c r="D1935" s="54"/>
      <c r="E1935" s="214"/>
      <c r="F1935" s="214"/>
      <c r="G1935" s="216">
        <f>G1936</f>
        <v>232.884</v>
      </c>
      <c r="S1935" s="196"/>
      <c r="T1935" s="196"/>
      <c r="U1935" s="196"/>
      <c r="V1935" s="196"/>
      <c r="W1935" s="196"/>
      <c r="X1935" s="196"/>
      <c r="Y1935" s="196"/>
      <c r="Z1935" s="196"/>
      <c r="AA1935" s="196"/>
      <c r="AB1935" s="196"/>
      <c r="AC1935" s="196"/>
      <c r="AD1935" s="196"/>
      <c r="AE1935" s="197"/>
      <c r="AF1935" s="197"/>
      <c r="AG1935" s="197"/>
      <c r="AH1935" s="197"/>
    </row>
    <row r="1936" customHeight="1" spans="1:34">
      <c r="A1936" s="204" t="s">
        <v>17</v>
      </c>
      <c r="B1936" s="215" t="s">
        <v>510</v>
      </c>
      <c r="C1936" s="215"/>
      <c r="D1936" s="54"/>
      <c r="E1936" s="214"/>
      <c r="F1936" s="214"/>
      <c r="G1936" s="216">
        <f>SUM(G1937:G1938)</f>
        <v>232.884</v>
      </c>
      <c r="S1936" s="196"/>
      <c r="T1936" s="196"/>
      <c r="U1936" s="196"/>
      <c r="V1936" s="196"/>
      <c r="W1936" s="196"/>
      <c r="X1936" s="196"/>
      <c r="Y1936" s="196"/>
      <c r="Z1936" s="196"/>
      <c r="AA1936" s="196"/>
      <c r="AB1936" s="196"/>
      <c r="AC1936" s="196"/>
      <c r="AD1936" s="196"/>
      <c r="AE1936" s="197"/>
      <c r="AF1936" s="197"/>
      <c r="AG1936" s="197"/>
      <c r="AH1936" s="197"/>
    </row>
    <row r="1937" customHeight="1" spans="1:34">
      <c r="A1937" s="204"/>
      <c r="B1937" s="215" t="s">
        <v>704</v>
      </c>
      <c r="C1937" s="215"/>
      <c r="D1937" s="54" t="s">
        <v>705</v>
      </c>
      <c r="E1937" s="214">
        <v>10.8</v>
      </c>
      <c r="F1937" s="214">
        <f>主要材料预算!$D$19</f>
        <v>8.1</v>
      </c>
      <c r="G1937" s="216">
        <f t="shared" ref="G1937:G1943" si="178">E1937*F1937</f>
        <v>87.48</v>
      </c>
      <c r="S1937" s="196"/>
      <c r="T1937" s="196"/>
      <c r="U1937" s="196"/>
      <c r="V1937" s="196"/>
      <c r="W1937" s="196"/>
      <c r="X1937" s="196"/>
      <c r="Y1937" s="196"/>
      <c r="Z1937" s="196"/>
      <c r="AA1937" s="196"/>
      <c r="AB1937" s="196"/>
      <c r="AC1937" s="196"/>
      <c r="AD1937" s="196"/>
      <c r="AE1937" s="197"/>
      <c r="AF1937" s="197"/>
      <c r="AG1937" s="197"/>
      <c r="AH1937" s="197"/>
    </row>
    <row r="1938" customHeight="1" spans="1:34">
      <c r="A1938" s="204"/>
      <c r="B1938" s="215" t="s">
        <v>706</v>
      </c>
      <c r="C1938" s="215"/>
      <c r="D1938" s="54" t="s">
        <v>705</v>
      </c>
      <c r="E1938" s="217">
        <v>25.2</v>
      </c>
      <c r="F1938" s="214">
        <f>主要材料预算!$D$20</f>
        <v>5.77</v>
      </c>
      <c r="G1938" s="216">
        <f t="shared" si="178"/>
        <v>145.404</v>
      </c>
      <c r="S1938" s="196"/>
      <c r="T1938" s="196"/>
      <c r="U1938" s="196"/>
      <c r="V1938" s="196"/>
      <c r="W1938" s="196"/>
      <c r="X1938" s="196"/>
      <c r="Y1938" s="196"/>
      <c r="Z1938" s="196"/>
      <c r="AA1938" s="196"/>
      <c r="AB1938" s="196"/>
      <c r="AC1938" s="196"/>
      <c r="AD1938" s="196"/>
      <c r="AE1938" s="197"/>
      <c r="AF1938" s="197"/>
      <c r="AG1938" s="197"/>
      <c r="AH1938" s="197"/>
    </row>
    <row r="1939" customHeight="1" spans="1:34">
      <c r="A1939" s="204" t="s">
        <v>905</v>
      </c>
      <c r="B1939" s="215" t="s">
        <v>514</v>
      </c>
      <c r="C1939" s="215"/>
      <c r="D1939" s="54"/>
      <c r="E1939" s="220">
        <f>G1935</f>
        <v>232.884</v>
      </c>
      <c r="F1939" s="221">
        <f>费率表!$J$4</f>
        <v>0.048</v>
      </c>
      <c r="G1939" s="216">
        <f t="shared" si="178"/>
        <v>11.178432</v>
      </c>
      <c r="S1939" s="196"/>
      <c r="T1939" s="196"/>
      <c r="U1939" s="196"/>
      <c r="V1939" s="196"/>
      <c r="W1939" s="196"/>
      <c r="X1939" s="196"/>
      <c r="Y1939" s="196"/>
      <c r="Z1939" s="196"/>
      <c r="AA1939" s="196"/>
      <c r="AB1939" s="196"/>
      <c r="AC1939" s="196"/>
      <c r="AD1939" s="196"/>
      <c r="AE1939" s="197"/>
      <c r="AF1939" s="197"/>
      <c r="AG1939" s="197"/>
      <c r="AH1939" s="197"/>
    </row>
    <row r="1940" customHeight="1" spans="1:34">
      <c r="A1940" s="204" t="s">
        <v>10</v>
      </c>
      <c r="B1940" s="215" t="s">
        <v>770</v>
      </c>
      <c r="C1940" s="215"/>
      <c r="D1940" s="54"/>
      <c r="E1940" s="214">
        <f>G1934</f>
        <v>244.062432</v>
      </c>
      <c r="F1940" s="222">
        <f>费率表!$J$5</f>
        <v>0.075</v>
      </c>
      <c r="G1940" s="216">
        <f t="shared" si="178"/>
        <v>18.3046824</v>
      </c>
      <c r="S1940" s="196"/>
      <c r="T1940" s="196"/>
      <c r="U1940" s="196"/>
      <c r="V1940" s="196"/>
      <c r="W1940" s="196"/>
      <c r="X1940" s="196"/>
      <c r="Y1940" s="196"/>
      <c r="Z1940" s="196"/>
      <c r="AA1940" s="196"/>
      <c r="AB1940" s="196"/>
      <c r="AC1940" s="196"/>
      <c r="AD1940" s="196"/>
      <c r="AE1940" s="197"/>
      <c r="AF1940" s="197"/>
      <c r="AG1940" s="197"/>
      <c r="AH1940" s="197"/>
    </row>
    <row r="1941" customHeight="1" spans="1:34">
      <c r="A1941" s="204" t="s">
        <v>12</v>
      </c>
      <c r="B1941" s="215" t="s">
        <v>771</v>
      </c>
      <c r="C1941" s="215"/>
      <c r="D1941" s="54"/>
      <c r="E1941" s="214">
        <f>G1934+G1940</f>
        <v>262.3671144</v>
      </c>
      <c r="F1941" s="222">
        <f>费率表!$J$6</f>
        <v>0.07</v>
      </c>
      <c r="G1941" s="216">
        <f t="shared" si="178"/>
        <v>18.365698008</v>
      </c>
      <c r="S1941" s="196"/>
      <c r="T1941" s="196"/>
      <c r="U1941" s="196"/>
      <c r="V1941" s="196"/>
      <c r="W1941" s="196"/>
      <c r="X1941" s="196"/>
      <c r="Y1941" s="196"/>
      <c r="Z1941" s="196"/>
      <c r="AA1941" s="196"/>
      <c r="AB1941" s="196"/>
      <c r="AC1941" s="196"/>
      <c r="AD1941" s="196"/>
      <c r="AE1941" s="197"/>
      <c r="AF1941" s="197"/>
      <c r="AG1941" s="197"/>
      <c r="AH1941" s="197"/>
    </row>
    <row r="1942" customHeight="1" spans="1:34">
      <c r="A1942" s="204" t="s">
        <v>15</v>
      </c>
      <c r="B1942" s="215" t="s">
        <v>772</v>
      </c>
      <c r="C1942" s="215"/>
      <c r="D1942" s="54"/>
      <c r="E1942" s="214">
        <f>G1934+G1940+G1941</f>
        <v>280.732812408</v>
      </c>
      <c r="F1942" s="222">
        <f>费率表!$J$7</f>
        <v>0.09</v>
      </c>
      <c r="G1942" s="216">
        <f t="shared" si="178"/>
        <v>25.26595311672</v>
      </c>
      <c r="S1942" s="196"/>
      <c r="T1942" s="196"/>
      <c r="U1942" s="196"/>
      <c r="V1942" s="196"/>
      <c r="W1942" s="196"/>
      <c r="X1942" s="196"/>
      <c r="Y1942" s="196"/>
      <c r="Z1942" s="196"/>
      <c r="AA1942" s="196"/>
      <c r="AB1942" s="196"/>
      <c r="AC1942" s="196"/>
      <c r="AD1942" s="196"/>
      <c r="AE1942" s="197"/>
      <c r="AF1942" s="197"/>
      <c r="AG1942" s="197"/>
      <c r="AH1942" s="197"/>
    </row>
    <row r="1943" customHeight="1" spans="1:34">
      <c r="A1943" s="204"/>
      <c r="B1943" s="215" t="s">
        <v>907</v>
      </c>
      <c r="C1943" s="215"/>
      <c r="D1943" s="54"/>
      <c r="E1943" s="214">
        <f>G1934+G1940+G1941+G1942</f>
        <v>305.99876552472</v>
      </c>
      <c r="F1943" s="222">
        <f>费率表!$B$19</f>
        <v>0.03</v>
      </c>
      <c r="G1943" s="216">
        <f t="shared" si="178"/>
        <v>9.1799629657416</v>
      </c>
      <c r="S1943" s="196"/>
      <c r="T1943" s="196"/>
      <c r="U1943" s="196"/>
      <c r="V1943" s="196"/>
      <c r="W1943" s="196"/>
      <c r="X1943" s="196"/>
      <c r="Y1943" s="196"/>
      <c r="Z1943" s="196"/>
      <c r="AA1943" s="196"/>
      <c r="AB1943" s="196"/>
      <c r="AC1943" s="196"/>
      <c r="AD1943" s="196"/>
      <c r="AE1943" s="197"/>
      <c r="AF1943" s="197"/>
      <c r="AG1943" s="197"/>
      <c r="AH1943" s="197"/>
    </row>
    <row r="1944" customHeight="1" spans="1:34">
      <c r="A1944" s="223"/>
      <c r="B1944" s="224" t="s">
        <v>39</v>
      </c>
      <c r="C1944" s="224"/>
      <c r="D1944" s="224"/>
      <c r="E1944" s="225"/>
      <c r="F1944" s="224"/>
      <c r="G1944" s="226">
        <f>G1934+G1940+G1941+G1942+G1943</f>
        <v>315.178728490462</v>
      </c>
      <c r="S1944" s="196"/>
      <c r="T1944" s="196"/>
      <c r="U1944" s="196"/>
      <c r="V1944" s="196"/>
      <c r="W1944" s="196"/>
      <c r="X1944" s="196"/>
      <c r="Y1944" s="196"/>
      <c r="Z1944" s="196"/>
      <c r="AA1944" s="196"/>
      <c r="AB1944" s="196"/>
      <c r="AC1944" s="196"/>
      <c r="AD1944" s="196"/>
      <c r="AE1944" s="197"/>
      <c r="AF1944" s="197"/>
      <c r="AG1944" s="197"/>
      <c r="AH1944" s="197"/>
    </row>
    <row r="1945" customHeight="1" spans="1:34">
      <c r="S1945" s="196"/>
      <c r="T1945" s="196"/>
      <c r="U1945" s="196"/>
      <c r="V1945" s="196"/>
      <c r="W1945" s="196"/>
      <c r="X1945" s="196"/>
      <c r="Y1945" s="196"/>
      <c r="Z1945" s="196"/>
      <c r="AA1945" s="196"/>
      <c r="AB1945" s="196"/>
      <c r="AC1945" s="196"/>
      <c r="AD1945" s="196"/>
      <c r="AE1945" s="197"/>
      <c r="AF1945" s="197"/>
      <c r="AG1945" s="197"/>
      <c r="AH1945" s="197"/>
    </row>
    <row r="1946" customHeight="1" spans="1:34">
      <c r="A1946" s="164" t="s">
        <v>868</v>
      </c>
      <c r="B1946" s="164"/>
      <c r="C1946" s="164"/>
      <c r="D1946" s="164"/>
      <c r="E1946" s="164"/>
      <c r="F1946" s="164"/>
      <c r="G1946" s="164"/>
      <c r="S1946" s="196"/>
      <c r="T1946" s="196"/>
      <c r="U1946" s="196"/>
      <c r="V1946" s="196"/>
      <c r="W1946" s="196"/>
      <c r="X1946" s="196"/>
      <c r="Y1946" s="196"/>
      <c r="Z1946" s="196"/>
      <c r="AA1946" s="196"/>
      <c r="AB1946" s="196"/>
      <c r="AC1946" s="196"/>
      <c r="AD1946" s="196"/>
      <c r="AE1946" s="197"/>
      <c r="AF1946" s="197"/>
      <c r="AG1946" s="197"/>
      <c r="AH1946" s="197"/>
    </row>
    <row r="1947" customHeight="1" spans="1:34">
      <c r="A1947" s="268" t="s">
        <v>869</v>
      </c>
      <c r="B1947" s="269"/>
      <c r="C1947" s="96"/>
      <c r="D1947" s="96" t="s">
        <v>870</v>
      </c>
      <c r="E1947" s="270" t="s">
        <v>1533</v>
      </c>
      <c r="F1947" s="271"/>
      <c r="G1947" s="272"/>
      <c r="S1947" s="196"/>
      <c r="T1947" s="196"/>
      <c r="U1947" s="196"/>
      <c r="V1947" s="196"/>
      <c r="W1947" s="196"/>
      <c r="X1947" s="196"/>
      <c r="Y1947" s="196"/>
      <c r="Z1947" s="196"/>
      <c r="AA1947" s="196"/>
      <c r="AB1947" s="196"/>
      <c r="AC1947" s="196"/>
      <c r="AD1947" s="196"/>
      <c r="AE1947" s="197"/>
      <c r="AF1947" s="197"/>
      <c r="AG1947" s="197"/>
      <c r="AH1947" s="197"/>
    </row>
    <row r="1948" customHeight="1" spans="1:34">
      <c r="A1948" s="273" t="s">
        <v>507</v>
      </c>
      <c r="B1948" s="274"/>
      <c r="C1948" s="275" t="s">
        <v>1534</v>
      </c>
      <c r="D1948" s="276"/>
      <c r="E1948" s="277"/>
      <c r="F1948" s="103" t="s">
        <v>873</v>
      </c>
      <c r="G1948" s="104" t="s">
        <v>1524</v>
      </c>
      <c r="S1948" s="196"/>
      <c r="T1948" s="196"/>
      <c r="U1948" s="196"/>
      <c r="V1948" s="196"/>
      <c r="W1948" s="196"/>
      <c r="X1948" s="196"/>
      <c r="Y1948" s="196"/>
      <c r="Z1948" s="196"/>
      <c r="AA1948" s="196"/>
      <c r="AB1948" s="196"/>
      <c r="AC1948" s="196"/>
      <c r="AD1948" s="196"/>
      <c r="AE1948" s="197"/>
      <c r="AF1948" s="197"/>
      <c r="AG1948" s="197"/>
      <c r="AH1948" s="197"/>
    </row>
    <row r="1949" customHeight="1" spans="1:34">
      <c r="A1949" s="107" t="s">
        <v>875</v>
      </c>
      <c r="B1949" s="108"/>
      <c r="C1949" s="108"/>
      <c r="D1949" s="108"/>
      <c r="E1949" s="108"/>
      <c r="F1949" s="108"/>
      <c r="G1949" s="278"/>
      <c r="S1949" s="196"/>
      <c r="T1949" s="196"/>
      <c r="U1949" s="196"/>
      <c r="V1949" s="196"/>
      <c r="W1949" s="196"/>
      <c r="X1949" s="196"/>
      <c r="Y1949" s="196"/>
      <c r="Z1949" s="196"/>
      <c r="AA1949" s="196"/>
      <c r="AB1949" s="196"/>
      <c r="AC1949" s="196"/>
      <c r="AD1949" s="196"/>
      <c r="AE1949" s="197"/>
      <c r="AF1949" s="197"/>
      <c r="AG1949" s="197"/>
      <c r="AH1949" s="197"/>
    </row>
    <row r="1950" customHeight="1" spans="1:34">
      <c r="A1950" s="107" t="s">
        <v>1535</v>
      </c>
      <c r="B1950" s="108"/>
      <c r="C1950" s="108"/>
      <c r="D1950" s="108"/>
      <c r="E1950" s="108"/>
      <c r="F1950" s="108"/>
      <c r="G1950" s="278"/>
      <c r="S1950" s="196"/>
      <c r="T1950" s="196"/>
      <c r="U1950" s="196"/>
      <c r="V1950" s="196"/>
      <c r="W1950" s="196"/>
      <c r="X1950" s="196"/>
      <c r="Y1950" s="196"/>
      <c r="Z1950" s="196"/>
      <c r="AA1950" s="196"/>
      <c r="AB1950" s="196"/>
      <c r="AC1950" s="196"/>
      <c r="AD1950" s="196"/>
      <c r="AE1950" s="197"/>
      <c r="AF1950" s="197"/>
      <c r="AG1950" s="197"/>
      <c r="AH1950" s="197"/>
    </row>
    <row r="1951" customHeight="1" spans="1:34">
      <c r="A1951" s="100" t="s">
        <v>34</v>
      </c>
      <c r="B1951" s="279" t="s">
        <v>761</v>
      </c>
      <c r="C1951" s="280"/>
      <c r="D1951" s="103" t="s">
        <v>60</v>
      </c>
      <c r="E1951" s="111" t="s">
        <v>877</v>
      </c>
      <c r="F1951" s="103" t="s">
        <v>878</v>
      </c>
      <c r="G1951" s="104" t="s">
        <v>879</v>
      </c>
      <c r="S1951" s="196"/>
      <c r="T1951" s="196"/>
      <c r="U1951" s="196"/>
      <c r="V1951" s="196"/>
      <c r="W1951" s="196"/>
      <c r="X1951" s="196"/>
      <c r="Y1951" s="196"/>
      <c r="Z1951" s="196"/>
      <c r="AA1951" s="196"/>
      <c r="AB1951" s="196"/>
      <c r="AC1951" s="196"/>
      <c r="AD1951" s="196"/>
      <c r="AE1951" s="197"/>
      <c r="AF1951" s="197"/>
      <c r="AG1951" s="197"/>
      <c r="AH1951" s="197"/>
    </row>
    <row r="1952" customHeight="1" spans="1:34">
      <c r="A1952" s="100" t="s">
        <v>8</v>
      </c>
      <c r="B1952" s="66" t="s">
        <v>880</v>
      </c>
      <c r="C1952" s="67"/>
      <c r="D1952" s="103"/>
      <c r="E1952" s="111"/>
      <c r="F1952" s="111"/>
      <c r="G1952" s="113">
        <f>G1953+G1962</f>
        <v>4665.843466176</v>
      </c>
      <c r="S1952" s="196"/>
      <c r="T1952" s="196"/>
      <c r="U1952" s="196"/>
      <c r="V1952" s="196"/>
      <c r="W1952" s="196"/>
      <c r="X1952" s="196"/>
      <c r="Y1952" s="196"/>
      <c r="Z1952" s="196"/>
      <c r="AA1952" s="196"/>
      <c r="AB1952" s="196"/>
      <c r="AC1952" s="196"/>
      <c r="AD1952" s="196"/>
      <c r="AE1952" s="197"/>
      <c r="AF1952" s="197"/>
      <c r="AG1952" s="197"/>
      <c r="AH1952" s="197"/>
    </row>
    <row r="1953" customHeight="1" spans="1:34">
      <c r="A1953" s="100" t="s">
        <v>881</v>
      </c>
      <c r="B1953" s="66" t="s">
        <v>882</v>
      </c>
      <c r="C1953" s="67"/>
      <c r="D1953" s="103"/>
      <c r="E1953" s="111"/>
      <c r="F1953" s="111"/>
      <c r="G1953" s="113">
        <f>G1954+G1957</f>
        <v>4452.140712</v>
      </c>
      <c r="S1953" s="196"/>
      <c r="T1953" s="196"/>
      <c r="U1953" s="196"/>
      <c r="V1953" s="196"/>
      <c r="W1953" s="196"/>
      <c r="X1953" s="196"/>
      <c r="Y1953" s="196"/>
      <c r="Z1953" s="196"/>
      <c r="AA1953" s="196"/>
      <c r="AB1953" s="196"/>
      <c r="AC1953" s="196"/>
      <c r="AD1953" s="196"/>
      <c r="AE1953" s="197"/>
      <c r="AF1953" s="197"/>
      <c r="AG1953" s="197"/>
      <c r="AH1953" s="197"/>
    </row>
    <row r="1954" customHeight="1" spans="1:34">
      <c r="A1954" s="100" t="s">
        <v>17</v>
      </c>
      <c r="B1954" s="66" t="s">
        <v>510</v>
      </c>
      <c r="C1954" s="67"/>
      <c r="D1954" s="103"/>
      <c r="E1954" s="111"/>
      <c r="F1954" s="111"/>
      <c r="G1954" s="113">
        <f>SUM(G1955:G1956)</f>
        <v>1914.824</v>
      </c>
      <c r="S1954" s="196"/>
      <c r="T1954" s="196"/>
      <c r="U1954" s="196"/>
      <c r="V1954" s="196"/>
      <c r="W1954" s="196"/>
      <c r="X1954" s="196"/>
      <c r="Y1954" s="196"/>
      <c r="Z1954" s="196"/>
      <c r="AA1954" s="196"/>
      <c r="AB1954" s="196"/>
      <c r="AC1954" s="196"/>
      <c r="AD1954" s="196"/>
      <c r="AE1954" s="197"/>
      <c r="AF1954" s="197"/>
      <c r="AG1954" s="197"/>
      <c r="AH1954" s="197"/>
    </row>
    <row r="1955" customHeight="1" spans="1:34">
      <c r="A1955" s="100"/>
      <c r="B1955" s="66" t="s">
        <v>704</v>
      </c>
      <c r="C1955" s="67"/>
      <c r="D1955" s="103" t="s">
        <v>705</v>
      </c>
      <c r="E1955" s="111">
        <v>88.8</v>
      </c>
      <c r="F1955" s="111">
        <f>主要材料预算!$D$19</f>
        <v>8.1</v>
      </c>
      <c r="G1955" s="113">
        <f t="shared" ref="G1955:G1960" si="179">E1955*F1955</f>
        <v>719.28</v>
      </c>
      <c r="S1955" s="196"/>
      <c r="T1955" s="196"/>
      <c r="U1955" s="196"/>
      <c r="V1955" s="196"/>
      <c r="W1955" s="196"/>
      <c r="X1955" s="196"/>
      <c r="Y1955" s="196"/>
      <c r="Z1955" s="196"/>
      <c r="AA1955" s="196"/>
      <c r="AB1955" s="196"/>
      <c r="AC1955" s="196"/>
      <c r="AD1955" s="196"/>
      <c r="AE1955" s="197"/>
      <c r="AF1955" s="197"/>
      <c r="AG1955" s="197"/>
      <c r="AH1955" s="197"/>
    </row>
    <row r="1956" customHeight="1" spans="1:34">
      <c r="A1956" s="100"/>
      <c r="B1956" s="66" t="s">
        <v>706</v>
      </c>
      <c r="C1956" s="67"/>
      <c r="D1956" s="103" t="s">
        <v>705</v>
      </c>
      <c r="E1956" s="114">
        <v>207.2</v>
      </c>
      <c r="F1956" s="111">
        <f>主要材料预算!$D$20</f>
        <v>5.77</v>
      </c>
      <c r="G1956" s="113">
        <f t="shared" si="179"/>
        <v>1195.544</v>
      </c>
      <c r="S1956" s="196"/>
      <c r="T1956" s="196"/>
      <c r="U1956" s="196"/>
      <c r="V1956" s="196"/>
      <c r="W1956" s="196"/>
      <c r="X1956" s="196"/>
      <c r="Y1956" s="196"/>
      <c r="Z1956" s="196"/>
      <c r="AA1956" s="196"/>
      <c r="AB1956" s="196"/>
      <c r="AC1956" s="196"/>
      <c r="AD1956" s="196"/>
      <c r="AE1956" s="197"/>
      <c r="AF1956" s="197"/>
      <c r="AG1956" s="197"/>
      <c r="AH1956" s="197"/>
    </row>
    <row r="1957" customHeight="1" spans="1:34">
      <c r="A1957" s="100" t="s">
        <v>19</v>
      </c>
      <c r="B1957" s="66" t="s">
        <v>511</v>
      </c>
      <c r="C1957" s="67"/>
      <c r="D1957" s="103"/>
      <c r="E1957" s="111"/>
      <c r="F1957" s="111"/>
      <c r="G1957" s="113">
        <f>SUM(G1958:G1961)</f>
        <v>2537.316712</v>
      </c>
      <c r="S1957" s="196"/>
      <c r="T1957" s="196"/>
      <c r="U1957" s="196"/>
      <c r="V1957" s="196"/>
      <c r="W1957" s="196"/>
      <c r="X1957" s="196"/>
      <c r="Y1957" s="196"/>
      <c r="Z1957" s="196"/>
      <c r="AA1957" s="196"/>
      <c r="AB1957" s="196"/>
      <c r="AC1957" s="196"/>
      <c r="AD1957" s="196"/>
      <c r="AE1957" s="197"/>
      <c r="AF1957" s="197"/>
      <c r="AG1957" s="197"/>
      <c r="AH1957" s="197"/>
    </row>
    <row r="1958" customHeight="1" spans="1:34">
      <c r="A1958" s="100"/>
      <c r="B1958" s="66" t="s">
        <v>1536</v>
      </c>
      <c r="C1958" s="67"/>
      <c r="D1958" s="103" t="s">
        <v>1146</v>
      </c>
      <c r="E1958" s="111">
        <v>118</v>
      </c>
      <c r="F1958" s="111">
        <f>基础材料!$D$35</f>
        <v>20.51</v>
      </c>
      <c r="G1958" s="113">
        <f t="shared" si="179"/>
        <v>2420.18</v>
      </c>
      <c r="S1958" s="196"/>
      <c r="T1958" s="196"/>
      <c r="U1958" s="196"/>
      <c r="V1958" s="196"/>
      <c r="W1958" s="196"/>
      <c r="X1958" s="196"/>
      <c r="Y1958" s="196"/>
      <c r="Z1958" s="196"/>
      <c r="AA1958" s="196"/>
      <c r="AB1958" s="196"/>
      <c r="AC1958" s="196"/>
      <c r="AD1958" s="196"/>
      <c r="AE1958" s="197"/>
      <c r="AF1958" s="197"/>
      <c r="AG1958" s="197"/>
      <c r="AH1958" s="197"/>
    </row>
    <row r="1959" customHeight="1" spans="1:34">
      <c r="A1959" s="100"/>
      <c r="B1959" s="66" t="s">
        <v>1537</v>
      </c>
      <c r="C1959" s="67"/>
      <c r="D1959" s="103" t="s">
        <v>1480</v>
      </c>
      <c r="E1959" s="111"/>
      <c r="F1959" s="111">
        <f>基础材料!$D$36</f>
        <v>20</v>
      </c>
      <c r="G1959" s="113">
        <f t="shared" si="179"/>
        <v>0</v>
      </c>
      <c r="S1959" s="196"/>
      <c r="T1959" s="196"/>
      <c r="U1959" s="196"/>
      <c r="V1959" s="196"/>
      <c r="W1959" s="196"/>
      <c r="X1959" s="196"/>
      <c r="Y1959" s="196"/>
      <c r="Z1959" s="196"/>
      <c r="AA1959" s="196"/>
      <c r="AB1959" s="196"/>
      <c r="AC1959" s="196"/>
      <c r="AD1959" s="196"/>
      <c r="AE1959" s="197"/>
      <c r="AF1959" s="197"/>
      <c r="AG1959" s="197"/>
      <c r="AH1959" s="197"/>
    </row>
    <row r="1960" customHeight="1" spans="1:34">
      <c r="A1960" s="100"/>
      <c r="B1960" s="66" t="s">
        <v>1538</v>
      </c>
      <c r="C1960" s="67"/>
      <c r="D1960" s="103" t="s">
        <v>1480</v>
      </c>
      <c r="E1960" s="111"/>
      <c r="F1960" s="111">
        <f>基础材料!$D$37</f>
        <v>10</v>
      </c>
      <c r="G1960" s="113">
        <f t="shared" si="179"/>
        <v>0</v>
      </c>
      <c r="S1960" s="196"/>
      <c r="T1960" s="196"/>
      <c r="U1960" s="196"/>
      <c r="V1960" s="196"/>
      <c r="W1960" s="196"/>
      <c r="X1960" s="196"/>
      <c r="Y1960" s="196"/>
      <c r="Z1960" s="196"/>
      <c r="AA1960" s="196"/>
      <c r="AB1960" s="196"/>
      <c r="AC1960" s="196"/>
      <c r="AD1960" s="196"/>
      <c r="AE1960" s="197"/>
      <c r="AF1960" s="197"/>
      <c r="AG1960" s="197"/>
      <c r="AH1960" s="197"/>
    </row>
    <row r="1961" customHeight="1" spans="1:34">
      <c r="A1961" s="100"/>
      <c r="B1961" s="66" t="s">
        <v>893</v>
      </c>
      <c r="C1961" s="67"/>
      <c r="D1961" s="103" t="s">
        <v>894</v>
      </c>
      <c r="E1961" s="111">
        <f>SUM(G1958:G1959)</f>
        <v>2420.18</v>
      </c>
      <c r="F1961" s="111">
        <v>4.84</v>
      </c>
      <c r="G1961" s="113">
        <f>E1961*F1961/100</f>
        <v>117.136712</v>
      </c>
      <c r="S1961" s="196"/>
      <c r="T1961" s="196"/>
      <c r="U1961" s="196"/>
      <c r="V1961" s="196"/>
      <c r="W1961" s="196"/>
      <c r="X1961" s="196"/>
      <c r="Y1961" s="196"/>
      <c r="Z1961" s="196"/>
      <c r="AA1961" s="196"/>
      <c r="AB1961" s="196"/>
      <c r="AC1961" s="196"/>
      <c r="AD1961" s="196"/>
      <c r="AE1961" s="197"/>
      <c r="AF1961" s="197"/>
      <c r="AG1961" s="197"/>
      <c r="AH1961" s="197"/>
    </row>
    <row r="1962" customHeight="1" spans="1:34">
      <c r="A1962" s="100" t="s">
        <v>905</v>
      </c>
      <c r="B1962" s="66" t="s">
        <v>514</v>
      </c>
      <c r="C1962" s="67"/>
      <c r="D1962" s="103"/>
      <c r="E1962" s="116">
        <f>G1953</f>
        <v>4452.140712</v>
      </c>
      <c r="F1962" s="117">
        <f>费率表!$J$4</f>
        <v>0.048</v>
      </c>
      <c r="G1962" s="113">
        <f t="shared" ref="G1962:G1966" si="180">E1962*F1962</f>
        <v>213.702754176</v>
      </c>
      <c r="S1962" s="196"/>
      <c r="T1962" s="196"/>
      <c r="U1962" s="196"/>
      <c r="V1962" s="196"/>
      <c r="W1962" s="196"/>
      <c r="X1962" s="196"/>
      <c r="Y1962" s="196"/>
      <c r="Z1962" s="196"/>
      <c r="AA1962" s="196"/>
      <c r="AB1962" s="196"/>
      <c r="AC1962" s="196"/>
      <c r="AD1962" s="196"/>
      <c r="AE1962" s="197"/>
      <c r="AF1962" s="197"/>
      <c r="AG1962" s="197"/>
      <c r="AH1962" s="197"/>
    </row>
    <row r="1963" customHeight="1" spans="1:34">
      <c r="A1963" s="100" t="s">
        <v>10</v>
      </c>
      <c r="B1963" s="66" t="s">
        <v>770</v>
      </c>
      <c r="C1963" s="67"/>
      <c r="D1963" s="103"/>
      <c r="E1963" s="111">
        <f>G1952</f>
        <v>4665.843466176</v>
      </c>
      <c r="F1963" s="118">
        <f>费率表!$J$5</f>
        <v>0.075</v>
      </c>
      <c r="G1963" s="113">
        <f t="shared" si="180"/>
        <v>349.9382599632</v>
      </c>
      <c r="S1963" s="196"/>
      <c r="T1963" s="196"/>
      <c r="U1963" s="196"/>
      <c r="V1963" s="196"/>
      <c r="W1963" s="196"/>
      <c r="X1963" s="196"/>
      <c r="Y1963" s="196"/>
      <c r="Z1963" s="196"/>
      <c r="AA1963" s="196"/>
      <c r="AB1963" s="196"/>
      <c r="AC1963" s="196"/>
      <c r="AD1963" s="196"/>
      <c r="AE1963" s="197"/>
      <c r="AF1963" s="197"/>
      <c r="AG1963" s="197"/>
      <c r="AH1963" s="197"/>
    </row>
    <row r="1964" customHeight="1" spans="1:34">
      <c r="A1964" s="100" t="s">
        <v>12</v>
      </c>
      <c r="B1964" s="66" t="s">
        <v>771</v>
      </c>
      <c r="C1964" s="67"/>
      <c r="D1964" s="103"/>
      <c r="E1964" s="111">
        <f>G1952+G1963</f>
        <v>5015.7817261392</v>
      </c>
      <c r="F1964" s="118">
        <f>费率表!$J$6</f>
        <v>0.07</v>
      </c>
      <c r="G1964" s="113">
        <f t="shared" si="180"/>
        <v>351.104720829744</v>
      </c>
      <c r="S1964" s="196"/>
      <c r="T1964" s="196"/>
      <c r="U1964" s="196"/>
      <c r="V1964" s="196"/>
      <c r="W1964" s="196"/>
      <c r="X1964" s="196"/>
      <c r="Y1964" s="196"/>
      <c r="Z1964" s="196"/>
      <c r="AA1964" s="196"/>
      <c r="AB1964" s="196"/>
      <c r="AC1964" s="196"/>
      <c r="AD1964" s="196"/>
      <c r="AE1964" s="197"/>
      <c r="AF1964" s="197"/>
      <c r="AG1964" s="197"/>
      <c r="AH1964" s="197"/>
    </row>
    <row r="1965" customHeight="1" spans="1:34">
      <c r="A1965" s="100" t="s">
        <v>15</v>
      </c>
      <c r="B1965" s="66" t="s">
        <v>772</v>
      </c>
      <c r="C1965" s="67"/>
      <c r="D1965" s="103"/>
      <c r="E1965" s="111">
        <f>G1952+G1963+G1964</f>
        <v>5366.88644696894</v>
      </c>
      <c r="F1965" s="118">
        <f>费率表!$J$7</f>
        <v>0.09</v>
      </c>
      <c r="G1965" s="113">
        <f t="shared" si="180"/>
        <v>483.019780227205</v>
      </c>
      <c r="S1965" s="196"/>
      <c r="T1965" s="196"/>
      <c r="U1965" s="196"/>
      <c r="V1965" s="196"/>
      <c r="W1965" s="196"/>
      <c r="X1965" s="196"/>
      <c r="Y1965" s="196"/>
      <c r="Z1965" s="196"/>
      <c r="AA1965" s="196"/>
      <c r="AB1965" s="196"/>
      <c r="AC1965" s="196"/>
      <c r="AD1965" s="196"/>
      <c r="AE1965" s="197"/>
      <c r="AF1965" s="197"/>
      <c r="AG1965" s="197"/>
      <c r="AH1965" s="197"/>
    </row>
    <row r="1966" customHeight="1" spans="1:34">
      <c r="A1966" s="100"/>
      <c r="B1966" s="66" t="s">
        <v>907</v>
      </c>
      <c r="C1966" s="67"/>
      <c r="D1966" s="103"/>
      <c r="E1966" s="111">
        <f>G1952+G1963+G1964+G1965</f>
        <v>5849.90622719615</v>
      </c>
      <c r="F1966" s="118">
        <f>费率表!$B$19</f>
        <v>0.03</v>
      </c>
      <c r="G1966" s="113">
        <f t="shared" si="180"/>
        <v>175.497186815884</v>
      </c>
      <c r="S1966" s="196"/>
      <c r="T1966" s="196"/>
      <c r="U1966" s="196"/>
      <c r="V1966" s="196"/>
      <c r="W1966" s="196"/>
      <c r="X1966" s="196"/>
      <c r="Y1966" s="196"/>
      <c r="Z1966" s="196"/>
      <c r="AA1966" s="196"/>
      <c r="AB1966" s="196"/>
      <c r="AC1966" s="196"/>
      <c r="AD1966" s="196"/>
      <c r="AE1966" s="197"/>
      <c r="AF1966" s="197"/>
      <c r="AG1966" s="197"/>
      <c r="AH1966" s="197"/>
    </row>
    <row r="1967" customHeight="1" spans="1:34">
      <c r="A1967" s="119"/>
      <c r="B1967" s="283" t="s">
        <v>39</v>
      </c>
      <c r="C1967" s="284"/>
      <c r="D1967" s="120"/>
      <c r="E1967" s="121"/>
      <c r="F1967" s="120"/>
      <c r="G1967" s="122">
        <f>G1952+G1963+G1964+G1965+G1966</f>
        <v>6025.40341401203</v>
      </c>
      <c r="S1967" s="196"/>
      <c r="T1967" s="196"/>
      <c r="U1967" s="196"/>
      <c r="V1967" s="196"/>
      <c r="W1967" s="196"/>
      <c r="X1967" s="196"/>
      <c r="Y1967" s="196"/>
      <c r="Z1967" s="196"/>
      <c r="AA1967" s="196"/>
      <c r="AB1967" s="196"/>
      <c r="AC1967" s="196"/>
      <c r="AD1967" s="196"/>
      <c r="AE1967" s="197"/>
      <c r="AF1967" s="197"/>
      <c r="AG1967" s="197"/>
      <c r="AH1967" s="197"/>
    </row>
    <row r="1968" customHeight="1" spans="1:34">
      <c r="S1968" s="196"/>
      <c r="T1968" s="196"/>
      <c r="U1968" s="196"/>
      <c r="V1968" s="196"/>
      <c r="W1968" s="196"/>
      <c r="X1968" s="196"/>
      <c r="Y1968" s="196"/>
      <c r="Z1968" s="196"/>
      <c r="AA1968" s="196"/>
      <c r="AB1968" s="196"/>
      <c r="AC1968" s="196"/>
      <c r="AD1968" s="196"/>
      <c r="AE1968" s="197"/>
      <c r="AF1968" s="197"/>
      <c r="AG1968" s="197"/>
      <c r="AH1968" s="197"/>
    </row>
    <row r="1969" customHeight="1" spans="1:34">
      <c r="S1969" s="196"/>
      <c r="T1969" s="196"/>
      <c r="U1969" s="196"/>
      <c r="V1969" s="196"/>
      <c r="W1969" s="196"/>
      <c r="X1969" s="196"/>
      <c r="Y1969" s="196"/>
      <c r="Z1969" s="196"/>
      <c r="AA1969" s="196"/>
      <c r="AB1969" s="196"/>
      <c r="AC1969" s="196"/>
      <c r="AD1969" s="196"/>
      <c r="AE1969" s="197"/>
      <c r="AF1969" s="197"/>
      <c r="AG1969" s="197"/>
      <c r="AH1969" s="197"/>
    </row>
    <row r="1970" customHeight="1" spans="1:34">
      <c r="A1970" s="164" t="s">
        <v>868</v>
      </c>
      <c r="B1970" s="164"/>
      <c r="C1970" s="164"/>
      <c r="D1970" s="164"/>
      <c r="E1970" s="164"/>
      <c r="F1970" s="164"/>
      <c r="G1970" s="164"/>
      <c r="S1970" s="196"/>
      <c r="T1970" s="196"/>
      <c r="U1970" s="196"/>
      <c r="V1970" s="196"/>
      <c r="W1970" s="196"/>
      <c r="X1970" s="196"/>
      <c r="Y1970" s="196"/>
      <c r="Z1970" s="196"/>
      <c r="AA1970" s="196"/>
      <c r="AB1970" s="196"/>
      <c r="AC1970" s="196"/>
      <c r="AD1970" s="196"/>
      <c r="AE1970" s="197"/>
      <c r="AF1970" s="197"/>
      <c r="AG1970" s="197"/>
      <c r="AH1970" s="197"/>
    </row>
    <row r="1971" customHeight="1" spans="1:34">
      <c r="A1971" s="268" t="s">
        <v>869</v>
      </c>
      <c r="B1971" s="269"/>
      <c r="C1971" s="96"/>
      <c r="D1971" s="96" t="s">
        <v>870</v>
      </c>
      <c r="E1971" s="270" t="s">
        <v>1539</v>
      </c>
      <c r="F1971" s="271"/>
      <c r="G1971" s="272"/>
      <c r="S1971" s="196"/>
      <c r="T1971" s="196"/>
      <c r="U1971" s="196"/>
      <c r="V1971" s="196"/>
      <c r="W1971" s="196"/>
      <c r="X1971" s="196"/>
      <c r="Y1971" s="196"/>
      <c r="Z1971" s="196"/>
      <c r="AA1971" s="196"/>
      <c r="AB1971" s="196"/>
      <c r="AC1971" s="196"/>
      <c r="AD1971" s="196"/>
      <c r="AE1971" s="197"/>
      <c r="AF1971" s="197"/>
      <c r="AG1971" s="197"/>
      <c r="AH1971" s="197"/>
    </row>
    <row r="1972" customHeight="1" spans="1:34">
      <c r="A1972" s="273" t="s">
        <v>507</v>
      </c>
      <c r="B1972" s="274"/>
      <c r="C1972" s="275" t="s">
        <v>1534</v>
      </c>
      <c r="D1972" s="276"/>
      <c r="E1972" s="277"/>
      <c r="F1972" s="103" t="s">
        <v>873</v>
      </c>
      <c r="G1972" s="104" t="s">
        <v>1524</v>
      </c>
      <c r="S1972" s="196"/>
      <c r="T1972" s="196"/>
      <c r="U1972" s="196"/>
      <c r="V1972" s="196"/>
      <c r="W1972" s="196"/>
      <c r="X1972" s="196"/>
      <c r="Y1972" s="196"/>
      <c r="Z1972" s="196"/>
      <c r="AA1972" s="196"/>
      <c r="AB1972" s="196"/>
      <c r="AC1972" s="196"/>
      <c r="AD1972" s="196"/>
      <c r="AE1972" s="197"/>
      <c r="AF1972" s="197"/>
      <c r="AG1972" s="197"/>
      <c r="AH1972" s="197"/>
    </row>
    <row r="1973" customHeight="1" spans="1:34">
      <c r="A1973" s="107" t="s">
        <v>875</v>
      </c>
      <c r="B1973" s="108"/>
      <c r="C1973" s="108"/>
      <c r="D1973" s="108"/>
      <c r="E1973" s="108"/>
      <c r="F1973" s="108"/>
      <c r="G1973" s="278"/>
      <c r="S1973" s="196"/>
      <c r="T1973" s="196"/>
      <c r="U1973" s="196"/>
      <c r="V1973" s="196"/>
      <c r="W1973" s="196"/>
      <c r="X1973" s="196"/>
      <c r="Y1973" s="196"/>
      <c r="Z1973" s="196"/>
      <c r="AA1973" s="196"/>
      <c r="AB1973" s="196"/>
      <c r="AC1973" s="196"/>
      <c r="AD1973" s="196"/>
      <c r="AE1973" s="197"/>
      <c r="AF1973" s="197"/>
      <c r="AG1973" s="197"/>
      <c r="AH1973" s="197"/>
    </row>
    <row r="1974" customHeight="1" spans="1:34">
      <c r="A1974" s="107" t="s">
        <v>1535</v>
      </c>
      <c r="B1974" s="108"/>
      <c r="C1974" s="108"/>
      <c r="D1974" s="108"/>
      <c r="E1974" s="108"/>
      <c r="F1974" s="108"/>
      <c r="G1974" s="278"/>
      <c r="S1974" s="196"/>
      <c r="T1974" s="196"/>
      <c r="U1974" s="196"/>
      <c r="V1974" s="196"/>
      <c r="W1974" s="196"/>
      <c r="X1974" s="196"/>
      <c r="Y1974" s="196"/>
      <c r="Z1974" s="196"/>
      <c r="AA1974" s="196"/>
      <c r="AB1974" s="196"/>
      <c r="AC1974" s="196"/>
      <c r="AD1974" s="196"/>
      <c r="AE1974" s="197"/>
      <c r="AF1974" s="197"/>
      <c r="AG1974" s="197"/>
      <c r="AH1974" s="197"/>
    </row>
    <row r="1975" customHeight="1" spans="1:34">
      <c r="A1975" s="100" t="s">
        <v>34</v>
      </c>
      <c r="B1975" s="279" t="s">
        <v>761</v>
      </c>
      <c r="C1975" s="280"/>
      <c r="D1975" s="103" t="s">
        <v>60</v>
      </c>
      <c r="E1975" s="111" t="s">
        <v>877</v>
      </c>
      <c r="F1975" s="103" t="s">
        <v>878</v>
      </c>
      <c r="G1975" s="104" t="s">
        <v>879</v>
      </c>
      <c r="S1975" s="196"/>
      <c r="T1975" s="196"/>
      <c r="U1975" s="196"/>
      <c r="V1975" s="196"/>
      <c r="W1975" s="196"/>
      <c r="X1975" s="196"/>
      <c r="Y1975" s="196"/>
      <c r="Z1975" s="196"/>
      <c r="AA1975" s="196"/>
      <c r="AB1975" s="196"/>
      <c r="AC1975" s="196"/>
      <c r="AD1975" s="196"/>
      <c r="AE1975" s="197"/>
      <c r="AF1975" s="197"/>
      <c r="AG1975" s="197"/>
      <c r="AH1975" s="197"/>
    </row>
    <row r="1976" customHeight="1" spans="1:34">
      <c r="A1976" s="100" t="s">
        <v>8</v>
      </c>
      <c r="B1976" s="66" t="s">
        <v>880</v>
      </c>
      <c r="C1976" s="67"/>
      <c r="D1976" s="103"/>
      <c r="E1976" s="111"/>
      <c r="F1976" s="111"/>
      <c r="G1976" s="113">
        <f>G1977+G1986</f>
        <v>25904.614400576</v>
      </c>
      <c r="S1976" s="196"/>
      <c r="T1976" s="196"/>
      <c r="U1976" s="196"/>
      <c r="V1976" s="196"/>
      <c r="W1976" s="196"/>
      <c r="X1976" s="196"/>
      <c r="Y1976" s="196"/>
      <c r="Z1976" s="196"/>
      <c r="AA1976" s="196"/>
      <c r="AB1976" s="196"/>
      <c r="AC1976" s="196"/>
      <c r="AD1976" s="196"/>
      <c r="AE1976" s="197"/>
      <c r="AF1976" s="197"/>
      <c r="AG1976" s="197"/>
      <c r="AH1976" s="197"/>
    </row>
    <row r="1977" customHeight="1" spans="1:34">
      <c r="A1977" s="100" t="s">
        <v>881</v>
      </c>
      <c r="B1977" s="66" t="s">
        <v>882</v>
      </c>
      <c r="C1977" s="67"/>
      <c r="D1977" s="103"/>
      <c r="E1977" s="111"/>
      <c r="F1977" s="111"/>
      <c r="G1977" s="113">
        <f>G1978+G1981</f>
        <v>24718.143512</v>
      </c>
      <c r="S1977" s="196"/>
      <c r="T1977" s="196"/>
      <c r="U1977" s="196"/>
      <c r="V1977" s="196"/>
      <c r="W1977" s="196"/>
      <c r="X1977" s="196"/>
      <c r="Y1977" s="196"/>
      <c r="Z1977" s="196"/>
      <c r="AA1977" s="196"/>
      <c r="AB1977" s="196"/>
      <c r="AC1977" s="196"/>
      <c r="AD1977" s="196"/>
      <c r="AE1977" s="197"/>
      <c r="AF1977" s="197"/>
      <c r="AG1977" s="197"/>
      <c r="AH1977" s="197"/>
    </row>
    <row r="1978" customHeight="1" spans="1:34">
      <c r="A1978" s="100" t="s">
        <v>17</v>
      </c>
      <c r="B1978" s="66" t="s">
        <v>510</v>
      </c>
      <c r="C1978" s="67"/>
      <c r="D1978" s="103"/>
      <c r="E1978" s="111"/>
      <c r="F1978" s="111"/>
      <c r="G1978" s="113">
        <f>SUM(G1979:G1980)</f>
        <v>1914.824</v>
      </c>
      <c r="S1978" s="196"/>
      <c r="T1978" s="196"/>
      <c r="U1978" s="196"/>
      <c r="V1978" s="196"/>
      <c r="W1978" s="196"/>
      <c r="X1978" s="196"/>
      <c r="Y1978" s="196"/>
      <c r="Z1978" s="196"/>
      <c r="AA1978" s="196"/>
      <c r="AB1978" s="196"/>
      <c r="AC1978" s="196"/>
      <c r="AD1978" s="196"/>
      <c r="AE1978" s="197"/>
      <c r="AF1978" s="197"/>
      <c r="AG1978" s="197"/>
      <c r="AH1978" s="197"/>
    </row>
    <row r="1979" customHeight="1" spans="1:34">
      <c r="A1979" s="100"/>
      <c r="B1979" s="66" t="s">
        <v>704</v>
      </c>
      <c r="C1979" s="67"/>
      <c r="D1979" s="103" t="s">
        <v>705</v>
      </c>
      <c r="E1979" s="111">
        <v>88.8</v>
      </c>
      <c r="F1979" s="111">
        <f>主要材料预算!$D$19</f>
        <v>8.1</v>
      </c>
      <c r="G1979" s="113">
        <f t="shared" ref="G1979:G1984" si="181">E1979*F1979</f>
        <v>719.28</v>
      </c>
      <c r="S1979" s="196"/>
      <c r="T1979" s="196"/>
      <c r="U1979" s="196"/>
      <c r="V1979" s="196"/>
      <c r="W1979" s="196"/>
      <c r="X1979" s="196"/>
      <c r="Y1979" s="196"/>
      <c r="Z1979" s="196"/>
      <c r="AA1979" s="196"/>
      <c r="AB1979" s="196"/>
      <c r="AC1979" s="196"/>
      <c r="AD1979" s="196"/>
      <c r="AE1979" s="197"/>
      <c r="AF1979" s="197"/>
      <c r="AG1979" s="197"/>
      <c r="AH1979" s="197"/>
    </row>
    <row r="1980" customHeight="1" spans="1:34">
      <c r="A1980" s="100"/>
      <c r="B1980" s="66" t="s">
        <v>706</v>
      </c>
      <c r="C1980" s="67"/>
      <c r="D1980" s="103" t="s">
        <v>705</v>
      </c>
      <c r="E1980" s="114">
        <v>207.2</v>
      </c>
      <c r="F1980" s="111">
        <f>主要材料预算!$D$20</f>
        <v>5.77</v>
      </c>
      <c r="G1980" s="113">
        <f t="shared" si="181"/>
        <v>1195.544</v>
      </c>
      <c r="S1980" s="196"/>
      <c r="T1980" s="196"/>
      <c r="U1980" s="196"/>
      <c r="V1980" s="196"/>
      <c r="W1980" s="196"/>
      <c r="X1980" s="196"/>
      <c r="Y1980" s="196"/>
      <c r="Z1980" s="196"/>
      <c r="AA1980" s="196"/>
      <c r="AB1980" s="196"/>
      <c r="AC1980" s="196"/>
      <c r="AD1980" s="196"/>
      <c r="AE1980" s="197"/>
      <c r="AF1980" s="197"/>
      <c r="AG1980" s="197"/>
      <c r="AH1980" s="197"/>
    </row>
    <row r="1981" customHeight="1" spans="1:34">
      <c r="A1981" s="100" t="s">
        <v>19</v>
      </c>
      <c r="B1981" s="66" t="s">
        <v>511</v>
      </c>
      <c r="C1981" s="67"/>
      <c r="D1981" s="103"/>
      <c r="E1981" s="111"/>
      <c r="F1981" s="111"/>
      <c r="G1981" s="113">
        <f>SUM(G1982:G1985)</f>
        <v>22803.319512</v>
      </c>
      <c r="S1981" s="196"/>
      <c r="T1981" s="196"/>
      <c r="U1981" s="196"/>
      <c r="V1981" s="196"/>
      <c r="W1981" s="196"/>
      <c r="X1981" s="196"/>
      <c r="Y1981" s="196"/>
      <c r="Z1981" s="196"/>
      <c r="AA1981" s="196"/>
      <c r="AB1981" s="196"/>
      <c r="AC1981" s="196"/>
      <c r="AD1981" s="196"/>
      <c r="AE1981" s="197"/>
      <c r="AF1981" s="197"/>
      <c r="AG1981" s="197"/>
      <c r="AH1981" s="197"/>
    </row>
    <row r="1982" customHeight="1" spans="1:34">
      <c r="A1982" s="100"/>
      <c r="B1982" s="66" t="s">
        <v>1540</v>
      </c>
      <c r="C1982" s="67"/>
      <c r="D1982" s="103" t="s">
        <v>1146</v>
      </c>
      <c r="E1982" s="111">
        <v>118</v>
      </c>
      <c r="F1982" s="111">
        <f>基础材料!$D$34</f>
        <v>104.27</v>
      </c>
      <c r="G1982" s="113">
        <f t="shared" si="181"/>
        <v>12303.86</v>
      </c>
      <c r="S1982" s="196"/>
      <c r="T1982" s="196"/>
      <c r="U1982" s="196"/>
      <c r="V1982" s="196"/>
      <c r="W1982" s="196"/>
      <c r="X1982" s="196"/>
      <c r="Y1982" s="196"/>
      <c r="Z1982" s="196"/>
      <c r="AA1982" s="196"/>
      <c r="AB1982" s="196"/>
      <c r="AC1982" s="196"/>
      <c r="AD1982" s="196"/>
      <c r="AE1982" s="197"/>
      <c r="AF1982" s="197"/>
      <c r="AG1982" s="197"/>
      <c r="AH1982" s="197"/>
    </row>
    <row r="1983" customHeight="1" spans="1:34">
      <c r="A1983" s="100"/>
      <c r="B1983" s="66" t="s">
        <v>1537</v>
      </c>
      <c r="C1983" s="67"/>
      <c r="D1983" s="103" t="s">
        <v>1480</v>
      </c>
      <c r="E1983" s="111">
        <v>496</v>
      </c>
      <c r="F1983" s="111">
        <f>基础材料!$D$36</f>
        <v>20</v>
      </c>
      <c r="G1983" s="113">
        <f t="shared" si="181"/>
        <v>9920</v>
      </c>
      <c r="S1983" s="196"/>
      <c r="T1983" s="196"/>
      <c r="U1983" s="196"/>
      <c r="V1983" s="196"/>
      <c r="W1983" s="196"/>
      <c r="X1983" s="196"/>
      <c r="Y1983" s="196"/>
      <c r="Z1983" s="196"/>
      <c r="AA1983" s="196"/>
      <c r="AB1983" s="196"/>
      <c r="AC1983" s="196"/>
      <c r="AD1983" s="196"/>
      <c r="AE1983" s="197"/>
      <c r="AF1983" s="197"/>
      <c r="AG1983" s="197"/>
      <c r="AH1983" s="197"/>
    </row>
    <row r="1984" customHeight="1" spans="1:34">
      <c r="A1984" s="100"/>
      <c r="B1984" s="66" t="s">
        <v>1538</v>
      </c>
      <c r="C1984" s="67"/>
      <c r="D1984" s="103" t="s">
        <v>1480</v>
      </c>
      <c r="E1984" s="111">
        <v>37.5</v>
      </c>
      <c r="F1984" s="111">
        <f>基础材料!$D$37</f>
        <v>10</v>
      </c>
      <c r="G1984" s="113">
        <f t="shared" si="181"/>
        <v>375</v>
      </c>
      <c r="S1984" s="196"/>
      <c r="T1984" s="196"/>
      <c r="U1984" s="196"/>
      <c r="V1984" s="196"/>
      <c r="W1984" s="196"/>
      <c r="X1984" s="196"/>
      <c r="Y1984" s="196"/>
      <c r="Z1984" s="196"/>
      <c r="AA1984" s="196"/>
      <c r="AB1984" s="196"/>
      <c r="AC1984" s="196"/>
      <c r="AD1984" s="196"/>
      <c r="AE1984" s="197"/>
      <c r="AF1984" s="197"/>
      <c r="AG1984" s="197"/>
      <c r="AH1984" s="197"/>
    </row>
    <row r="1985" customHeight="1" spans="1:34">
      <c r="A1985" s="100"/>
      <c r="B1985" s="66" t="s">
        <v>893</v>
      </c>
      <c r="C1985" s="67"/>
      <c r="D1985" s="103" t="s">
        <v>894</v>
      </c>
      <c r="E1985" s="111">
        <f>SUM(G1982:G1983)</f>
        <v>22223.86</v>
      </c>
      <c r="F1985" s="111">
        <v>0.92</v>
      </c>
      <c r="G1985" s="113">
        <f>E1985*F1985/100</f>
        <v>204.459512</v>
      </c>
      <c r="S1985" s="196"/>
      <c r="T1985" s="196"/>
      <c r="U1985" s="196"/>
      <c r="V1985" s="196"/>
      <c r="W1985" s="196"/>
      <c r="X1985" s="196"/>
      <c r="Y1985" s="196"/>
      <c r="Z1985" s="196"/>
      <c r="AA1985" s="196"/>
      <c r="AB1985" s="196"/>
      <c r="AC1985" s="196"/>
      <c r="AD1985" s="196"/>
      <c r="AE1985" s="197"/>
      <c r="AF1985" s="197"/>
      <c r="AG1985" s="197"/>
      <c r="AH1985" s="197"/>
    </row>
    <row r="1986" customHeight="1" spans="1:34">
      <c r="A1986" s="100" t="s">
        <v>905</v>
      </c>
      <c r="B1986" s="66" t="s">
        <v>514</v>
      </c>
      <c r="C1986" s="67"/>
      <c r="D1986" s="103"/>
      <c r="E1986" s="116">
        <f>G1977</f>
        <v>24718.143512</v>
      </c>
      <c r="F1986" s="117">
        <f>费率表!$J$4</f>
        <v>0.048</v>
      </c>
      <c r="G1986" s="113">
        <f t="shared" ref="G1986:G1990" si="182">E1986*F1986</f>
        <v>1186.470888576</v>
      </c>
      <c r="S1986" s="196"/>
      <c r="T1986" s="196"/>
      <c r="U1986" s="196"/>
      <c r="V1986" s="196"/>
      <c r="W1986" s="196"/>
      <c r="X1986" s="196"/>
      <c r="Y1986" s="196"/>
      <c r="Z1986" s="196"/>
      <c r="AA1986" s="196"/>
      <c r="AB1986" s="196"/>
      <c r="AC1986" s="196"/>
      <c r="AD1986" s="196"/>
      <c r="AE1986" s="197"/>
      <c r="AF1986" s="197"/>
      <c r="AG1986" s="197"/>
      <c r="AH1986" s="197"/>
    </row>
    <row r="1987" customHeight="1" spans="1:34">
      <c r="A1987" s="100" t="s">
        <v>10</v>
      </c>
      <c r="B1987" s="66" t="s">
        <v>770</v>
      </c>
      <c r="C1987" s="67"/>
      <c r="D1987" s="103"/>
      <c r="E1987" s="111">
        <f>G1976</f>
        <v>25904.614400576</v>
      </c>
      <c r="F1987" s="118">
        <f>费率表!$J$5</f>
        <v>0.075</v>
      </c>
      <c r="G1987" s="113">
        <f t="shared" si="182"/>
        <v>1942.8460800432</v>
      </c>
      <c r="S1987" s="196"/>
      <c r="T1987" s="196"/>
      <c r="U1987" s="196"/>
      <c r="V1987" s="196"/>
      <c r="W1987" s="196"/>
      <c r="X1987" s="196"/>
      <c r="Y1987" s="196"/>
      <c r="Z1987" s="196"/>
      <c r="AA1987" s="196"/>
      <c r="AB1987" s="196"/>
      <c r="AC1987" s="196"/>
      <c r="AD1987" s="196"/>
      <c r="AE1987" s="197"/>
      <c r="AF1987" s="197"/>
      <c r="AG1987" s="197"/>
      <c r="AH1987" s="197"/>
    </row>
    <row r="1988" customHeight="1" spans="1:34">
      <c r="A1988" s="100" t="s">
        <v>12</v>
      </c>
      <c r="B1988" s="66" t="s">
        <v>771</v>
      </c>
      <c r="C1988" s="67"/>
      <c r="D1988" s="103"/>
      <c r="E1988" s="111">
        <f>G1976+G1987</f>
        <v>27847.4604806192</v>
      </c>
      <c r="F1988" s="118">
        <f>费率表!$J$6</f>
        <v>0.07</v>
      </c>
      <c r="G1988" s="113">
        <f t="shared" si="182"/>
        <v>1949.32223364334</v>
      </c>
      <c r="S1988" s="196"/>
      <c r="T1988" s="196"/>
      <c r="U1988" s="196"/>
      <c r="V1988" s="196"/>
      <c r="W1988" s="196"/>
      <c r="X1988" s="196"/>
      <c r="Y1988" s="196"/>
      <c r="Z1988" s="196"/>
      <c r="AA1988" s="196"/>
      <c r="AB1988" s="196"/>
      <c r="AC1988" s="196"/>
      <c r="AD1988" s="196"/>
      <c r="AE1988" s="197"/>
      <c r="AF1988" s="197"/>
      <c r="AG1988" s="197"/>
      <c r="AH1988" s="197"/>
    </row>
    <row r="1989" customHeight="1" spans="1:34">
      <c r="A1989" s="100" t="s">
        <v>15</v>
      </c>
      <c r="B1989" s="66" t="s">
        <v>772</v>
      </c>
      <c r="C1989" s="67"/>
      <c r="D1989" s="103"/>
      <c r="E1989" s="111">
        <f>G1976+G1987+G1988</f>
        <v>29796.7827142625</v>
      </c>
      <c r="F1989" s="118">
        <f>费率表!$J$7</f>
        <v>0.09</v>
      </c>
      <c r="G1989" s="113">
        <f t="shared" si="182"/>
        <v>2681.71044428363</v>
      </c>
      <c r="S1989" s="196"/>
      <c r="T1989" s="196"/>
      <c r="U1989" s="196"/>
      <c r="V1989" s="196"/>
      <c r="W1989" s="196"/>
      <c r="X1989" s="196"/>
      <c r="Y1989" s="196"/>
      <c r="Z1989" s="196"/>
      <c r="AA1989" s="196"/>
      <c r="AB1989" s="196"/>
      <c r="AC1989" s="196"/>
      <c r="AD1989" s="196"/>
      <c r="AE1989" s="197"/>
      <c r="AF1989" s="197"/>
      <c r="AG1989" s="197"/>
      <c r="AH1989" s="197"/>
    </row>
    <row r="1990" customHeight="1" spans="1:34">
      <c r="A1990" s="100"/>
      <c r="B1990" s="66" t="s">
        <v>907</v>
      </c>
      <c r="C1990" s="67"/>
      <c r="D1990" s="103"/>
      <c r="E1990" s="111">
        <f>G1976+G1987+G1988+G1989</f>
        <v>32478.4931585462</v>
      </c>
      <c r="F1990" s="118">
        <f>费率表!$B$19</f>
        <v>0.03</v>
      </c>
      <c r="G1990" s="113">
        <f t="shared" si="182"/>
        <v>974.354794756385</v>
      </c>
      <c r="S1990" s="196"/>
      <c r="T1990" s="196"/>
      <c r="U1990" s="196"/>
      <c r="V1990" s="196"/>
      <c r="W1990" s="196"/>
      <c r="X1990" s="196"/>
      <c r="Y1990" s="196"/>
      <c r="Z1990" s="196"/>
      <c r="AA1990" s="196"/>
      <c r="AB1990" s="196"/>
      <c r="AC1990" s="196"/>
      <c r="AD1990" s="196"/>
      <c r="AE1990" s="197"/>
      <c r="AF1990" s="197"/>
      <c r="AG1990" s="197"/>
      <c r="AH1990" s="197"/>
    </row>
    <row r="1991" customHeight="1" spans="1:34">
      <c r="A1991" s="119"/>
      <c r="B1991" s="283" t="s">
        <v>39</v>
      </c>
      <c r="C1991" s="284"/>
      <c r="D1991" s="120"/>
      <c r="E1991" s="121"/>
      <c r="F1991" s="120"/>
      <c r="G1991" s="122">
        <f>G1976+G1987+G1988+G1989+G1990</f>
        <v>33452.8479533026</v>
      </c>
      <c r="S1991" s="196"/>
      <c r="T1991" s="196"/>
      <c r="U1991" s="196"/>
      <c r="V1991" s="196"/>
      <c r="W1991" s="196"/>
      <c r="X1991" s="196"/>
      <c r="Y1991" s="196"/>
      <c r="Z1991" s="196"/>
      <c r="AA1991" s="196"/>
      <c r="AB1991" s="196"/>
      <c r="AC1991" s="196"/>
      <c r="AD1991" s="196"/>
      <c r="AE1991" s="197"/>
      <c r="AF1991" s="197"/>
      <c r="AG1991" s="197"/>
      <c r="AH1991" s="197"/>
    </row>
    <row r="1992" customHeight="1" spans="1:34">
      <c r="S1992" s="196"/>
      <c r="T1992" s="196"/>
      <c r="U1992" s="196"/>
      <c r="V1992" s="196"/>
      <c r="W1992" s="196"/>
      <c r="X1992" s="196"/>
      <c r="Y1992" s="196"/>
      <c r="Z1992" s="196"/>
      <c r="AA1992" s="196"/>
      <c r="AB1992" s="196"/>
      <c r="AC1992" s="196"/>
      <c r="AD1992" s="196"/>
      <c r="AE1992" s="197"/>
      <c r="AF1992" s="197"/>
      <c r="AG1992" s="197"/>
      <c r="AH1992" s="197"/>
    </row>
    <row r="1993" customHeight="1" spans="1:34">
      <c r="A1993" s="164" t="s">
        <v>868</v>
      </c>
      <c r="B1993" s="164"/>
      <c r="C1993" s="164"/>
      <c r="D1993" s="164"/>
      <c r="E1993" s="164"/>
      <c r="F1993" s="164"/>
      <c r="G1993" s="164"/>
      <c r="S1993" s="196"/>
      <c r="T1993" s="196"/>
      <c r="U1993" s="196"/>
      <c r="V1993" s="196"/>
      <c r="W1993" s="196"/>
      <c r="X1993" s="196"/>
      <c r="Y1993" s="196"/>
      <c r="Z1993" s="196"/>
      <c r="AA1993" s="196"/>
      <c r="AB1993" s="196"/>
      <c r="AC1993" s="196"/>
      <c r="AD1993" s="196"/>
      <c r="AE1993" s="197"/>
      <c r="AF1993" s="197"/>
      <c r="AG1993" s="197"/>
      <c r="AH1993" s="197"/>
    </row>
    <row r="1994" customHeight="1" spans="1:34">
      <c r="A1994" s="268" t="s">
        <v>869</v>
      </c>
      <c r="B1994" s="269"/>
      <c r="C1994" s="96"/>
      <c r="D1994" s="96" t="s">
        <v>870</v>
      </c>
      <c r="E1994" s="270" t="s">
        <v>1541</v>
      </c>
      <c r="F1994" s="271"/>
      <c r="G1994" s="272"/>
      <c r="S1994" s="196"/>
      <c r="T1994" s="196"/>
      <c r="U1994" s="196"/>
      <c r="V1994" s="196"/>
      <c r="W1994" s="196"/>
      <c r="X1994" s="196"/>
      <c r="Y1994" s="196"/>
      <c r="Z1994" s="196"/>
      <c r="AA1994" s="196"/>
      <c r="AB1994" s="196"/>
      <c r="AC1994" s="196"/>
      <c r="AD1994" s="196"/>
      <c r="AE1994" s="197"/>
      <c r="AF1994" s="197"/>
      <c r="AG1994" s="197"/>
      <c r="AH1994" s="197"/>
    </row>
    <row r="1995" customHeight="1" spans="1:34">
      <c r="A1995" s="273" t="s">
        <v>507</v>
      </c>
      <c r="B1995" s="274"/>
      <c r="C1995" s="275" t="s">
        <v>1542</v>
      </c>
      <c r="D1995" s="276"/>
      <c r="E1995" s="277"/>
      <c r="F1995" s="103" t="s">
        <v>873</v>
      </c>
      <c r="G1995" s="104" t="s">
        <v>1524</v>
      </c>
      <c r="S1995" s="196"/>
      <c r="T1995" s="196"/>
      <c r="U1995" s="196"/>
      <c r="V1995" s="196"/>
      <c r="W1995" s="196"/>
      <c r="X1995" s="196"/>
      <c r="Y1995" s="196"/>
      <c r="Z1995" s="196"/>
      <c r="AA1995" s="196"/>
      <c r="AB1995" s="196"/>
      <c r="AC1995" s="196"/>
      <c r="AD1995" s="196"/>
      <c r="AE1995" s="197"/>
      <c r="AF1995" s="197"/>
      <c r="AG1995" s="197"/>
      <c r="AH1995" s="197"/>
    </row>
    <row r="1996" customHeight="1" spans="1:34">
      <c r="A1996" s="107" t="s">
        <v>875</v>
      </c>
      <c r="B1996" s="108"/>
      <c r="C1996" s="108"/>
      <c r="D1996" s="108"/>
      <c r="E1996" s="108"/>
      <c r="F1996" s="108"/>
      <c r="G1996" s="278"/>
      <c r="S1996" s="196"/>
      <c r="T1996" s="196"/>
      <c r="U1996" s="196"/>
      <c r="V1996" s="196"/>
      <c r="W1996" s="196"/>
      <c r="X1996" s="196"/>
      <c r="Y1996" s="196"/>
      <c r="Z1996" s="196"/>
      <c r="AA1996" s="196"/>
      <c r="AB1996" s="196"/>
      <c r="AC1996" s="196"/>
      <c r="AD1996" s="196"/>
      <c r="AE1996" s="197"/>
      <c r="AF1996" s="197"/>
      <c r="AG1996" s="197"/>
      <c r="AH1996" s="197"/>
    </row>
    <row r="1997" customHeight="1" spans="1:34">
      <c r="A1997" s="107" t="s">
        <v>1543</v>
      </c>
      <c r="B1997" s="108"/>
      <c r="C1997" s="108"/>
      <c r="D1997" s="108"/>
      <c r="E1997" s="108"/>
      <c r="F1997" s="108"/>
      <c r="G1997" s="278"/>
      <c r="S1997" s="196"/>
      <c r="T1997" s="196"/>
      <c r="U1997" s="196"/>
      <c r="V1997" s="196"/>
      <c r="W1997" s="196"/>
      <c r="X1997" s="196"/>
      <c r="Y1997" s="196"/>
      <c r="Z1997" s="196"/>
      <c r="AA1997" s="196"/>
      <c r="AB1997" s="196"/>
      <c r="AC1997" s="196"/>
      <c r="AD1997" s="196"/>
      <c r="AE1997" s="197"/>
      <c r="AF1997" s="197"/>
      <c r="AG1997" s="197"/>
      <c r="AH1997" s="197"/>
    </row>
    <row r="1998" customHeight="1" spans="1:34">
      <c r="A1998" s="100" t="s">
        <v>34</v>
      </c>
      <c r="B1998" s="279" t="s">
        <v>761</v>
      </c>
      <c r="C1998" s="280"/>
      <c r="D1998" s="103" t="s">
        <v>60</v>
      </c>
      <c r="E1998" s="111" t="s">
        <v>877</v>
      </c>
      <c r="F1998" s="103" t="s">
        <v>878</v>
      </c>
      <c r="G1998" s="104" t="s">
        <v>879</v>
      </c>
      <c r="S1998" s="196"/>
      <c r="T1998" s="196"/>
      <c r="U1998" s="196"/>
      <c r="V1998" s="196"/>
      <c r="W1998" s="196"/>
      <c r="X1998" s="196"/>
      <c r="Y1998" s="196"/>
      <c r="Z1998" s="196"/>
      <c r="AA1998" s="196"/>
      <c r="AB1998" s="196"/>
      <c r="AC1998" s="196"/>
      <c r="AD1998" s="196"/>
      <c r="AE1998" s="197"/>
      <c r="AF1998" s="197"/>
      <c r="AG1998" s="197"/>
      <c r="AH1998" s="197"/>
    </row>
    <row r="1999" customHeight="1" spans="1:34">
      <c r="A1999" s="100" t="s">
        <v>8</v>
      </c>
      <c r="B1999" s="66" t="s">
        <v>880</v>
      </c>
      <c r="C1999" s="67"/>
      <c r="D1999" s="103"/>
      <c r="E1999" s="111"/>
      <c r="F1999" s="111"/>
      <c r="G1999" s="113">
        <f>G2000+G2006</f>
        <v>3051.488848</v>
      </c>
      <c r="S1999" s="196"/>
      <c r="T1999" s="196"/>
      <c r="U1999" s="196"/>
      <c r="V1999" s="196"/>
      <c r="W1999" s="196"/>
      <c r="X1999" s="196"/>
      <c r="Y1999" s="196"/>
      <c r="Z1999" s="196"/>
      <c r="AA1999" s="196"/>
      <c r="AB1999" s="196"/>
      <c r="AC1999" s="196"/>
      <c r="AD1999" s="196"/>
      <c r="AE1999" s="197"/>
      <c r="AF1999" s="197"/>
      <c r="AG1999" s="197"/>
      <c r="AH1999" s="197"/>
    </row>
    <row r="2000" customHeight="1" spans="1:34">
      <c r="A2000" s="100" t="s">
        <v>881</v>
      </c>
      <c r="B2000" s="66" t="s">
        <v>882</v>
      </c>
      <c r="C2000" s="67"/>
      <c r="D2000" s="103"/>
      <c r="E2000" s="111"/>
      <c r="F2000" s="111"/>
      <c r="G2000" s="113">
        <f>G2001+G2004</f>
        <v>2911.726</v>
      </c>
      <c r="S2000" s="196"/>
      <c r="T2000" s="196"/>
      <c r="U2000" s="196"/>
      <c r="V2000" s="196"/>
      <c r="W2000" s="196"/>
      <c r="X2000" s="196"/>
      <c r="Y2000" s="196"/>
      <c r="Z2000" s="196"/>
      <c r="AA2000" s="196"/>
      <c r="AB2000" s="196"/>
      <c r="AC2000" s="196"/>
      <c r="AD2000" s="196"/>
      <c r="AE2000" s="197"/>
      <c r="AF2000" s="197"/>
      <c r="AG2000" s="197"/>
      <c r="AH2000" s="197"/>
    </row>
    <row r="2001" customHeight="1" spans="1:34">
      <c r="A2001" s="100" t="s">
        <v>17</v>
      </c>
      <c r="B2001" s="66" t="s">
        <v>510</v>
      </c>
      <c r="C2001" s="67"/>
      <c r="D2001" s="103"/>
      <c r="E2001" s="111"/>
      <c r="F2001" s="111"/>
      <c r="G2001" s="113">
        <f>SUM(G2002:G2003)</f>
        <v>496.726</v>
      </c>
      <c r="S2001" s="196"/>
      <c r="T2001" s="196"/>
      <c r="U2001" s="196"/>
      <c r="V2001" s="196"/>
      <c r="W2001" s="196"/>
      <c r="X2001" s="196"/>
      <c r="Y2001" s="196"/>
      <c r="Z2001" s="196"/>
      <c r="AA2001" s="196"/>
      <c r="AB2001" s="196"/>
      <c r="AC2001" s="196"/>
      <c r="AD2001" s="196"/>
      <c r="AE2001" s="197"/>
      <c r="AF2001" s="197"/>
      <c r="AG2001" s="197"/>
      <c r="AH2001" s="197"/>
    </row>
    <row r="2002" customHeight="1" spans="1:34">
      <c r="A2002" s="100"/>
      <c r="B2002" s="66" t="s">
        <v>704</v>
      </c>
      <c r="C2002" s="67"/>
      <c r="D2002" s="103" t="s">
        <v>705</v>
      </c>
      <c r="E2002" s="111">
        <v>23</v>
      </c>
      <c r="F2002" s="111">
        <f>主要材料预算!$D$19</f>
        <v>8.1</v>
      </c>
      <c r="G2002" s="113">
        <f>E2002*F2002</f>
        <v>186.3</v>
      </c>
      <c r="S2002" s="196"/>
      <c r="T2002" s="196"/>
      <c r="U2002" s="196"/>
      <c r="V2002" s="196"/>
      <c r="W2002" s="196"/>
      <c r="X2002" s="196"/>
      <c r="Y2002" s="196"/>
      <c r="Z2002" s="196"/>
      <c r="AA2002" s="196"/>
      <c r="AB2002" s="196"/>
      <c r="AC2002" s="196"/>
      <c r="AD2002" s="196"/>
      <c r="AE2002" s="197"/>
      <c r="AF2002" s="197"/>
      <c r="AG2002" s="197"/>
      <c r="AH2002" s="197"/>
    </row>
    <row r="2003" customHeight="1" spans="1:34">
      <c r="A2003" s="100"/>
      <c r="B2003" s="66" t="s">
        <v>706</v>
      </c>
      <c r="C2003" s="67"/>
      <c r="D2003" s="103" t="s">
        <v>705</v>
      </c>
      <c r="E2003" s="114">
        <v>53.8</v>
      </c>
      <c r="F2003" s="111">
        <f>主要材料预算!$D$20</f>
        <v>5.77</v>
      </c>
      <c r="G2003" s="113">
        <f>E2003*F2003</f>
        <v>310.426</v>
      </c>
      <c r="S2003" s="196"/>
      <c r="T2003" s="196"/>
      <c r="U2003" s="196"/>
      <c r="V2003" s="196"/>
      <c r="W2003" s="196"/>
      <c r="X2003" s="196"/>
      <c r="Y2003" s="196"/>
      <c r="Z2003" s="196"/>
      <c r="AA2003" s="196"/>
      <c r="AB2003" s="196"/>
      <c r="AC2003" s="196"/>
      <c r="AD2003" s="196"/>
      <c r="AE2003" s="197"/>
      <c r="AF2003" s="197"/>
      <c r="AG2003" s="197"/>
      <c r="AH2003" s="197"/>
    </row>
    <row r="2004" customHeight="1" spans="1:34">
      <c r="A2004" s="100" t="s">
        <v>19</v>
      </c>
      <c r="B2004" s="66" t="s">
        <v>511</v>
      </c>
      <c r="C2004" s="67"/>
      <c r="D2004" s="103"/>
      <c r="E2004" s="111"/>
      <c r="F2004" s="111"/>
      <c r="G2004" s="113">
        <f>SUM(G2005:G2005)</f>
        <v>2415</v>
      </c>
      <c r="S2004" s="196"/>
      <c r="T2004" s="196"/>
      <c r="U2004" s="196"/>
      <c r="V2004" s="196"/>
      <c r="W2004" s="196"/>
      <c r="X2004" s="196"/>
      <c r="Y2004" s="196"/>
      <c r="Z2004" s="196"/>
      <c r="AA2004" s="196"/>
      <c r="AB2004" s="196"/>
      <c r="AC2004" s="196"/>
      <c r="AD2004" s="196"/>
      <c r="AE2004" s="197"/>
      <c r="AF2004" s="197"/>
      <c r="AG2004" s="197"/>
      <c r="AH2004" s="197"/>
    </row>
    <row r="2005" customHeight="1" spans="1:34">
      <c r="A2005" s="100"/>
      <c r="B2005" s="66" t="s">
        <v>1544</v>
      </c>
      <c r="C2005" s="67"/>
      <c r="D2005" s="103" t="s">
        <v>695</v>
      </c>
      <c r="E2005" s="111">
        <v>690</v>
      </c>
      <c r="F2005" s="111">
        <f>基础材料!$D$38</f>
        <v>3.5</v>
      </c>
      <c r="G2005" s="113">
        <f t="shared" ref="G2005:G2010" si="183">E2005*F2005</f>
        <v>2415</v>
      </c>
      <c r="S2005" s="196"/>
      <c r="T2005" s="196"/>
      <c r="U2005" s="196"/>
      <c r="V2005" s="196"/>
      <c r="W2005" s="196"/>
      <c r="X2005" s="196"/>
      <c r="Y2005" s="196"/>
      <c r="Z2005" s="196"/>
      <c r="AA2005" s="196"/>
      <c r="AB2005" s="196"/>
      <c r="AC2005" s="196"/>
      <c r="AD2005" s="196"/>
      <c r="AE2005" s="197"/>
      <c r="AF2005" s="197"/>
      <c r="AG2005" s="197"/>
      <c r="AH2005" s="197"/>
    </row>
    <row r="2006" customHeight="1" spans="1:34">
      <c r="A2006" s="100" t="s">
        <v>905</v>
      </c>
      <c r="B2006" s="66" t="s">
        <v>514</v>
      </c>
      <c r="C2006" s="67"/>
      <c r="D2006" s="103"/>
      <c r="E2006" s="116">
        <f>G2000</f>
        <v>2911.726</v>
      </c>
      <c r="F2006" s="117">
        <f>费率表!$J$4</f>
        <v>0.048</v>
      </c>
      <c r="G2006" s="113">
        <f t="shared" si="183"/>
        <v>139.762848</v>
      </c>
      <c r="S2006" s="196"/>
      <c r="T2006" s="196"/>
      <c r="U2006" s="196"/>
      <c r="V2006" s="196"/>
      <c r="W2006" s="196"/>
      <c r="X2006" s="196"/>
      <c r="Y2006" s="196"/>
      <c r="Z2006" s="196"/>
      <c r="AA2006" s="196"/>
      <c r="AB2006" s="196"/>
      <c r="AC2006" s="196"/>
      <c r="AD2006" s="196"/>
      <c r="AE2006" s="197"/>
      <c r="AF2006" s="197"/>
      <c r="AG2006" s="197"/>
      <c r="AH2006" s="197"/>
    </row>
    <row r="2007" customHeight="1" spans="1:34">
      <c r="A2007" s="100" t="s">
        <v>10</v>
      </c>
      <c r="B2007" s="66" t="s">
        <v>770</v>
      </c>
      <c r="C2007" s="67"/>
      <c r="D2007" s="103"/>
      <c r="E2007" s="111">
        <f>G1999</f>
        <v>3051.488848</v>
      </c>
      <c r="F2007" s="118">
        <f>费率表!$J$5</f>
        <v>0.075</v>
      </c>
      <c r="G2007" s="113">
        <f t="shared" si="183"/>
        <v>228.8616636</v>
      </c>
      <c r="S2007" s="196"/>
      <c r="T2007" s="196"/>
      <c r="U2007" s="196"/>
      <c r="V2007" s="196"/>
      <c r="W2007" s="196"/>
      <c r="X2007" s="196"/>
      <c r="Y2007" s="196"/>
      <c r="Z2007" s="196"/>
      <c r="AA2007" s="196"/>
      <c r="AB2007" s="196"/>
      <c r="AC2007" s="196"/>
      <c r="AD2007" s="196"/>
      <c r="AE2007" s="197"/>
      <c r="AF2007" s="197"/>
      <c r="AG2007" s="197"/>
      <c r="AH2007" s="197"/>
    </row>
    <row r="2008" customHeight="1" spans="1:34">
      <c r="A2008" s="100" t="s">
        <v>12</v>
      </c>
      <c r="B2008" s="66" t="s">
        <v>771</v>
      </c>
      <c r="C2008" s="67"/>
      <c r="D2008" s="103"/>
      <c r="E2008" s="111">
        <f>G1999+G2007</f>
        <v>3280.3505116</v>
      </c>
      <c r="F2008" s="118">
        <f>费率表!$J$6</f>
        <v>0.07</v>
      </c>
      <c r="G2008" s="113">
        <f t="shared" si="183"/>
        <v>229.624535812</v>
      </c>
      <c r="S2008" s="196"/>
      <c r="T2008" s="196"/>
      <c r="U2008" s="196"/>
      <c r="V2008" s="196"/>
      <c r="W2008" s="196"/>
      <c r="X2008" s="196"/>
      <c r="Y2008" s="196"/>
      <c r="Z2008" s="196"/>
      <c r="AA2008" s="196"/>
      <c r="AB2008" s="196"/>
      <c r="AC2008" s="196"/>
      <c r="AD2008" s="196"/>
      <c r="AE2008" s="197"/>
      <c r="AF2008" s="197"/>
      <c r="AG2008" s="197"/>
      <c r="AH2008" s="197"/>
    </row>
    <row r="2009" customHeight="1" spans="1:34">
      <c r="A2009" s="100" t="s">
        <v>15</v>
      </c>
      <c r="B2009" s="66" t="s">
        <v>772</v>
      </c>
      <c r="C2009" s="67"/>
      <c r="D2009" s="103"/>
      <c r="E2009" s="111">
        <f>G1999+G2007+G2008</f>
        <v>3509.975047412</v>
      </c>
      <c r="F2009" s="118">
        <f>费率表!$J$7</f>
        <v>0.09</v>
      </c>
      <c r="G2009" s="113">
        <f t="shared" si="183"/>
        <v>315.89775426708</v>
      </c>
      <c r="S2009" s="196"/>
      <c r="T2009" s="196"/>
      <c r="U2009" s="196"/>
      <c r="V2009" s="196"/>
      <c r="W2009" s="196"/>
      <c r="X2009" s="196"/>
      <c r="Y2009" s="196"/>
      <c r="Z2009" s="196"/>
      <c r="AA2009" s="196"/>
      <c r="AB2009" s="196"/>
      <c r="AC2009" s="196"/>
      <c r="AD2009" s="196"/>
      <c r="AE2009" s="197"/>
      <c r="AF2009" s="197"/>
      <c r="AG2009" s="197"/>
      <c r="AH2009" s="197"/>
    </row>
    <row r="2010" customHeight="1" spans="1:34">
      <c r="A2010" s="100"/>
      <c r="B2010" s="66" t="s">
        <v>907</v>
      </c>
      <c r="C2010" s="67"/>
      <c r="D2010" s="103"/>
      <c r="E2010" s="111">
        <f>G1999+G2007+G2008+G2009</f>
        <v>3825.87280167908</v>
      </c>
      <c r="F2010" s="118">
        <f>费率表!$B$19</f>
        <v>0.03</v>
      </c>
      <c r="G2010" s="113">
        <f t="shared" si="183"/>
        <v>114.776184050372</v>
      </c>
      <c r="S2010" s="196"/>
      <c r="T2010" s="196"/>
      <c r="U2010" s="196"/>
      <c r="V2010" s="196"/>
      <c r="W2010" s="196"/>
      <c r="X2010" s="196"/>
      <c r="Y2010" s="196"/>
      <c r="Z2010" s="196"/>
      <c r="AA2010" s="196"/>
      <c r="AB2010" s="196"/>
      <c r="AC2010" s="196"/>
      <c r="AD2010" s="196"/>
      <c r="AE2010" s="197"/>
      <c r="AF2010" s="197"/>
      <c r="AG2010" s="197"/>
      <c r="AH2010" s="197"/>
    </row>
    <row r="2011" customHeight="1" spans="1:34">
      <c r="A2011" s="119"/>
      <c r="B2011" s="283" t="s">
        <v>39</v>
      </c>
      <c r="C2011" s="284"/>
      <c r="D2011" s="120"/>
      <c r="E2011" s="121"/>
      <c r="F2011" s="120"/>
      <c r="G2011" s="122">
        <f>G1999+G2007+G2008+G2009+G2010</f>
        <v>3940.64898572945</v>
      </c>
      <c r="S2011" s="196"/>
      <c r="T2011" s="196"/>
      <c r="U2011" s="196"/>
      <c r="V2011" s="196"/>
      <c r="W2011" s="196"/>
      <c r="X2011" s="196"/>
      <c r="Y2011" s="196"/>
      <c r="Z2011" s="196"/>
      <c r="AA2011" s="196"/>
      <c r="AB2011" s="196"/>
      <c r="AC2011" s="196"/>
      <c r="AD2011" s="196"/>
      <c r="AE2011" s="197"/>
      <c r="AF2011" s="197"/>
      <c r="AG2011" s="197"/>
      <c r="AH2011" s="197"/>
    </row>
    <row r="2012" customHeight="1" spans="1:34">
      <c r="S2012" s="196"/>
      <c r="T2012" s="196"/>
      <c r="U2012" s="196"/>
      <c r="V2012" s="196"/>
      <c r="W2012" s="196"/>
      <c r="X2012" s="196"/>
      <c r="Y2012" s="196"/>
      <c r="Z2012" s="196"/>
      <c r="AA2012" s="196"/>
      <c r="AB2012" s="196"/>
      <c r="AC2012" s="196"/>
      <c r="AD2012" s="196"/>
      <c r="AE2012" s="197"/>
      <c r="AF2012" s="197"/>
      <c r="AG2012" s="197"/>
      <c r="AH2012" s="197"/>
    </row>
    <row r="2013" customHeight="1" spans="1:34">
      <c r="A2013" s="164" t="s">
        <v>868</v>
      </c>
      <c r="B2013" s="164"/>
      <c r="C2013" s="164"/>
      <c r="D2013" s="164"/>
      <c r="E2013" s="164"/>
      <c r="F2013" s="164"/>
      <c r="G2013" s="164"/>
      <c r="S2013" s="196"/>
      <c r="T2013" s="196"/>
      <c r="U2013" s="196"/>
      <c r="V2013" s="196"/>
      <c r="W2013" s="196"/>
      <c r="X2013" s="196"/>
      <c r="Y2013" s="196"/>
      <c r="Z2013" s="196"/>
      <c r="AA2013" s="196"/>
      <c r="AB2013" s="196"/>
      <c r="AC2013" s="196"/>
      <c r="AD2013" s="196"/>
      <c r="AE2013" s="197"/>
      <c r="AF2013" s="197"/>
      <c r="AG2013" s="197"/>
      <c r="AH2013" s="197"/>
    </row>
    <row r="2014" customHeight="1" spans="1:34">
      <c r="A2014" s="268" t="s">
        <v>869</v>
      </c>
      <c r="B2014" s="269"/>
      <c r="C2014" s="96"/>
      <c r="D2014" s="96" t="s">
        <v>870</v>
      </c>
      <c r="E2014" s="270" t="s">
        <v>1545</v>
      </c>
      <c r="F2014" s="271"/>
      <c r="G2014" s="272"/>
      <c r="S2014" s="196"/>
      <c r="T2014" s="196"/>
      <c r="U2014" s="196"/>
      <c r="V2014" s="196"/>
      <c r="W2014" s="196"/>
      <c r="X2014" s="196"/>
      <c r="Y2014" s="196"/>
      <c r="Z2014" s="196"/>
      <c r="AA2014" s="196"/>
      <c r="AB2014" s="196"/>
      <c r="AC2014" s="196"/>
      <c r="AD2014" s="196"/>
      <c r="AE2014" s="197"/>
      <c r="AF2014" s="197"/>
      <c r="AG2014" s="197"/>
      <c r="AH2014" s="197"/>
    </row>
    <row r="2015" customHeight="1" spans="1:34">
      <c r="A2015" s="273" t="s">
        <v>507</v>
      </c>
      <c r="B2015" s="274"/>
      <c r="C2015" s="275" t="s">
        <v>1546</v>
      </c>
      <c r="D2015" s="276"/>
      <c r="E2015" s="277"/>
      <c r="F2015" s="103" t="s">
        <v>873</v>
      </c>
      <c r="G2015" s="104" t="s">
        <v>67</v>
      </c>
      <c r="S2015" s="196"/>
      <c r="T2015" s="196"/>
      <c r="U2015" s="196"/>
      <c r="V2015" s="196"/>
      <c r="W2015" s="196"/>
      <c r="X2015" s="196"/>
      <c r="Y2015" s="196"/>
      <c r="Z2015" s="196"/>
      <c r="AA2015" s="196"/>
      <c r="AB2015" s="196"/>
      <c r="AC2015" s="196"/>
      <c r="AD2015" s="196"/>
      <c r="AE2015" s="197"/>
      <c r="AF2015" s="197"/>
      <c r="AG2015" s="197"/>
      <c r="AH2015" s="197"/>
    </row>
    <row r="2016" customHeight="1" spans="1:34">
      <c r="A2016" s="107" t="s">
        <v>875</v>
      </c>
      <c r="B2016" s="108"/>
      <c r="C2016" s="108"/>
      <c r="D2016" s="108"/>
      <c r="E2016" s="108"/>
      <c r="F2016" s="108"/>
      <c r="G2016" s="278"/>
      <c r="S2016" s="196"/>
      <c r="T2016" s="196"/>
      <c r="U2016" s="196"/>
      <c r="V2016" s="196"/>
      <c r="W2016" s="196"/>
      <c r="X2016" s="196"/>
      <c r="Y2016" s="196"/>
      <c r="Z2016" s="196"/>
      <c r="AA2016" s="196"/>
      <c r="AB2016" s="196"/>
      <c r="AC2016" s="196"/>
      <c r="AD2016" s="196"/>
      <c r="AE2016" s="197"/>
      <c r="AF2016" s="197"/>
      <c r="AG2016" s="197"/>
      <c r="AH2016" s="197"/>
    </row>
    <row r="2017" customHeight="1" spans="1:34">
      <c r="A2017" s="107" t="s">
        <v>1547</v>
      </c>
      <c r="B2017" s="108"/>
      <c r="C2017" s="108"/>
      <c r="D2017" s="108"/>
      <c r="E2017" s="108"/>
      <c r="F2017" s="108"/>
      <c r="G2017" s="278"/>
      <c r="S2017" s="196"/>
      <c r="T2017" s="196"/>
      <c r="U2017" s="196"/>
      <c r="V2017" s="196"/>
      <c r="W2017" s="196"/>
      <c r="X2017" s="196"/>
      <c r="Y2017" s="196"/>
      <c r="Z2017" s="196"/>
      <c r="AA2017" s="196"/>
      <c r="AB2017" s="196"/>
      <c r="AC2017" s="196"/>
      <c r="AD2017" s="196"/>
      <c r="AE2017" s="197"/>
      <c r="AF2017" s="197"/>
      <c r="AG2017" s="197"/>
      <c r="AH2017" s="197"/>
    </row>
    <row r="2018" customHeight="1" spans="1:34">
      <c r="A2018" s="100" t="s">
        <v>34</v>
      </c>
      <c r="B2018" s="279" t="s">
        <v>761</v>
      </c>
      <c r="C2018" s="280"/>
      <c r="D2018" s="103" t="s">
        <v>60</v>
      </c>
      <c r="E2018" s="111" t="s">
        <v>877</v>
      </c>
      <c r="F2018" s="103" t="s">
        <v>878</v>
      </c>
      <c r="G2018" s="104" t="s">
        <v>879</v>
      </c>
      <c r="S2018" s="196"/>
      <c r="T2018" s="196"/>
      <c r="U2018" s="196"/>
      <c r="V2018" s="196"/>
      <c r="W2018" s="196"/>
      <c r="X2018" s="196"/>
      <c r="Y2018" s="196"/>
      <c r="Z2018" s="196"/>
      <c r="AA2018" s="196"/>
      <c r="AB2018" s="196"/>
      <c r="AC2018" s="196"/>
      <c r="AD2018" s="196"/>
      <c r="AE2018" s="197"/>
      <c r="AF2018" s="197"/>
      <c r="AG2018" s="197"/>
      <c r="AH2018" s="197"/>
    </row>
    <row r="2019" customHeight="1" spans="1:34">
      <c r="A2019" s="100" t="s">
        <v>8</v>
      </c>
      <c r="B2019" s="66" t="s">
        <v>880</v>
      </c>
      <c r="C2019" s="67"/>
      <c r="D2019" s="103"/>
      <c r="E2019" s="111"/>
      <c r="F2019" s="111"/>
      <c r="G2019" s="113">
        <f>G2020+G2030</f>
        <v>73.6115069</v>
      </c>
      <c r="S2019" s="196"/>
      <c r="T2019" s="196"/>
      <c r="U2019" s="196"/>
      <c r="V2019" s="196"/>
      <c r="W2019" s="196"/>
      <c r="X2019" s="196"/>
      <c r="Y2019" s="196"/>
      <c r="Z2019" s="196"/>
      <c r="AA2019" s="196"/>
      <c r="AB2019" s="196"/>
      <c r="AC2019" s="196"/>
      <c r="AD2019" s="196"/>
      <c r="AE2019" s="197"/>
      <c r="AF2019" s="197"/>
      <c r="AG2019" s="197"/>
      <c r="AH2019" s="197"/>
    </row>
    <row r="2020" customHeight="1" spans="1:34">
      <c r="A2020" s="100" t="s">
        <v>881</v>
      </c>
      <c r="B2020" s="66" t="s">
        <v>882</v>
      </c>
      <c r="C2020" s="67"/>
      <c r="D2020" s="103"/>
      <c r="E2020" s="111"/>
      <c r="F2020" s="111"/>
      <c r="G2020" s="113">
        <f>G2021+G2024</f>
        <v>70.2399875</v>
      </c>
      <c r="S2020" s="196"/>
      <c r="T2020" s="196"/>
      <c r="U2020" s="196"/>
      <c r="V2020" s="196"/>
      <c r="W2020" s="196"/>
      <c r="X2020" s="196"/>
      <c r="Y2020" s="196"/>
      <c r="Z2020" s="196"/>
      <c r="AA2020" s="196"/>
      <c r="AB2020" s="196"/>
      <c r="AC2020" s="196"/>
      <c r="AD2020" s="196"/>
      <c r="AE2020" s="197"/>
      <c r="AF2020" s="197"/>
      <c r="AG2020" s="197"/>
      <c r="AH2020" s="197"/>
    </row>
    <row r="2021" customHeight="1" spans="1:34">
      <c r="A2021" s="100" t="s">
        <v>17</v>
      </c>
      <c r="B2021" s="66" t="s">
        <v>510</v>
      </c>
      <c r="C2021" s="67"/>
      <c r="D2021" s="103"/>
      <c r="E2021" s="111"/>
      <c r="F2021" s="111"/>
      <c r="G2021" s="113">
        <f>SUM(G2022:G2023)</f>
        <v>7.046</v>
      </c>
      <c r="S2021" s="196"/>
      <c r="T2021" s="196"/>
      <c r="U2021" s="196"/>
      <c r="V2021" s="196"/>
      <c r="W2021" s="196"/>
      <c r="X2021" s="196"/>
      <c r="Y2021" s="196"/>
      <c r="Z2021" s="196"/>
      <c r="AA2021" s="196"/>
      <c r="AB2021" s="196"/>
      <c r="AC2021" s="196"/>
      <c r="AD2021" s="196"/>
      <c r="AE2021" s="197"/>
      <c r="AF2021" s="197"/>
      <c r="AG2021" s="197"/>
      <c r="AH2021" s="197"/>
    </row>
    <row r="2022" customHeight="1" spans="1:34">
      <c r="A2022" s="100"/>
      <c r="B2022" s="66" t="s">
        <v>704</v>
      </c>
      <c r="C2022" s="67"/>
      <c r="D2022" s="103" t="s">
        <v>705</v>
      </c>
      <c r="E2022" s="111">
        <v>0.3</v>
      </c>
      <c r="F2022" s="111">
        <f>主要材料预算!$D$19</f>
        <v>8.1</v>
      </c>
      <c r="G2022" s="113">
        <f t="shared" ref="G2022:G2028" si="184">E2022*F2022</f>
        <v>2.43</v>
      </c>
      <c r="S2022" s="196"/>
      <c r="T2022" s="196"/>
      <c r="U2022" s="196"/>
      <c r="V2022" s="196"/>
      <c r="W2022" s="196"/>
      <c r="X2022" s="196"/>
      <c r="Y2022" s="196"/>
      <c r="Z2022" s="196"/>
      <c r="AA2022" s="196"/>
      <c r="AB2022" s="196"/>
      <c r="AC2022" s="196"/>
      <c r="AD2022" s="196"/>
      <c r="AE2022" s="197"/>
      <c r="AF2022" s="197"/>
      <c r="AG2022" s="197"/>
      <c r="AH2022" s="197"/>
    </row>
    <row r="2023" customHeight="1" spans="1:34">
      <c r="A2023" s="100"/>
      <c r="B2023" s="66" t="s">
        <v>706</v>
      </c>
      <c r="C2023" s="67"/>
      <c r="D2023" s="103" t="s">
        <v>705</v>
      </c>
      <c r="E2023" s="111">
        <v>0.8</v>
      </c>
      <c r="F2023" s="111">
        <f>主要材料预算!$D$20</f>
        <v>5.77</v>
      </c>
      <c r="G2023" s="113">
        <f t="shared" si="184"/>
        <v>4.616</v>
      </c>
      <c r="S2023" s="196"/>
      <c r="T2023" s="196"/>
      <c r="U2023" s="196"/>
      <c r="V2023" s="196"/>
      <c r="W2023" s="196"/>
      <c r="X2023" s="196"/>
      <c r="Y2023" s="196"/>
      <c r="Z2023" s="196"/>
      <c r="AA2023" s="196"/>
      <c r="AB2023" s="196"/>
      <c r="AC2023" s="196"/>
      <c r="AD2023" s="196"/>
      <c r="AE2023" s="197"/>
      <c r="AF2023" s="197"/>
      <c r="AG2023" s="197"/>
      <c r="AH2023" s="197"/>
    </row>
    <row r="2024" customHeight="1" spans="1:34">
      <c r="A2024" s="100" t="s">
        <v>19</v>
      </c>
      <c r="B2024" s="66" t="s">
        <v>511</v>
      </c>
      <c r="C2024" s="67"/>
      <c r="D2024" s="103"/>
      <c r="E2024" s="111"/>
      <c r="F2024" s="111"/>
      <c r="G2024" s="113">
        <f>SUM(G2025:G2029)</f>
        <v>63.1939875</v>
      </c>
      <c r="S2024" s="196"/>
      <c r="T2024" s="196"/>
      <c r="U2024" s="196"/>
      <c r="V2024" s="196"/>
      <c r="W2024" s="196"/>
      <c r="X2024" s="196"/>
      <c r="Y2024" s="196"/>
      <c r="Z2024" s="196"/>
      <c r="AA2024" s="196"/>
      <c r="AB2024" s="196"/>
      <c r="AC2024" s="196"/>
      <c r="AD2024" s="196"/>
      <c r="AE2024" s="197"/>
      <c r="AF2024" s="197"/>
      <c r="AG2024" s="197"/>
      <c r="AH2024" s="197"/>
    </row>
    <row r="2025" customHeight="1" spans="1:34">
      <c r="A2025" s="100"/>
      <c r="B2025" s="66" t="s">
        <v>1548</v>
      </c>
      <c r="C2025" s="67"/>
      <c r="D2025" s="103" t="s">
        <v>70</v>
      </c>
      <c r="E2025" s="111">
        <v>0.0044</v>
      </c>
      <c r="F2025" s="111">
        <f>基础材料!$D$48</f>
        <v>1788</v>
      </c>
      <c r="G2025" s="113">
        <f t="shared" si="184"/>
        <v>7.8672</v>
      </c>
      <c r="S2025" s="196"/>
      <c r="T2025" s="196"/>
      <c r="U2025" s="196"/>
      <c r="V2025" s="196"/>
      <c r="W2025" s="196"/>
      <c r="X2025" s="196"/>
      <c r="Y2025" s="196"/>
      <c r="Z2025" s="196"/>
      <c r="AA2025" s="196"/>
      <c r="AB2025" s="196"/>
      <c r="AC2025" s="196"/>
      <c r="AD2025" s="196"/>
      <c r="AE2025" s="197"/>
      <c r="AF2025" s="197"/>
      <c r="AG2025" s="197"/>
      <c r="AH2025" s="197"/>
    </row>
    <row r="2026" customHeight="1" spans="1:34">
      <c r="A2026" s="100"/>
      <c r="B2026" s="66" t="s">
        <v>913</v>
      </c>
      <c r="C2026" s="67"/>
      <c r="D2026" s="103" t="s">
        <v>1142</v>
      </c>
      <c r="E2026" s="111">
        <v>0.39</v>
      </c>
      <c r="F2026" s="111">
        <f>基础材料!$D$3</f>
        <v>4.04</v>
      </c>
      <c r="G2026" s="113">
        <f t="shared" si="184"/>
        <v>1.5756</v>
      </c>
      <c r="S2026" s="196"/>
      <c r="T2026" s="196"/>
      <c r="U2026" s="196"/>
      <c r="V2026" s="196"/>
      <c r="W2026" s="196"/>
      <c r="X2026" s="196"/>
      <c r="Y2026" s="196"/>
      <c r="Z2026" s="196"/>
      <c r="AA2026" s="196"/>
      <c r="AB2026" s="196"/>
      <c r="AC2026" s="196"/>
      <c r="AD2026" s="196"/>
      <c r="AE2026" s="197"/>
      <c r="AF2026" s="197"/>
      <c r="AG2026" s="197"/>
      <c r="AH2026" s="197"/>
    </row>
    <row r="2027" customHeight="1" spans="1:34">
      <c r="A2027" s="100"/>
      <c r="B2027" s="66" t="s">
        <v>1549</v>
      </c>
      <c r="C2027" s="67"/>
      <c r="D2027" s="103" t="s">
        <v>1142</v>
      </c>
      <c r="E2027" s="111">
        <v>0.0781</v>
      </c>
      <c r="F2027" s="111">
        <f>基础材料!$H$13</f>
        <v>9.5</v>
      </c>
      <c r="G2027" s="113">
        <f t="shared" si="184"/>
        <v>0.74195</v>
      </c>
      <c r="S2027" s="196"/>
      <c r="T2027" s="196"/>
      <c r="U2027" s="196"/>
      <c r="V2027" s="196"/>
      <c r="W2027" s="196"/>
      <c r="X2027" s="196"/>
      <c r="Y2027" s="196"/>
      <c r="Z2027" s="196"/>
      <c r="AA2027" s="196"/>
      <c r="AB2027" s="196"/>
      <c r="AC2027" s="196"/>
      <c r="AD2027" s="196"/>
      <c r="AE2027" s="197"/>
      <c r="AF2027" s="197"/>
      <c r="AG2027" s="197"/>
      <c r="AH2027" s="197"/>
    </row>
    <row r="2028" customHeight="1" spans="1:34">
      <c r="A2028" s="100"/>
      <c r="B2028" s="66" t="s">
        <v>1550</v>
      </c>
      <c r="C2028" s="67"/>
      <c r="D2028" s="103" t="s">
        <v>1480</v>
      </c>
      <c r="E2028" s="111">
        <v>1</v>
      </c>
      <c r="F2028" s="111">
        <f>基础材料!$H$14</f>
        <v>50</v>
      </c>
      <c r="G2028" s="113">
        <f t="shared" si="184"/>
        <v>50</v>
      </c>
      <c r="S2028" s="196"/>
      <c r="T2028" s="196"/>
      <c r="U2028" s="196"/>
      <c r="V2028" s="196"/>
      <c r="W2028" s="196"/>
      <c r="X2028" s="196"/>
      <c r="Y2028" s="196"/>
      <c r="Z2028" s="196"/>
      <c r="AA2028" s="196"/>
      <c r="AB2028" s="196"/>
      <c r="AC2028" s="196"/>
      <c r="AD2028" s="196"/>
      <c r="AE2028" s="197"/>
      <c r="AF2028" s="197"/>
      <c r="AG2028" s="197"/>
      <c r="AH2028" s="197"/>
    </row>
    <row r="2029" customHeight="1" spans="1:34">
      <c r="A2029" s="100"/>
      <c r="B2029" s="66" t="s">
        <v>893</v>
      </c>
      <c r="C2029" s="67"/>
      <c r="D2029" s="103" t="s">
        <v>894</v>
      </c>
      <c r="E2029" s="111">
        <f>SUM(G2025:G2028)</f>
        <v>60.18475</v>
      </c>
      <c r="F2029" s="111">
        <v>5</v>
      </c>
      <c r="G2029" s="113">
        <f>E2029*F2029/100</f>
        <v>3.0092375</v>
      </c>
      <c r="S2029" s="196"/>
      <c r="T2029" s="196"/>
      <c r="U2029" s="196"/>
      <c r="V2029" s="196"/>
      <c r="W2029" s="196"/>
      <c r="X2029" s="196"/>
      <c r="Y2029" s="196"/>
      <c r="Z2029" s="196"/>
      <c r="AA2029" s="196"/>
      <c r="AB2029" s="196"/>
      <c r="AC2029" s="196"/>
      <c r="AD2029" s="196"/>
      <c r="AE2029" s="197"/>
      <c r="AF2029" s="197"/>
      <c r="AG2029" s="197"/>
      <c r="AH2029" s="197"/>
    </row>
    <row r="2030" customHeight="1" spans="1:34">
      <c r="A2030" s="100" t="s">
        <v>905</v>
      </c>
      <c r="B2030" s="66" t="s">
        <v>514</v>
      </c>
      <c r="C2030" s="67"/>
      <c r="D2030" s="103"/>
      <c r="E2030" s="116">
        <f>G2020</f>
        <v>70.2399875</v>
      </c>
      <c r="F2030" s="117">
        <f>费率表!$J$4</f>
        <v>0.048</v>
      </c>
      <c r="G2030" s="113">
        <f t="shared" ref="G2030:G2034" si="185">E2030*F2030</f>
        <v>3.3715194</v>
      </c>
      <c r="S2030" s="196"/>
      <c r="T2030" s="196"/>
      <c r="U2030" s="196"/>
      <c r="V2030" s="196"/>
      <c r="W2030" s="196"/>
      <c r="X2030" s="196"/>
      <c r="Y2030" s="196"/>
      <c r="Z2030" s="196"/>
      <c r="AA2030" s="196"/>
      <c r="AB2030" s="196"/>
      <c r="AC2030" s="196"/>
      <c r="AD2030" s="196"/>
      <c r="AE2030" s="197"/>
      <c r="AF2030" s="197"/>
      <c r="AG2030" s="197"/>
      <c r="AH2030" s="197"/>
    </row>
    <row r="2031" customHeight="1" spans="1:34">
      <c r="A2031" s="100" t="s">
        <v>10</v>
      </c>
      <c r="B2031" s="66" t="s">
        <v>770</v>
      </c>
      <c r="C2031" s="67"/>
      <c r="D2031" s="103"/>
      <c r="E2031" s="111">
        <f>G2019</f>
        <v>73.6115069</v>
      </c>
      <c r="F2031" s="118">
        <f>费率表!$J$5</f>
        <v>0.075</v>
      </c>
      <c r="G2031" s="113">
        <f t="shared" si="185"/>
        <v>5.5208630175</v>
      </c>
      <c r="S2031" s="196"/>
      <c r="T2031" s="196"/>
      <c r="U2031" s="196"/>
      <c r="V2031" s="196"/>
      <c r="W2031" s="196"/>
      <c r="X2031" s="196"/>
      <c r="Y2031" s="196"/>
      <c r="Z2031" s="196"/>
      <c r="AA2031" s="196"/>
      <c r="AB2031" s="196"/>
      <c r="AC2031" s="196"/>
      <c r="AD2031" s="196"/>
      <c r="AE2031" s="197"/>
      <c r="AF2031" s="197"/>
      <c r="AG2031" s="197"/>
      <c r="AH2031" s="197"/>
    </row>
    <row r="2032" customHeight="1" spans="1:34">
      <c r="A2032" s="100" t="s">
        <v>12</v>
      </c>
      <c r="B2032" s="66" t="s">
        <v>771</v>
      </c>
      <c r="C2032" s="67"/>
      <c r="D2032" s="103"/>
      <c r="E2032" s="111">
        <f>G2019+G2031</f>
        <v>79.1323699175</v>
      </c>
      <c r="F2032" s="118">
        <f>费率表!$J$6</f>
        <v>0.07</v>
      </c>
      <c r="G2032" s="113">
        <f t="shared" si="185"/>
        <v>5.539265894225</v>
      </c>
      <c r="S2032" s="196"/>
      <c r="T2032" s="196"/>
      <c r="U2032" s="196"/>
      <c r="V2032" s="196"/>
      <c r="W2032" s="196"/>
      <c r="X2032" s="196"/>
      <c r="Y2032" s="196"/>
      <c r="Z2032" s="196"/>
      <c r="AA2032" s="196"/>
      <c r="AB2032" s="196"/>
      <c r="AC2032" s="196"/>
      <c r="AD2032" s="196"/>
      <c r="AE2032" s="197"/>
      <c r="AF2032" s="197"/>
      <c r="AG2032" s="197"/>
      <c r="AH2032" s="197"/>
    </row>
    <row r="2033" customHeight="1" spans="1:34">
      <c r="A2033" s="100" t="s">
        <v>15</v>
      </c>
      <c r="B2033" s="66" t="s">
        <v>772</v>
      </c>
      <c r="C2033" s="67"/>
      <c r="D2033" s="103"/>
      <c r="E2033" s="111">
        <f>G2019+G2031+G2032</f>
        <v>84.671635811725</v>
      </c>
      <c r="F2033" s="118">
        <f>费率表!$J$7</f>
        <v>0.09</v>
      </c>
      <c r="G2033" s="113">
        <f t="shared" si="185"/>
        <v>7.62044722305525</v>
      </c>
      <c r="S2033" s="196"/>
      <c r="T2033" s="196"/>
      <c r="U2033" s="196"/>
      <c r="V2033" s="196"/>
      <c r="W2033" s="196"/>
      <c r="X2033" s="196"/>
      <c r="Y2033" s="196"/>
      <c r="Z2033" s="196"/>
      <c r="AA2033" s="196"/>
      <c r="AB2033" s="196"/>
      <c r="AC2033" s="196"/>
      <c r="AD2033" s="196"/>
      <c r="AE2033" s="197"/>
      <c r="AF2033" s="197"/>
      <c r="AG2033" s="197"/>
      <c r="AH2033" s="197"/>
    </row>
    <row r="2034" customHeight="1" spans="1:34">
      <c r="A2034" s="100"/>
      <c r="B2034" s="66" t="s">
        <v>907</v>
      </c>
      <c r="C2034" s="67"/>
      <c r="D2034" s="103"/>
      <c r="E2034" s="111">
        <f>G2019+G2031+G2032+G2033</f>
        <v>92.2920830347802</v>
      </c>
      <c r="F2034" s="118">
        <f>费率表!$B$19</f>
        <v>0.03</v>
      </c>
      <c r="G2034" s="113">
        <f t="shared" si="185"/>
        <v>2.76876249104341</v>
      </c>
      <c r="S2034" s="196"/>
      <c r="T2034" s="196"/>
      <c r="U2034" s="196"/>
      <c r="V2034" s="196"/>
      <c r="W2034" s="196"/>
      <c r="X2034" s="196"/>
      <c r="Y2034" s="196"/>
      <c r="Z2034" s="196"/>
      <c r="AA2034" s="196"/>
      <c r="AB2034" s="196"/>
      <c r="AC2034" s="196"/>
      <c r="AD2034" s="196"/>
      <c r="AE2034" s="197"/>
      <c r="AF2034" s="197"/>
      <c r="AG2034" s="197"/>
      <c r="AH2034" s="197"/>
    </row>
    <row r="2035" customHeight="1" spans="1:34">
      <c r="A2035" s="119"/>
      <c r="B2035" s="283" t="s">
        <v>39</v>
      </c>
      <c r="C2035" s="284"/>
      <c r="D2035" s="120"/>
      <c r="E2035" s="121"/>
      <c r="F2035" s="120"/>
      <c r="G2035" s="122">
        <f>G2019+G2031+G2032+G2033+G2034</f>
        <v>95.0608455258237</v>
      </c>
      <c r="S2035" s="196"/>
      <c r="T2035" s="196"/>
      <c r="U2035" s="196"/>
      <c r="V2035" s="196"/>
      <c r="W2035" s="196"/>
      <c r="X2035" s="196"/>
      <c r="Y2035" s="196"/>
      <c r="Z2035" s="196"/>
      <c r="AA2035" s="196"/>
      <c r="AB2035" s="196"/>
      <c r="AC2035" s="196"/>
      <c r="AD2035" s="196"/>
      <c r="AE2035" s="197"/>
      <c r="AF2035" s="197"/>
      <c r="AG2035" s="197"/>
      <c r="AH2035" s="197"/>
    </row>
    <row r="2036" customHeight="1" spans="1:34">
      <c r="S2036" s="196"/>
      <c r="T2036" s="196"/>
      <c r="U2036" s="196"/>
      <c r="V2036" s="196"/>
      <c r="W2036" s="196"/>
      <c r="X2036" s="196"/>
      <c r="Y2036" s="196"/>
      <c r="Z2036" s="196"/>
      <c r="AA2036" s="196"/>
      <c r="AB2036" s="196"/>
      <c r="AC2036" s="196"/>
      <c r="AD2036" s="196"/>
      <c r="AE2036" s="197"/>
      <c r="AF2036" s="197"/>
      <c r="AG2036" s="197"/>
      <c r="AH2036" s="197"/>
    </row>
    <row r="2037" customHeight="1" spans="1:34">
      <c r="S2037" s="196"/>
      <c r="T2037" s="196"/>
      <c r="U2037" s="196"/>
      <c r="V2037" s="196"/>
      <c r="W2037" s="196"/>
      <c r="X2037" s="196"/>
      <c r="Y2037" s="196"/>
      <c r="Z2037" s="196"/>
      <c r="AA2037" s="196"/>
      <c r="AB2037" s="196"/>
      <c r="AC2037" s="196"/>
      <c r="AD2037" s="196"/>
      <c r="AE2037" s="197"/>
      <c r="AF2037" s="197"/>
      <c r="AG2037" s="197"/>
      <c r="AH2037" s="197"/>
    </row>
    <row r="2038" customHeight="1" spans="1:34">
      <c r="S2038" s="196"/>
      <c r="T2038" s="196"/>
      <c r="U2038" s="196"/>
      <c r="V2038" s="196"/>
      <c r="W2038" s="196"/>
      <c r="X2038" s="196"/>
      <c r="Y2038" s="196"/>
      <c r="Z2038" s="196"/>
      <c r="AA2038" s="196"/>
      <c r="AB2038" s="196"/>
      <c r="AC2038" s="196"/>
      <c r="AD2038" s="196"/>
      <c r="AE2038" s="197"/>
      <c r="AF2038" s="197"/>
      <c r="AG2038" s="197"/>
      <c r="AH2038" s="197"/>
    </row>
    <row r="2039" customHeight="1" spans="1:34">
      <c r="S2039" s="196"/>
      <c r="T2039" s="196"/>
      <c r="U2039" s="196"/>
      <c r="V2039" s="196"/>
      <c r="W2039" s="196"/>
      <c r="X2039" s="196"/>
      <c r="Y2039" s="196"/>
      <c r="Z2039" s="196"/>
      <c r="AA2039" s="196"/>
      <c r="AB2039" s="196"/>
      <c r="AC2039" s="196"/>
      <c r="AD2039" s="196"/>
      <c r="AE2039" s="197"/>
      <c r="AF2039" s="197"/>
      <c r="AG2039" s="197"/>
      <c r="AH2039" s="197"/>
    </row>
    <row r="2040" customHeight="1" spans="1:34">
      <c r="S2040" s="196"/>
      <c r="T2040" s="196"/>
      <c r="U2040" s="196"/>
      <c r="V2040" s="196"/>
      <c r="W2040" s="196"/>
      <c r="X2040" s="196"/>
      <c r="Y2040" s="196"/>
      <c r="Z2040" s="196"/>
      <c r="AA2040" s="196"/>
      <c r="AB2040" s="196"/>
      <c r="AC2040" s="196"/>
      <c r="AD2040" s="196"/>
      <c r="AE2040" s="197"/>
      <c r="AF2040" s="197"/>
      <c r="AG2040" s="197"/>
      <c r="AH2040" s="197"/>
    </row>
    <row r="2041" customHeight="1" spans="1:34">
      <c r="S2041" s="196"/>
      <c r="T2041" s="196"/>
      <c r="U2041" s="196"/>
      <c r="V2041" s="196"/>
      <c r="W2041" s="196"/>
      <c r="X2041" s="196"/>
      <c r="Y2041" s="196"/>
      <c r="Z2041" s="196"/>
      <c r="AA2041" s="196"/>
      <c r="AB2041" s="196"/>
      <c r="AC2041" s="196"/>
      <c r="AD2041" s="196"/>
      <c r="AE2041" s="197"/>
      <c r="AF2041" s="197"/>
      <c r="AG2041" s="197"/>
      <c r="AH2041" s="197"/>
    </row>
    <row r="2042" customHeight="1" spans="1:34">
      <c r="A2042" s="164" t="s">
        <v>868</v>
      </c>
      <c r="B2042" s="164"/>
      <c r="C2042" s="164"/>
      <c r="D2042" s="164"/>
      <c r="E2042" s="164"/>
      <c r="F2042" s="164"/>
      <c r="G2042" s="164"/>
      <c r="S2042" s="196"/>
      <c r="T2042" s="196"/>
      <c r="U2042" s="196"/>
      <c r="V2042" s="196"/>
      <c r="W2042" s="196"/>
      <c r="X2042" s="196"/>
      <c r="Y2042" s="196"/>
      <c r="Z2042" s="196"/>
      <c r="AA2042" s="196"/>
      <c r="AB2042" s="196"/>
      <c r="AC2042" s="196"/>
      <c r="AD2042" s="196"/>
      <c r="AE2042" s="197"/>
      <c r="AF2042" s="197"/>
      <c r="AG2042" s="197"/>
      <c r="AH2042" s="197"/>
    </row>
    <row r="2043" customHeight="1" spans="1:34">
      <c r="A2043" s="268" t="s">
        <v>869</v>
      </c>
      <c r="B2043" s="269"/>
      <c r="C2043" s="96"/>
      <c r="D2043" s="96" t="s">
        <v>870</v>
      </c>
      <c r="E2043" s="270" t="s">
        <v>1205</v>
      </c>
      <c r="F2043" s="271"/>
      <c r="G2043" s="272"/>
      <c r="S2043" s="196"/>
      <c r="T2043" s="196"/>
      <c r="U2043" s="196"/>
      <c r="V2043" s="196"/>
      <c r="W2043" s="196"/>
      <c r="X2043" s="196"/>
      <c r="Y2043" s="196"/>
      <c r="Z2043" s="196"/>
      <c r="AA2043" s="196"/>
      <c r="AB2043" s="196"/>
      <c r="AC2043" s="196"/>
      <c r="AD2043" s="196"/>
      <c r="AE2043" s="197"/>
      <c r="AF2043" s="197"/>
      <c r="AG2043" s="197"/>
      <c r="AH2043" s="197"/>
    </row>
    <row r="2044" customHeight="1" spans="1:34">
      <c r="A2044" s="273" t="s">
        <v>507</v>
      </c>
      <c r="B2044" s="274"/>
      <c r="C2044" s="275" t="s">
        <v>1551</v>
      </c>
      <c r="D2044" s="276"/>
      <c r="E2044" s="277"/>
      <c r="F2044" s="103" t="s">
        <v>873</v>
      </c>
      <c r="G2044" s="104" t="s">
        <v>1138</v>
      </c>
      <c r="S2044" s="196"/>
      <c r="T2044" s="196"/>
      <c r="U2044" s="196"/>
      <c r="V2044" s="196"/>
      <c r="W2044" s="196"/>
      <c r="X2044" s="196"/>
      <c r="Y2044" s="196"/>
      <c r="Z2044" s="196"/>
      <c r="AA2044" s="196"/>
      <c r="AB2044" s="196"/>
      <c r="AC2044" s="196"/>
      <c r="AD2044" s="196"/>
      <c r="AE2044" s="197"/>
      <c r="AF2044" s="197"/>
      <c r="AG2044" s="197"/>
      <c r="AH2044" s="197"/>
    </row>
    <row r="2045" customHeight="1" spans="1:34">
      <c r="A2045" s="107" t="s">
        <v>875</v>
      </c>
      <c r="B2045" s="108"/>
      <c r="C2045" s="108"/>
      <c r="D2045" s="108"/>
      <c r="E2045" s="108"/>
      <c r="F2045" s="108"/>
      <c r="G2045" s="278"/>
      <c r="S2045" s="196"/>
      <c r="T2045" s="196"/>
      <c r="U2045" s="196"/>
      <c r="V2045" s="196"/>
      <c r="W2045" s="196"/>
      <c r="X2045" s="196"/>
      <c r="Y2045" s="196"/>
      <c r="Z2045" s="196"/>
      <c r="AA2045" s="196"/>
      <c r="AB2045" s="196"/>
      <c r="AC2045" s="196"/>
      <c r="AD2045" s="196"/>
      <c r="AE2045" s="197"/>
      <c r="AF2045" s="197"/>
      <c r="AG2045" s="197"/>
      <c r="AH2045" s="197"/>
    </row>
    <row r="2046" customHeight="1" spans="1:34">
      <c r="A2046" s="107" t="s">
        <v>1552</v>
      </c>
      <c r="B2046" s="108"/>
      <c r="C2046" s="108"/>
      <c r="D2046" s="108"/>
      <c r="E2046" s="108"/>
      <c r="F2046" s="108"/>
      <c r="G2046" s="278"/>
      <c r="S2046" s="196"/>
      <c r="T2046" s="196"/>
      <c r="U2046" s="196"/>
      <c r="V2046" s="196"/>
      <c r="W2046" s="196"/>
      <c r="X2046" s="196"/>
      <c r="Y2046" s="196"/>
      <c r="Z2046" s="196"/>
      <c r="AA2046" s="196"/>
      <c r="AB2046" s="196"/>
      <c r="AC2046" s="196"/>
      <c r="AD2046" s="196"/>
      <c r="AE2046" s="197"/>
      <c r="AF2046" s="197"/>
      <c r="AG2046" s="197"/>
      <c r="AH2046" s="197"/>
    </row>
    <row r="2047" customHeight="1" spans="1:34">
      <c r="A2047" s="100" t="s">
        <v>34</v>
      </c>
      <c r="B2047" s="279" t="s">
        <v>761</v>
      </c>
      <c r="C2047" s="280"/>
      <c r="D2047" s="103" t="s">
        <v>60</v>
      </c>
      <c r="E2047" s="111" t="s">
        <v>877</v>
      </c>
      <c r="F2047" s="103" t="s">
        <v>878</v>
      </c>
      <c r="G2047" s="104" t="s">
        <v>879</v>
      </c>
      <c r="S2047" s="196"/>
      <c r="T2047" s="196"/>
      <c r="U2047" s="196"/>
      <c r="V2047" s="196"/>
      <c r="W2047" s="196"/>
      <c r="X2047" s="196"/>
      <c r="Y2047" s="196"/>
      <c r="Z2047" s="196"/>
      <c r="AA2047" s="196"/>
      <c r="AB2047" s="196"/>
      <c r="AC2047" s="196"/>
      <c r="AD2047" s="196"/>
      <c r="AE2047" s="197"/>
      <c r="AF2047" s="197"/>
      <c r="AG2047" s="197"/>
      <c r="AH2047" s="197"/>
    </row>
    <row r="2048" customHeight="1" spans="1:34">
      <c r="A2048" s="100" t="s">
        <v>8</v>
      </c>
      <c r="B2048" s="66" t="s">
        <v>880</v>
      </c>
      <c r="C2048" s="67"/>
      <c r="D2048" s="103"/>
      <c r="E2048" s="111"/>
      <c r="F2048" s="111"/>
      <c r="G2048" s="113">
        <f>G2049+G2057</f>
        <v>11611.0129184</v>
      </c>
      <c r="S2048" s="196"/>
      <c r="T2048" s="196"/>
      <c r="U2048" s="196"/>
      <c r="V2048" s="196"/>
      <c r="W2048" s="196"/>
      <c r="X2048" s="196"/>
      <c r="Y2048" s="196"/>
      <c r="Z2048" s="196"/>
      <c r="AA2048" s="196"/>
      <c r="AB2048" s="196"/>
      <c r="AC2048" s="196"/>
      <c r="AD2048" s="196"/>
      <c r="AE2048" s="197"/>
      <c r="AF2048" s="197"/>
      <c r="AG2048" s="197"/>
      <c r="AH2048" s="197"/>
    </row>
    <row r="2049" customHeight="1" spans="1:7">
      <c r="A2049" s="100" t="s">
        <v>881</v>
      </c>
      <c r="B2049" s="66" t="s">
        <v>882</v>
      </c>
      <c r="C2049" s="67"/>
      <c r="D2049" s="103"/>
      <c r="E2049" s="111"/>
      <c r="F2049" s="111"/>
      <c r="G2049" s="113">
        <f>G2050+G2053</f>
        <v>11079.2108</v>
      </c>
    </row>
    <row r="2050" customHeight="1" spans="1:7">
      <c r="A2050" s="100" t="s">
        <v>17</v>
      </c>
      <c r="B2050" s="66" t="s">
        <v>510</v>
      </c>
      <c r="C2050" s="67"/>
      <c r="D2050" s="103"/>
      <c r="E2050" s="111"/>
      <c r="F2050" s="111"/>
      <c r="G2050" s="113">
        <f>SUM(G2051:G2052)</f>
        <v>6677.55</v>
      </c>
    </row>
    <row r="2051" customHeight="1" spans="1:7">
      <c r="A2051" s="100"/>
      <c r="B2051" s="66" t="s">
        <v>704</v>
      </c>
      <c r="C2051" s="67"/>
      <c r="D2051" s="103" t="s">
        <v>705</v>
      </c>
      <c r="E2051" s="111">
        <v>23</v>
      </c>
      <c r="F2051" s="111">
        <f>主要材料预算!$D$19</f>
        <v>8.1</v>
      </c>
      <c r="G2051" s="113">
        <f t="shared" ref="G2051:G2055" si="186">E2051*F2051</f>
        <v>186.3</v>
      </c>
    </row>
    <row r="2052" customHeight="1" spans="1:7">
      <c r="A2052" s="100"/>
      <c r="B2052" s="66" t="s">
        <v>706</v>
      </c>
      <c r="C2052" s="67"/>
      <c r="D2052" s="103" t="s">
        <v>705</v>
      </c>
      <c r="E2052" s="114">
        <v>1125</v>
      </c>
      <c r="F2052" s="111">
        <f>主要材料预算!$D$20</f>
        <v>5.77</v>
      </c>
      <c r="G2052" s="113">
        <f t="shared" si="186"/>
        <v>6491.25</v>
      </c>
    </row>
    <row r="2053" customHeight="1" spans="1:7">
      <c r="A2053" s="100" t="s">
        <v>19</v>
      </c>
      <c r="B2053" s="66" t="s">
        <v>511</v>
      </c>
      <c r="C2053" s="67"/>
      <c r="D2053" s="103"/>
      <c r="E2053" s="111"/>
      <c r="F2053" s="111"/>
      <c r="G2053" s="113">
        <f>SUM(G2054:G2056)</f>
        <v>4401.6608</v>
      </c>
    </row>
    <row r="2054" customHeight="1" spans="1:7">
      <c r="A2054" s="100"/>
      <c r="B2054" s="66" t="s">
        <v>1204</v>
      </c>
      <c r="C2054" s="67"/>
      <c r="D2054" s="103" t="s">
        <v>70</v>
      </c>
      <c r="E2054" s="111">
        <v>118</v>
      </c>
      <c r="F2054" s="111">
        <f>基础材料!$D$78</f>
        <v>14.56</v>
      </c>
      <c r="G2054" s="113">
        <f t="shared" si="186"/>
        <v>1718.08</v>
      </c>
    </row>
    <row r="2055" customHeight="1" spans="1:7">
      <c r="A2055" s="100"/>
      <c r="B2055" s="66" t="s">
        <v>1208</v>
      </c>
      <c r="C2055" s="67"/>
      <c r="D2055" s="103" t="s">
        <v>395</v>
      </c>
      <c r="E2055" s="111">
        <v>3300</v>
      </c>
      <c r="F2055" s="111">
        <f>基础材料!$D$28</f>
        <v>0.8</v>
      </c>
      <c r="G2055" s="113">
        <f t="shared" si="186"/>
        <v>2640</v>
      </c>
    </row>
    <row r="2056" customHeight="1" spans="1:7">
      <c r="A2056" s="100"/>
      <c r="B2056" s="66" t="s">
        <v>893</v>
      </c>
      <c r="C2056" s="67"/>
      <c r="D2056" s="103" t="s">
        <v>894</v>
      </c>
      <c r="E2056" s="111">
        <f>SUM(G2054:G2055)</f>
        <v>4358.08</v>
      </c>
      <c r="F2056" s="111">
        <v>1</v>
      </c>
      <c r="G2056" s="113">
        <f>E2056*F2056/100</f>
        <v>43.5808</v>
      </c>
    </row>
    <row r="2057" customHeight="1" spans="1:7">
      <c r="A2057" s="100" t="s">
        <v>905</v>
      </c>
      <c r="B2057" s="66" t="s">
        <v>514</v>
      </c>
      <c r="C2057" s="67"/>
      <c r="D2057" s="103"/>
      <c r="E2057" s="116">
        <f>G2049</f>
        <v>11079.2108</v>
      </c>
      <c r="F2057" s="117">
        <f>费率表!$J$4</f>
        <v>0.048</v>
      </c>
      <c r="G2057" s="113">
        <f t="shared" ref="G2057:G2061" si="187">E2057*F2057</f>
        <v>531.8021184</v>
      </c>
    </row>
    <row r="2058" customHeight="1" spans="1:7">
      <c r="A2058" s="100" t="s">
        <v>10</v>
      </c>
      <c r="B2058" s="66" t="s">
        <v>770</v>
      </c>
      <c r="C2058" s="67"/>
      <c r="D2058" s="103"/>
      <c r="E2058" s="111">
        <f>G2048</f>
        <v>11611.0129184</v>
      </c>
      <c r="F2058" s="118">
        <f>费率表!$J$5</f>
        <v>0.075</v>
      </c>
      <c r="G2058" s="113">
        <f t="shared" si="187"/>
        <v>870.82596888</v>
      </c>
    </row>
    <row r="2059" customHeight="1" spans="1:7">
      <c r="A2059" s="100" t="s">
        <v>12</v>
      </c>
      <c r="B2059" s="66" t="s">
        <v>771</v>
      </c>
      <c r="C2059" s="67"/>
      <c r="D2059" s="103"/>
      <c r="E2059" s="111">
        <f>G2048+G2058</f>
        <v>12481.83888728</v>
      </c>
      <c r="F2059" s="118">
        <f>费率表!$J$6</f>
        <v>0.07</v>
      </c>
      <c r="G2059" s="113">
        <f t="shared" si="187"/>
        <v>873.7287221096</v>
      </c>
    </row>
    <row r="2060" customHeight="1" spans="1:7">
      <c r="A2060" s="100" t="s">
        <v>15</v>
      </c>
      <c r="B2060" s="66" t="s">
        <v>772</v>
      </c>
      <c r="C2060" s="67"/>
      <c r="D2060" s="103"/>
      <c r="E2060" s="111">
        <f>G2048+G2058+G2059</f>
        <v>13355.5676093896</v>
      </c>
      <c r="F2060" s="118">
        <f>费率表!$J$7</f>
        <v>0.09</v>
      </c>
      <c r="G2060" s="113">
        <f t="shared" si="187"/>
        <v>1202.00108484506</v>
      </c>
    </row>
    <row r="2061" customHeight="1" spans="1:7">
      <c r="A2061" s="100"/>
      <c r="B2061" s="66" t="s">
        <v>907</v>
      </c>
      <c r="C2061" s="67"/>
      <c r="D2061" s="103"/>
      <c r="E2061" s="111">
        <f>G2048+G2058+G2059+G2060</f>
        <v>14557.5686942347</v>
      </c>
      <c r="F2061" s="118">
        <f>费率表!$B$19</f>
        <v>0.03</v>
      </c>
      <c r="G2061" s="113">
        <f t="shared" si="187"/>
        <v>436.72706082704</v>
      </c>
    </row>
    <row r="2062" customHeight="1" spans="1:7">
      <c r="A2062" s="119"/>
      <c r="B2062" s="283" t="s">
        <v>39</v>
      </c>
      <c r="C2062" s="284"/>
      <c r="D2062" s="120"/>
      <c r="E2062" s="121"/>
      <c r="F2062" s="120"/>
      <c r="G2062" s="122">
        <f>G2048+G2058+G2059+G2060+G2061</f>
        <v>14994.2957550617</v>
      </c>
    </row>
  </sheetData>
  <autoFilter xmlns:etc="http://www.wps.cn/officeDocument/2017/etCustomData" ref="A1484:G1514" etc:filterBottomFollowUsedRange="0">
    <extLst/>
  </autoFilter>
  <mergeCells count="2170">
    <mergeCell ref="A1:G1"/>
    <mergeCell ref="A2:B2"/>
    <mergeCell ref="E2:G2"/>
    <mergeCell ref="A3:B3"/>
    <mergeCell ref="C3:E3"/>
    <mergeCell ref="A4:G4"/>
    <mergeCell ref="A5:G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A23:G23"/>
    <mergeCell ref="A24:B24"/>
    <mergeCell ref="E24:G24"/>
    <mergeCell ref="A25:B25"/>
    <mergeCell ref="C25:E25"/>
    <mergeCell ref="A26:G26"/>
    <mergeCell ref="A27:G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A43:G43"/>
    <mergeCell ref="A44:B44"/>
    <mergeCell ref="E44:G44"/>
    <mergeCell ref="A45:B45"/>
    <mergeCell ref="C45:E45"/>
    <mergeCell ref="A46:G46"/>
    <mergeCell ref="A47:G47"/>
    <mergeCell ref="B48:C48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58:C58"/>
    <mergeCell ref="B59:C59"/>
    <mergeCell ref="B60:C60"/>
    <mergeCell ref="B61:C61"/>
    <mergeCell ref="A63:G63"/>
    <mergeCell ref="A64:B64"/>
    <mergeCell ref="E64:G64"/>
    <mergeCell ref="A65:B65"/>
    <mergeCell ref="C65:E65"/>
    <mergeCell ref="A66:G66"/>
    <mergeCell ref="A67:G67"/>
    <mergeCell ref="B68:C68"/>
    <mergeCell ref="B69:C69"/>
    <mergeCell ref="B70:C70"/>
    <mergeCell ref="B71:C71"/>
    <mergeCell ref="B72:C72"/>
    <mergeCell ref="B73:C73"/>
    <mergeCell ref="B74:C74"/>
    <mergeCell ref="B75:C75"/>
    <mergeCell ref="B76:C76"/>
    <mergeCell ref="B77:C77"/>
    <mergeCell ref="B78:C78"/>
    <mergeCell ref="B79:C79"/>
    <mergeCell ref="B80:C80"/>
    <mergeCell ref="B81:C81"/>
    <mergeCell ref="B82:C82"/>
    <mergeCell ref="B83:C83"/>
    <mergeCell ref="B84:C84"/>
    <mergeCell ref="B85:C85"/>
    <mergeCell ref="A87:G87"/>
    <mergeCell ref="A88:B88"/>
    <mergeCell ref="E88:G88"/>
    <mergeCell ref="A89:B89"/>
    <mergeCell ref="C89:E89"/>
    <mergeCell ref="A90:G90"/>
    <mergeCell ref="A91:G91"/>
    <mergeCell ref="B92:C92"/>
    <mergeCell ref="B93:C93"/>
    <mergeCell ref="B94:C94"/>
    <mergeCell ref="B95:C95"/>
    <mergeCell ref="B96:C96"/>
    <mergeCell ref="B97:C97"/>
    <mergeCell ref="B98:C98"/>
    <mergeCell ref="B99:C99"/>
    <mergeCell ref="B100:C100"/>
    <mergeCell ref="B101:C101"/>
    <mergeCell ref="B102:C102"/>
    <mergeCell ref="B103:C103"/>
    <mergeCell ref="B104:C104"/>
    <mergeCell ref="B105:C105"/>
    <mergeCell ref="B106:C106"/>
    <mergeCell ref="B107:C107"/>
    <mergeCell ref="B108:C108"/>
    <mergeCell ref="B109:C109"/>
    <mergeCell ref="A111:G111"/>
    <mergeCell ref="A112:B112"/>
    <mergeCell ref="E112:G112"/>
    <mergeCell ref="A113:B113"/>
    <mergeCell ref="C113:E113"/>
    <mergeCell ref="A114:G114"/>
    <mergeCell ref="A115:G115"/>
    <mergeCell ref="B116:C116"/>
    <mergeCell ref="B117:C117"/>
    <mergeCell ref="B118:C118"/>
    <mergeCell ref="B119:C119"/>
    <mergeCell ref="B120:C120"/>
    <mergeCell ref="B121:C121"/>
    <mergeCell ref="B122:C122"/>
    <mergeCell ref="B123:C123"/>
    <mergeCell ref="B124:C124"/>
    <mergeCell ref="B125:C125"/>
    <mergeCell ref="B126:C126"/>
    <mergeCell ref="B127:C127"/>
    <mergeCell ref="B128:C128"/>
    <mergeCell ref="B129:C129"/>
    <mergeCell ref="B130:C130"/>
    <mergeCell ref="B131:C131"/>
    <mergeCell ref="B132:C132"/>
    <mergeCell ref="B133:C133"/>
    <mergeCell ref="A134:G134"/>
    <mergeCell ref="A135:B135"/>
    <mergeCell ref="E135:G135"/>
    <mergeCell ref="A136:B136"/>
    <mergeCell ref="C136:E136"/>
    <mergeCell ref="A137:G137"/>
    <mergeCell ref="A138:G138"/>
    <mergeCell ref="B139:C139"/>
    <mergeCell ref="B140:C140"/>
    <mergeCell ref="B141:C141"/>
    <mergeCell ref="B142:C142"/>
    <mergeCell ref="B143:C143"/>
    <mergeCell ref="B144:C144"/>
    <mergeCell ref="B145:C145"/>
    <mergeCell ref="B146:C146"/>
    <mergeCell ref="B147:C147"/>
    <mergeCell ref="B148:C148"/>
    <mergeCell ref="B149:C149"/>
    <mergeCell ref="B150:C150"/>
    <mergeCell ref="B151:C151"/>
    <mergeCell ref="B152:C152"/>
    <mergeCell ref="B153:C153"/>
    <mergeCell ref="B154:C154"/>
    <mergeCell ref="B155:C155"/>
    <mergeCell ref="B156:C156"/>
    <mergeCell ref="A158:G158"/>
    <mergeCell ref="A159:B159"/>
    <mergeCell ref="E159:G159"/>
    <mergeCell ref="I159:O159"/>
    <mergeCell ref="A160:B160"/>
    <mergeCell ref="C160:E160"/>
    <mergeCell ref="I160:J160"/>
    <mergeCell ref="M160:O160"/>
    <mergeCell ref="A161:G161"/>
    <mergeCell ref="I161:J161"/>
    <mergeCell ref="K161:M161"/>
    <mergeCell ref="A162:G162"/>
    <mergeCell ref="I162:O162"/>
    <mergeCell ref="B163:C163"/>
    <mergeCell ref="I163:O163"/>
    <mergeCell ref="B164:C164"/>
    <mergeCell ref="J164:K164"/>
    <mergeCell ref="B165:C165"/>
    <mergeCell ref="J165:K165"/>
    <mergeCell ref="B166:C166"/>
    <mergeCell ref="J166:K166"/>
    <mergeCell ref="B167:C167"/>
    <mergeCell ref="J167:K167"/>
    <mergeCell ref="B168:C168"/>
    <mergeCell ref="J168:K168"/>
    <mergeCell ref="B169:C169"/>
    <mergeCell ref="J169:K169"/>
    <mergeCell ref="B170:C170"/>
    <mergeCell ref="J170:K170"/>
    <mergeCell ref="B171:C171"/>
    <mergeCell ref="J171:K171"/>
    <mergeCell ref="B172:C172"/>
    <mergeCell ref="J172:K172"/>
    <mergeCell ref="B173:C173"/>
    <mergeCell ref="J173:K173"/>
    <mergeCell ref="B174:C174"/>
    <mergeCell ref="J174:K174"/>
    <mergeCell ref="B175:C175"/>
    <mergeCell ref="J175:K175"/>
    <mergeCell ref="B176:C176"/>
    <mergeCell ref="J176:K176"/>
    <mergeCell ref="B177:C177"/>
    <mergeCell ref="J177:K177"/>
    <mergeCell ref="B178:C178"/>
    <mergeCell ref="J178:K178"/>
    <mergeCell ref="B179:C179"/>
    <mergeCell ref="J179:K179"/>
    <mergeCell ref="B180:C180"/>
    <mergeCell ref="J180:K180"/>
    <mergeCell ref="B181:C181"/>
    <mergeCell ref="J181:K181"/>
    <mergeCell ref="B182:C182"/>
    <mergeCell ref="J182:K182"/>
    <mergeCell ref="B183:C183"/>
    <mergeCell ref="J183:K183"/>
    <mergeCell ref="J184:K184"/>
    <mergeCell ref="A185:G185"/>
    <mergeCell ref="A186:B186"/>
    <mergeCell ref="E186:G186"/>
    <mergeCell ref="A187:B187"/>
    <mergeCell ref="C187:E187"/>
    <mergeCell ref="A188:G188"/>
    <mergeCell ref="A189:G189"/>
    <mergeCell ref="B190:C190"/>
    <mergeCell ref="B191:C191"/>
    <mergeCell ref="B192:C192"/>
    <mergeCell ref="B193:C193"/>
    <mergeCell ref="B194:C194"/>
    <mergeCell ref="B195:C195"/>
    <mergeCell ref="B196:C196"/>
    <mergeCell ref="B197:C197"/>
    <mergeCell ref="B198:C198"/>
    <mergeCell ref="B199:C199"/>
    <mergeCell ref="B200:C200"/>
    <mergeCell ref="B201:C201"/>
    <mergeCell ref="B202:C202"/>
    <mergeCell ref="B203:C203"/>
    <mergeCell ref="B204:C204"/>
    <mergeCell ref="B205:C205"/>
    <mergeCell ref="B206:C206"/>
    <mergeCell ref="B207:C207"/>
    <mergeCell ref="B208:C208"/>
    <mergeCell ref="B209:C209"/>
    <mergeCell ref="B210:C210"/>
    <mergeCell ref="A212:G212"/>
    <mergeCell ref="A213:B213"/>
    <mergeCell ref="E213:G213"/>
    <mergeCell ref="A214:B214"/>
    <mergeCell ref="C214:E214"/>
    <mergeCell ref="A215:G215"/>
    <mergeCell ref="A216:G216"/>
    <mergeCell ref="B217:C217"/>
    <mergeCell ref="B218:C218"/>
    <mergeCell ref="B219:C219"/>
    <mergeCell ref="B220:C220"/>
    <mergeCell ref="B221:C221"/>
    <mergeCell ref="B222:C222"/>
    <mergeCell ref="B223:C223"/>
    <mergeCell ref="B224:C224"/>
    <mergeCell ref="B225:C225"/>
    <mergeCell ref="B226:C226"/>
    <mergeCell ref="B227:C227"/>
    <mergeCell ref="B228:C228"/>
    <mergeCell ref="B229:C229"/>
    <mergeCell ref="B230:C230"/>
    <mergeCell ref="B231:C231"/>
    <mergeCell ref="B232:C232"/>
    <mergeCell ref="B233:C233"/>
    <mergeCell ref="B234:C234"/>
    <mergeCell ref="B235:C235"/>
    <mergeCell ref="B236:C236"/>
    <mergeCell ref="B237:C237"/>
    <mergeCell ref="A239:G239"/>
    <mergeCell ref="A240:B240"/>
    <mergeCell ref="E240:G240"/>
    <mergeCell ref="A241:B241"/>
    <mergeCell ref="C241:E241"/>
    <mergeCell ref="A242:G242"/>
    <mergeCell ref="A243:G243"/>
    <mergeCell ref="B244:C244"/>
    <mergeCell ref="B245:C245"/>
    <mergeCell ref="B246:C246"/>
    <mergeCell ref="B247:C247"/>
    <mergeCell ref="B248:C248"/>
    <mergeCell ref="B249:C249"/>
    <mergeCell ref="B250:C250"/>
    <mergeCell ref="B251:C251"/>
    <mergeCell ref="B252:C252"/>
    <mergeCell ref="B253:C253"/>
    <mergeCell ref="B254:C254"/>
    <mergeCell ref="B255:C255"/>
    <mergeCell ref="B256:C256"/>
    <mergeCell ref="B257:C257"/>
    <mergeCell ref="B258:C258"/>
    <mergeCell ref="B259:C259"/>
    <mergeCell ref="B260:C260"/>
    <mergeCell ref="B261:C261"/>
    <mergeCell ref="B262:C262"/>
    <mergeCell ref="B263:C263"/>
    <mergeCell ref="B264:C264"/>
    <mergeCell ref="A266:G266"/>
    <mergeCell ref="A267:B267"/>
    <mergeCell ref="E267:G267"/>
    <mergeCell ref="A268:B268"/>
    <mergeCell ref="C268:E268"/>
    <mergeCell ref="A269:G269"/>
    <mergeCell ref="A270:G270"/>
    <mergeCell ref="B271:C271"/>
    <mergeCell ref="B272:C272"/>
    <mergeCell ref="B273:C273"/>
    <mergeCell ref="B274:C274"/>
    <mergeCell ref="B275:C275"/>
    <mergeCell ref="B276:C276"/>
    <mergeCell ref="B277:C277"/>
    <mergeCell ref="B278:C278"/>
    <mergeCell ref="B279:C279"/>
    <mergeCell ref="B280:C280"/>
    <mergeCell ref="B281:C281"/>
    <mergeCell ref="B282:C282"/>
    <mergeCell ref="B283:C283"/>
    <mergeCell ref="B284:C284"/>
    <mergeCell ref="B285:C285"/>
    <mergeCell ref="B286:C286"/>
    <mergeCell ref="B287:C287"/>
    <mergeCell ref="B288:C288"/>
    <mergeCell ref="B289:C289"/>
    <mergeCell ref="B290:C290"/>
    <mergeCell ref="B291:C291"/>
    <mergeCell ref="A293:G293"/>
    <mergeCell ref="A294:B294"/>
    <mergeCell ref="E294:G294"/>
    <mergeCell ref="A295:B295"/>
    <mergeCell ref="C295:E295"/>
    <mergeCell ref="A296:G296"/>
    <mergeCell ref="A297:G297"/>
    <mergeCell ref="B298:C298"/>
    <mergeCell ref="B299:C299"/>
    <mergeCell ref="B300:C300"/>
    <mergeCell ref="B301:C301"/>
    <mergeCell ref="B302:C302"/>
    <mergeCell ref="B303:C303"/>
    <mergeCell ref="B304:C304"/>
    <mergeCell ref="B305:C305"/>
    <mergeCell ref="B306:C306"/>
    <mergeCell ref="B307:C307"/>
    <mergeCell ref="B308:C308"/>
    <mergeCell ref="B309:C309"/>
    <mergeCell ref="B310:C310"/>
    <mergeCell ref="B311:C311"/>
    <mergeCell ref="B312:C312"/>
    <mergeCell ref="B313:C313"/>
    <mergeCell ref="B314:C314"/>
    <mergeCell ref="B315:C315"/>
    <mergeCell ref="B316:C316"/>
    <mergeCell ref="B317:C317"/>
    <mergeCell ref="B318:C318"/>
    <mergeCell ref="A320:G320"/>
    <mergeCell ref="A321:B321"/>
    <mergeCell ref="E321:G321"/>
    <mergeCell ref="A322:B322"/>
    <mergeCell ref="C322:E322"/>
    <mergeCell ref="A323:G323"/>
    <mergeCell ref="A324:G324"/>
    <mergeCell ref="B325:C325"/>
    <mergeCell ref="B326:C326"/>
    <mergeCell ref="B327:C327"/>
    <mergeCell ref="B328:C328"/>
    <mergeCell ref="B329:C329"/>
    <mergeCell ref="B330:C330"/>
    <mergeCell ref="B331:C331"/>
    <mergeCell ref="B332:C332"/>
    <mergeCell ref="B333:C333"/>
    <mergeCell ref="B334:C334"/>
    <mergeCell ref="B335:C335"/>
    <mergeCell ref="B336:C336"/>
    <mergeCell ref="B337:C337"/>
    <mergeCell ref="B338:C338"/>
    <mergeCell ref="B339:C339"/>
    <mergeCell ref="B340:C340"/>
    <mergeCell ref="B341:C341"/>
    <mergeCell ref="B342:C342"/>
    <mergeCell ref="B343:C343"/>
    <mergeCell ref="B344:C344"/>
    <mergeCell ref="A346:G346"/>
    <mergeCell ref="A347:B347"/>
    <mergeCell ref="E347:G347"/>
    <mergeCell ref="A348:B348"/>
    <mergeCell ref="C348:E348"/>
    <mergeCell ref="A349:G349"/>
    <mergeCell ref="A350:G350"/>
    <mergeCell ref="B351:C351"/>
    <mergeCell ref="B352:C352"/>
    <mergeCell ref="B353:C353"/>
    <mergeCell ref="B354:C354"/>
    <mergeCell ref="B355:C355"/>
    <mergeCell ref="B356:C356"/>
    <mergeCell ref="B357:C357"/>
    <mergeCell ref="B358:C358"/>
    <mergeCell ref="B359:C359"/>
    <mergeCell ref="B360:C360"/>
    <mergeCell ref="B361:C361"/>
    <mergeCell ref="B362:C362"/>
    <mergeCell ref="B363:C363"/>
    <mergeCell ref="B364:C364"/>
    <mergeCell ref="B365:C365"/>
    <mergeCell ref="B366:C366"/>
    <mergeCell ref="B367:C367"/>
    <mergeCell ref="B368:C368"/>
    <mergeCell ref="B369:C369"/>
    <mergeCell ref="B370:C370"/>
    <mergeCell ref="A372:G372"/>
    <mergeCell ref="A373:B373"/>
    <mergeCell ref="E373:G373"/>
    <mergeCell ref="A374:B374"/>
    <mergeCell ref="C374:E374"/>
    <mergeCell ref="A375:G375"/>
    <mergeCell ref="A376:G376"/>
    <mergeCell ref="B377:C377"/>
    <mergeCell ref="B378:C378"/>
    <mergeCell ref="B379:C379"/>
    <mergeCell ref="B380:C380"/>
    <mergeCell ref="B381:C381"/>
    <mergeCell ref="B382:C382"/>
    <mergeCell ref="B383:C383"/>
    <mergeCell ref="B384:C384"/>
    <mergeCell ref="B385:C385"/>
    <mergeCell ref="B386:C386"/>
    <mergeCell ref="B387:C387"/>
    <mergeCell ref="B388:C388"/>
    <mergeCell ref="B389:C389"/>
    <mergeCell ref="B390:C390"/>
    <mergeCell ref="B391:C391"/>
    <mergeCell ref="B392:C392"/>
    <mergeCell ref="B393:C393"/>
    <mergeCell ref="B394:C394"/>
    <mergeCell ref="B395:C395"/>
    <mergeCell ref="B396:C396"/>
    <mergeCell ref="A398:G398"/>
    <mergeCell ref="A399:B399"/>
    <mergeCell ref="E399:G399"/>
    <mergeCell ref="A400:B400"/>
    <mergeCell ref="C400:E400"/>
    <mergeCell ref="A401:G401"/>
    <mergeCell ref="A402:G402"/>
    <mergeCell ref="B403:C403"/>
    <mergeCell ref="B404:C404"/>
    <mergeCell ref="B405:C405"/>
    <mergeCell ref="B406:C406"/>
    <mergeCell ref="B407:C407"/>
    <mergeCell ref="B408:C408"/>
    <mergeCell ref="B409:C409"/>
    <mergeCell ref="B410:C410"/>
    <mergeCell ref="B411:C411"/>
    <mergeCell ref="B412:C412"/>
    <mergeCell ref="B413:C413"/>
    <mergeCell ref="B414:C414"/>
    <mergeCell ref="B415:C415"/>
    <mergeCell ref="B416:C416"/>
    <mergeCell ref="B417:C417"/>
    <mergeCell ref="B418:C418"/>
    <mergeCell ref="B419:C419"/>
    <mergeCell ref="B420:C420"/>
    <mergeCell ref="B421:C421"/>
    <mergeCell ref="B422:C422"/>
    <mergeCell ref="A424:G424"/>
    <mergeCell ref="A425:B425"/>
    <mergeCell ref="E425:G425"/>
    <mergeCell ref="A426:B426"/>
    <mergeCell ref="C426:E426"/>
    <mergeCell ref="A427:G427"/>
    <mergeCell ref="A428:G428"/>
    <mergeCell ref="B429:C429"/>
    <mergeCell ref="B430:C430"/>
    <mergeCell ref="B431:C431"/>
    <mergeCell ref="B432:C432"/>
    <mergeCell ref="B433:C433"/>
    <mergeCell ref="B434:C434"/>
    <mergeCell ref="B435:C435"/>
    <mergeCell ref="B436:C436"/>
    <mergeCell ref="B437:C437"/>
    <mergeCell ref="B438:C438"/>
    <mergeCell ref="B439:C439"/>
    <mergeCell ref="B440:C440"/>
    <mergeCell ref="B441:C441"/>
    <mergeCell ref="B442:C442"/>
    <mergeCell ref="B443:C443"/>
    <mergeCell ref="B444:C444"/>
    <mergeCell ref="B445:C445"/>
    <mergeCell ref="B446:C446"/>
    <mergeCell ref="B447:C447"/>
    <mergeCell ref="B448:C448"/>
    <mergeCell ref="A450:G450"/>
    <mergeCell ref="A451:B451"/>
    <mergeCell ref="E451:G451"/>
    <mergeCell ref="A452:B452"/>
    <mergeCell ref="C452:E452"/>
    <mergeCell ref="A453:G453"/>
    <mergeCell ref="A454:G454"/>
    <mergeCell ref="B455:C455"/>
    <mergeCell ref="B456:C456"/>
    <mergeCell ref="B457:C457"/>
    <mergeCell ref="B458:C458"/>
    <mergeCell ref="B459:C459"/>
    <mergeCell ref="B460:C460"/>
    <mergeCell ref="B461:C461"/>
    <mergeCell ref="B462:C462"/>
    <mergeCell ref="B463:C463"/>
    <mergeCell ref="B464:C464"/>
    <mergeCell ref="B465:C465"/>
    <mergeCell ref="B466:C466"/>
    <mergeCell ref="B467:C467"/>
    <mergeCell ref="B468:C468"/>
    <mergeCell ref="B469:C469"/>
    <mergeCell ref="B470:C470"/>
    <mergeCell ref="B471:C471"/>
    <mergeCell ref="B472:C472"/>
    <mergeCell ref="B473:C473"/>
    <mergeCell ref="B474:C474"/>
    <mergeCell ref="A476:G476"/>
    <mergeCell ref="A477:B477"/>
    <mergeCell ref="E477:G477"/>
    <mergeCell ref="A478:B478"/>
    <mergeCell ref="C478:E478"/>
    <mergeCell ref="A479:G479"/>
    <mergeCell ref="A480:G480"/>
    <mergeCell ref="B481:C481"/>
    <mergeCell ref="B482:C482"/>
    <mergeCell ref="B483:C483"/>
    <mergeCell ref="B484:C484"/>
    <mergeCell ref="B485:C485"/>
    <mergeCell ref="B486:C486"/>
    <mergeCell ref="B487:C487"/>
    <mergeCell ref="B488:C488"/>
    <mergeCell ref="B489:C489"/>
    <mergeCell ref="B490:C490"/>
    <mergeCell ref="B491:C491"/>
    <mergeCell ref="B492:C492"/>
    <mergeCell ref="B493:C493"/>
    <mergeCell ref="B494:C494"/>
    <mergeCell ref="B495:C495"/>
    <mergeCell ref="B496:C496"/>
    <mergeCell ref="B497:C497"/>
    <mergeCell ref="B498:C498"/>
    <mergeCell ref="B499:C499"/>
    <mergeCell ref="B500:C500"/>
    <mergeCell ref="A502:G502"/>
    <mergeCell ref="A503:B503"/>
    <mergeCell ref="E503:G503"/>
    <mergeCell ref="A504:B504"/>
    <mergeCell ref="C504:E504"/>
    <mergeCell ref="A505:G505"/>
    <mergeCell ref="A506:G506"/>
    <mergeCell ref="B507:C507"/>
    <mergeCell ref="B508:C508"/>
    <mergeCell ref="B509:C509"/>
    <mergeCell ref="B510:C510"/>
    <mergeCell ref="B511:C511"/>
    <mergeCell ref="B512:C512"/>
    <mergeCell ref="B513:C513"/>
    <mergeCell ref="B514:C514"/>
    <mergeCell ref="B515:C515"/>
    <mergeCell ref="B516:C516"/>
    <mergeCell ref="B517:C517"/>
    <mergeCell ref="B518:C518"/>
    <mergeCell ref="B519:C519"/>
    <mergeCell ref="B520:C520"/>
    <mergeCell ref="B521:C521"/>
    <mergeCell ref="B522:C522"/>
    <mergeCell ref="B523:C523"/>
    <mergeCell ref="B524:C524"/>
    <mergeCell ref="B525:C525"/>
    <mergeCell ref="B526:C526"/>
    <mergeCell ref="A528:G528"/>
    <mergeCell ref="A529:B529"/>
    <mergeCell ref="E529:G529"/>
    <mergeCell ref="A530:B530"/>
    <mergeCell ref="C530:E530"/>
    <mergeCell ref="A531:G531"/>
    <mergeCell ref="A532:G532"/>
    <mergeCell ref="B533:C533"/>
    <mergeCell ref="B534:C534"/>
    <mergeCell ref="B535:C535"/>
    <mergeCell ref="B536:C536"/>
    <mergeCell ref="B537:C537"/>
    <mergeCell ref="B538:C538"/>
    <mergeCell ref="B539:C539"/>
    <mergeCell ref="B540:C540"/>
    <mergeCell ref="B541:C541"/>
    <mergeCell ref="B542:C542"/>
    <mergeCell ref="B543:C543"/>
    <mergeCell ref="B544:C544"/>
    <mergeCell ref="B545:C545"/>
    <mergeCell ref="B546:C546"/>
    <mergeCell ref="B547:C547"/>
    <mergeCell ref="B548:C548"/>
    <mergeCell ref="B549:C549"/>
    <mergeCell ref="B550:C550"/>
    <mergeCell ref="B551:C551"/>
    <mergeCell ref="B552:C552"/>
    <mergeCell ref="A554:G554"/>
    <mergeCell ref="A555:B555"/>
    <mergeCell ref="E555:G555"/>
    <mergeCell ref="A556:B556"/>
    <mergeCell ref="C556:E556"/>
    <mergeCell ref="A557:G557"/>
    <mergeCell ref="A558:G558"/>
    <mergeCell ref="B559:C559"/>
    <mergeCell ref="B560:C560"/>
    <mergeCell ref="B561:C561"/>
    <mergeCell ref="B562:C562"/>
    <mergeCell ref="B563:C563"/>
    <mergeCell ref="B564:C564"/>
    <mergeCell ref="B565:C565"/>
    <mergeCell ref="B566:C566"/>
    <mergeCell ref="B567:C567"/>
    <mergeCell ref="B568:C568"/>
    <mergeCell ref="B569:C569"/>
    <mergeCell ref="B570:C570"/>
    <mergeCell ref="B571:C571"/>
    <mergeCell ref="B572:C572"/>
    <mergeCell ref="B573:C573"/>
    <mergeCell ref="B574:C574"/>
    <mergeCell ref="B575:C575"/>
    <mergeCell ref="B576:C576"/>
    <mergeCell ref="B577:C577"/>
    <mergeCell ref="B578:C578"/>
    <mergeCell ref="A580:G580"/>
    <mergeCell ref="A581:B581"/>
    <mergeCell ref="E581:G581"/>
    <mergeCell ref="A582:B582"/>
    <mergeCell ref="C582:E582"/>
    <mergeCell ref="A583:G583"/>
    <mergeCell ref="A584:G584"/>
    <mergeCell ref="B585:C585"/>
    <mergeCell ref="B586:C586"/>
    <mergeCell ref="B587:C587"/>
    <mergeCell ref="B588:C588"/>
    <mergeCell ref="B589:C589"/>
    <mergeCell ref="B590:C590"/>
    <mergeCell ref="B591:C591"/>
    <mergeCell ref="B592:C592"/>
    <mergeCell ref="B593:C593"/>
    <mergeCell ref="B594:C594"/>
    <mergeCell ref="B595:C595"/>
    <mergeCell ref="B596:C596"/>
    <mergeCell ref="B597:C597"/>
    <mergeCell ref="B598:C598"/>
    <mergeCell ref="B599:C599"/>
    <mergeCell ref="B600:C600"/>
    <mergeCell ref="B601:C601"/>
    <mergeCell ref="B602:C602"/>
    <mergeCell ref="B603:C603"/>
    <mergeCell ref="B604:C604"/>
    <mergeCell ref="A606:G606"/>
    <mergeCell ref="A607:B607"/>
    <mergeCell ref="E607:G607"/>
    <mergeCell ref="A608:B608"/>
    <mergeCell ref="C608:E608"/>
    <mergeCell ref="A609:G609"/>
    <mergeCell ref="A610:G610"/>
    <mergeCell ref="B611:C611"/>
    <mergeCell ref="B612:C612"/>
    <mergeCell ref="B613:C613"/>
    <mergeCell ref="B614:C614"/>
    <mergeCell ref="B615:C615"/>
    <mergeCell ref="B616:C616"/>
    <mergeCell ref="B617:C617"/>
    <mergeCell ref="B618:C618"/>
    <mergeCell ref="B619:C619"/>
    <mergeCell ref="B620:C620"/>
    <mergeCell ref="B621:C621"/>
    <mergeCell ref="B622:C622"/>
    <mergeCell ref="B623:C623"/>
    <mergeCell ref="B624:C624"/>
    <mergeCell ref="B625:C625"/>
    <mergeCell ref="B626:C626"/>
    <mergeCell ref="B627:C627"/>
    <mergeCell ref="B628:C628"/>
    <mergeCell ref="B629:C629"/>
    <mergeCell ref="B630:C630"/>
    <mergeCell ref="A631:G631"/>
    <mergeCell ref="A632:G632"/>
    <mergeCell ref="A633:B633"/>
    <mergeCell ref="E633:G633"/>
    <mergeCell ref="A634:B634"/>
    <mergeCell ref="C634:E634"/>
    <mergeCell ref="A635:G635"/>
    <mergeCell ref="A636:G636"/>
    <mergeCell ref="B637:C637"/>
    <mergeCell ref="B638:C638"/>
    <mergeCell ref="B639:C639"/>
    <mergeCell ref="B640:C640"/>
    <mergeCell ref="B641:C641"/>
    <mergeCell ref="B642:C642"/>
    <mergeCell ref="B643:C643"/>
    <mergeCell ref="B644:C644"/>
    <mergeCell ref="B645:C645"/>
    <mergeCell ref="B646:C646"/>
    <mergeCell ref="B647:C647"/>
    <mergeCell ref="B648:C648"/>
    <mergeCell ref="B649:C649"/>
    <mergeCell ref="B650:C650"/>
    <mergeCell ref="B651:C651"/>
    <mergeCell ref="B652:C652"/>
    <mergeCell ref="B653:C653"/>
    <mergeCell ref="B654:C654"/>
    <mergeCell ref="B655:C655"/>
    <mergeCell ref="B656:C656"/>
    <mergeCell ref="B657:C657"/>
    <mergeCell ref="B658:C658"/>
    <mergeCell ref="A660:G660"/>
    <mergeCell ref="A661:B661"/>
    <mergeCell ref="E661:G661"/>
    <mergeCell ref="A662:B662"/>
    <mergeCell ref="C662:E662"/>
    <mergeCell ref="A663:G663"/>
    <mergeCell ref="A664:G664"/>
    <mergeCell ref="B665:C665"/>
    <mergeCell ref="B666:C666"/>
    <mergeCell ref="B667:C667"/>
    <mergeCell ref="B668:C668"/>
    <mergeCell ref="B669:C669"/>
    <mergeCell ref="B670:C670"/>
    <mergeCell ref="B671:C671"/>
    <mergeCell ref="B672:C672"/>
    <mergeCell ref="B673:C673"/>
    <mergeCell ref="B674:C674"/>
    <mergeCell ref="B675:C675"/>
    <mergeCell ref="B676:C676"/>
    <mergeCell ref="B677:C677"/>
    <mergeCell ref="B678:C678"/>
    <mergeCell ref="B679:C679"/>
    <mergeCell ref="B680:C680"/>
    <mergeCell ref="B681:C681"/>
    <mergeCell ref="B682:C682"/>
    <mergeCell ref="A685:G685"/>
    <mergeCell ref="A686:B686"/>
    <mergeCell ref="E686:G686"/>
    <mergeCell ref="A687:B687"/>
    <mergeCell ref="C687:E687"/>
    <mergeCell ref="A688:G688"/>
    <mergeCell ref="A689:G689"/>
    <mergeCell ref="B690:C690"/>
    <mergeCell ref="B691:C691"/>
    <mergeCell ref="B692:C692"/>
    <mergeCell ref="B693:C693"/>
    <mergeCell ref="B694:C694"/>
    <mergeCell ref="B695:C695"/>
    <mergeCell ref="B696:C696"/>
    <mergeCell ref="B697:C697"/>
    <mergeCell ref="B698:C698"/>
    <mergeCell ref="B699:C699"/>
    <mergeCell ref="B700:C700"/>
    <mergeCell ref="B701:C701"/>
    <mergeCell ref="B702:C702"/>
    <mergeCell ref="B703:C703"/>
    <mergeCell ref="B704:C704"/>
    <mergeCell ref="B705:C705"/>
    <mergeCell ref="B706:C706"/>
    <mergeCell ref="B707:C707"/>
    <mergeCell ref="A709:G709"/>
    <mergeCell ref="A710:B710"/>
    <mergeCell ref="E710:G710"/>
    <mergeCell ref="A711:B711"/>
    <mergeCell ref="C711:E711"/>
    <mergeCell ref="A712:G712"/>
    <mergeCell ref="A713:G713"/>
    <mergeCell ref="B714:C714"/>
    <mergeCell ref="B715:C715"/>
    <mergeCell ref="B716:C716"/>
    <mergeCell ref="B717:C717"/>
    <mergeCell ref="B718:C718"/>
    <mergeCell ref="B719:C719"/>
    <mergeCell ref="B720:C720"/>
    <mergeCell ref="B721:C721"/>
    <mergeCell ref="B722:C722"/>
    <mergeCell ref="B723:C723"/>
    <mergeCell ref="B724:C724"/>
    <mergeCell ref="B725:C725"/>
    <mergeCell ref="B726:C726"/>
    <mergeCell ref="B727:C727"/>
    <mergeCell ref="A732:G732"/>
    <mergeCell ref="A733:B733"/>
    <mergeCell ref="E733:G733"/>
    <mergeCell ref="A734:B734"/>
    <mergeCell ref="C734:E734"/>
    <mergeCell ref="A735:G735"/>
    <mergeCell ref="B736:C736"/>
    <mergeCell ref="B737:C737"/>
    <mergeCell ref="B738:C738"/>
    <mergeCell ref="B739:C739"/>
    <mergeCell ref="B740:C740"/>
    <mergeCell ref="B741:C741"/>
    <mergeCell ref="B742:C742"/>
    <mergeCell ref="B743:C743"/>
    <mergeCell ref="B744:C744"/>
    <mergeCell ref="B746:C746"/>
    <mergeCell ref="B747:C747"/>
    <mergeCell ref="B748:C748"/>
    <mergeCell ref="B749:C749"/>
    <mergeCell ref="B750:C750"/>
    <mergeCell ref="B751:C751"/>
    <mergeCell ref="B752:C752"/>
    <mergeCell ref="B753:C753"/>
    <mergeCell ref="B754:C754"/>
    <mergeCell ref="A756:G756"/>
    <mergeCell ref="A757:B757"/>
    <mergeCell ref="E757:G757"/>
    <mergeCell ref="A758:B758"/>
    <mergeCell ref="C758:E758"/>
    <mergeCell ref="A759:G759"/>
    <mergeCell ref="B760:C760"/>
    <mergeCell ref="B761:C761"/>
    <mergeCell ref="B762:C762"/>
    <mergeCell ref="B763:C763"/>
    <mergeCell ref="B764:C764"/>
    <mergeCell ref="B765:C765"/>
    <mergeCell ref="B766:C766"/>
    <mergeCell ref="B767:C767"/>
    <mergeCell ref="B768:C768"/>
    <mergeCell ref="B770:C770"/>
    <mergeCell ref="B771:C771"/>
    <mergeCell ref="B772:C772"/>
    <mergeCell ref="B773:C773"/>
    <mergeCell ref="B774:C774"/>
    <mergeCell ref="B775:C775"/>
    <mergeCell ref="B776:C776"/>
    <mergeCell ref="B777:C777"/>
    <mergeCell ref="B778:C778"/>
    <mergeCell ref="A780:G780"/>
    <mergeCell ref="A781:B781"/>
    <mergeCell ref="E781:G781"/>
    <mergeCell ref="A782:B782"/>
    <mergeCell ref="C782:E782"/>
    <mergeCell ref="A783:G783"/>
    <mergeCell ref="A784:G784"/>
    <mergeCell ref="B785:C785"/>
    <mergeCell ref="B786:C786"/>
    <mergeCell ref="B787:C787"/>
    <mergeCell ref="B788:C788"/>
    <mergeCell ref="B789:C789"/>
    <mergeCell ref="B790:C790"/>
    <mergeCell ref="B791:C791"/>
    <mergeCell ref="B792:C792"/>
    <mergeCell ref="B793:C793"/>
    <mergeCell ref="B794:C794"/>
    <mergeCell ref="B795:C795"/>
    <mergeCell ref="B796:C796"/>
    <mergeCell ref="B797:C797"/>
    <mergeCell ref="B798:C798"/>
    <mergeCell ref="B799:C799"/>
    <mergeCell ref="B800:C800"/>
    <mergeCell ref="B801:C801"/>
    <mergeCell ref="A803:G803"/>
    <mergeCell ref="A804:B804"/>
    <mergeCell ref="E804:G804"/>
    <mergeCell ref="A805:B805"/>
    <mergeCell ref="C805:E805"/>
    <mergeCell ref="A806:G806"/>
    <mergeCell ref="A807:G807"/>
    <mergeCell ref="B808:C808"/>
    <mergeCell ref="B809:C809"/>
    <mergeCell ref="B810:C810"/>
    <mergeCell ref="B811:C811"/>
    <mergeCell ref="B812:C812"/>
    <mergeCell ref="B813:C813"/>
    <mergeCell ref="B814:C814"/>
    <mergeCell ref="B815:C815"/>
    <mergeCell ref="B816:C816"/>
    <mergeCell ref="B817:C817"/>
    <mergeCell ref="B818:C818"/>
    <mergeCell ref="B819:C819"/>
    <mergeCell ref="B820:C820"/>
    <mergeCell ref="B821:C821"/>
    <mergeCell ref="B822:C822"/>
    <mergeCell ref="B823:C823"/>
    <mergeCell ref="B824:C824"/>
    <mergeCell ref="A828:G828"/>
    <mergeCell ref="A829:B829"/>
    <mergeCell ref="E829:G829"/>
    <mergeCell ref="A830:B830"/>
    <mergeCell ref="C830:E830"/>
    <mergeCell ref="A831:G831"/>
    <mergeCell ref="A832:G832"/>
    <mergeCell ref="B833:C833"/>
    <mergeCell ref="B834:C834"/>
    <mergeCell ref="B835:C835"/>
    <mergeCell ref="B836:C836"/>
    <mergeCell ref="B837:C837"/>
    <mergeCell ref="B838:C838"/>
    <mergeCell ref="B839:C839"/>
    <mergeCell ref="B840:C840"/>
    <mergeCell ref="B841:C841"/>
    <mergeCell ref="B842:C842"/>
    <mergeCell ref="B843:C843"/>
    <mergeCell ref="B844:C844"/>
    <mergeCell ref="B845:C845"/>
    <mergeCell ref="B846:C846"/>
    <mergeCell ref="B847:C847"/>
    <mergeCell ref="B848:C848"/>
    <mergeCell ref="B849:C849"/>
    <mergeCell ref="B850:C850"/>
    <mergeCell ref="B851:C851"/>
    <mergeCell ref="B852:C852"/>
    <mergeCell ref="B853:C853"/>
    <mergeCell ref="B854:C854"/>
    <mergeCell ref="B855:C855"/>
    <mergeCell ref="B856:C856"/>
    <mergeCell ref="B857:C857"/>
    <mergeCell ref="B858:C858"/>
    <mergeCell ref="B859:C859"/>
    <mergeCell ref="A861:G861"/>
    <mergeCell ref="A862:B862"/>
    <mergeCell ref="E862:G862"/>
    <mergeCell ref="A863:B863"/>
    <mergeCell ref="C863:E863"/>
    <mergeCell ref="A864:G864"/>
    <mergeCell ref="A865:G865"/>
    <mergeCell ref="B866:C866"/>
    <mergeCell ref="B867:C867"/>
    <mergeCell ref="B868:C868"/>
    <mergeCell ref="B869:C869"/>
    <mergeCell ref="B870:C870"/>
    <mergeCell ref="B871:C871"/>
    <mergeCell ref="B872:C872"/>
    <mergeCell ref="B873:C873"/>
    <mergeCell ref="B874:C874"/>
    <mergeCell ref="B875:C875"/>
    <mergeCell ref="B876:C876"/>
    <mergeCell ref="B877:C877"/>
    <mergeCell ref="B878:C878"/>
    <mergeCell ref="B879:C879"/>
    <mergeCell ref="B880:C880"/>
    <mergeCell ref="B881:C881"/>
    <mergeCell ref="B882:C882"/>
    <mergeCell ref="B883:C883"/>
    <mergeCell ref="B884:C884"/>
    <mergeCell ref="B885:C885"/>
    <mergeCell ref="B886:C886"/>
    <mergeCell ref="B887:C887"/>
    <mergeCell ref="B888:C888"/>
    <mergeCell ref="B889:C889"/>
    <mergeCell ref="B890:C890"/>
    <mergeCell ref="B891:C891"/>
    <mergeCell ref="B892:C892"/>
    <mergeCell ref="A894:G894"/>
    <mergeCell ref="A895:B895"/>
    <mergeCell ref="E895:G895"/>
    <mergeCell ref="A896:B896"/>
    <mergeCell ref="C896:E896"/>
    <mergeCell ref="A897:G897"/>
    <mergeCell ref="A898:G898"/>
    <mergeCell ref="B899:C899"/>
    <mergeCell ref="B900:C900"/>
    <mergeCell ref="B901:C901"/>
    <mergeCell ref="B902:C902"/>
    <mergeCell ref="B903:C903"/>
    <mergeCell ref="B904:C904"/>
    <mergeCell ref="B905:C905"/>
    <mergeCell ref="B906:C906"/>
    <mergeCell ref="B907:C907"/>
    <mergeCell ref="B908:C908"/>
    <mergeCell ref="B909:C909"/>
    <mergeCell ref="B910:C910"/>
    <mergeCell ref="B911:C911"/>
    <mergeCell ref="B912:C912"/>
    <mergeCell ref="B913:C913"/>
    <mergeCell ref="B914:C914"/>
    <mergeCell ref="B915:C915"/>
    <mergeCell ref="B916:C916"/>
    <mergeCell ref="B917:C917"/>
    <mergeCell ref="B918:C918"/>
    <mergeCell ref="B919:C919"/>
    <mergeCell ref="B920:C920"/>
    <mergeCell ref="B921:C921"/>
    <mergeCell ref="B922:C922"/>
    <mergeCell ref="B923:C923"/>
    <mergeCell ref="B924:C924"/>
    <mergeCell ref="B925:C925"/>
    <mergeCell ref="A927:G927"/>
    <mergeCell ref="A928:B928"/>
    <mergeCell ref="E928:G928"/>
    <mergeCell ref="A929:B929"/>
    <mergeCell ref="C929:E929"/>
    <mergeCell ref="A930:G930"/>
    <mergeCell ref="A931:G931"/>
    <mergeCell ref="B932:C932"/>
    <mergeCell ref="B933:C933"/>
    <mergeCell ref="B934:C934"/>
    <mergeCell ref="B935:C935"/>
    <mergeCell ref="B936:C936"/>
    <mergeCell ref="B937:C937"/>
    <mergeCell ref="B938:C938"/>
    <mergeCell ref="B939:C939"/>
    <mergeCell ref="B940:C940"/>
    <mergeCell ref="B941:C941"/>
    <mergeCell ref="B942:C942"/>
    <mergeCell ref="B943:C943"/>
    <mergeCell ref="B944:C944"/>
    <mergeCell ref="B945:C945"/>
    <mergeCell ref="B946:C946"/>
    <mergeCell ref="B947:C947"/>
    <mergeCell ref="B948:C948"/>
    <mergeCell ref="B949:C949"/>
    <mergeCell ref="B950:C950"/>
    <mergeCell ref="B951:C951"/>
    <mergeCell ref="B952:C952"/>
    <mergeCell ref="B953:C953"/>
    <mergeCell ref="B954:C954"/>
    <mergeCell ref="B955:C955"/>
    <mergeCell ref="B956:C956"/>
    <mergeCell ref="B957:C957"/>
    <mergeCell ref="B958:C958"/>
    <mergeCell ref="A960:G960"/>
    <mergeCell ref="A961:B961"/>
    <mergeCell ref="E961:G961"/>
    <mergeCell ref="A962:B962"/>
    <mergeCell ref="C962:E962"/>
    <mergeCell ref="A963:G963"/>
    <mergeCell ref="A964:G964"/>
    <mergeCell ref="B965:C965"/>
    <mergeCell ref="B966:C966"/>
    <mergeCell ref="B967:C967"/>
    <mergeCell ref="B968:C968"/>
    <mergeCell ref="B969:C969"/>
    <mergeCell ref="B970:C970"/>
    <mergeCell ref="B971:C971"/>
    <mergeCell ref="B972:C972"/>
    <mergeCell ref="B973:C973"/>
    <mergeCell ref="B974:C974"/>
    <mergeCell ref="B975:C975"/>
    <mergeCell ref="B976:C976"/>
    <mergeCell ref="B977:C977"/>
    <mergeCell ref="B978:C978"/>
    <mergeCell ref="B979:C979"/>
    <mergeCell ref="B980:C980"/>
    <mergeCell ref="B981:C981"/>
    <mergeCell ref="B982:C982"/>
    <mergeCell ref="B983:C983"/>
    <mergeCell ref="A985:G985"/>
    <mergeCell ref="A986:B986"/>
    <mergeCell ref="E986:G986"/>
    <mergeCell ref="A987:B987"/>
    <mergeCell ref="C987:E987"/>
    <mergeCell ref="A988:G988"/>
    <mergeCell ref="A989:G989"/>
    <mergeCell ref="B990:C990"/>
    <mergeCell ref="B991:C991"/>
    <mergeCell ref="B992:C992"/>
    <mergeCell ref="B993:C993"/>
    <mergeCell ref="B994:C994"/>
    <mergeCell ref="B995:C995"/>
    <mergeCell ref="B996:C996"/>
    <mergeCell ref="B997:C997"/>
    <mergeCell ref="B998:C998"/>
    <mergeCell ref="B999:C999"/>
    <mergeCell ref="B1000:C1000"/>
    <mergeCell ref="B1001:C1001"/>
    <mergeCell ref="B1002:C1002"/>
    <mergeCell ref="B1003:C1003"/>
    <mergeCell ref="A1006:G1006"/>
    <mergeCell ref="A1007:B1007"/>
    <mergeCell ref="E1007:G1007"/>
    <mergeCell ref="A1008:B1008"/>
    <mergeCell ref="C1008:E1008"/>
    <mergeCell ref="A1009:G1009"/>
    <mergeCell ref="B1010:C1010"/>
    <mergeCell ref="B1011:C1011"/>
    <mergeCell ref="B1012:C1012"/>
    <mergeCell ref="B1013:C1013"/>
    <mergeCell ref="B1014:C1014"/>
    <mergeCell ref="B1015:C1015"/>
    <mergeCell ref="B1016:C1016"/>
    <mergeCell ref="B1017:C1017"/>
    <mergeCell ref="B1018:C1018"/>
    <mergeCell ref="B1020:C1020"/>
    <mergeCell ref="B1021:C1021"/>
    <mergeCell ref="B1022:C1022"/>
    <mergeCell ref="B1023:C1023"/>
    <mergeCell ref="B1024:C1024"/>
    <mergeCell ref="B1025:C1025"/>
    <mergeCell ref="B1026:C1026"/>
    <mergeCell ref="B1027:C1027"/>
    <mergeCell ref="A1029:G1029"/>
    <mergeCell ref="A1030:B1030"/>
    <mergeCell ref="E1030:G1030"/>
    <mergeCell ref="A1031:B1031"/>
    <mergeCell ref="C1031:E1031"/>
    <mergeCell ref="A1032:G1032"/>
    <mergeCell ref="A1033:G1033"/>
    <mergeCell ref="B1034:C1034"/>
    <mergeCell ref="B1035:C1035"/>
    <mergeCell ref="B1036:C1036"/>
    <mergeCell ref="B1037:C1037"/>
    <mergeCell ref="B1038:C1038"/>
    <mergeCell ref="B1039:C1039"/>
    <mergeCell ref="B1040:C1040"/>
    <mergeCell ref="B1041:C1041"/>
    <mergeCell ref="B1042:C1042"/>
    <mergeCell ref="B1043:C1043"/>
    <mergeCell ref="B1044:C1044"/>
    <mergeCell ref="B1045:C1045"/>
    <mergeCell ref="B1046:C1046"/>
    <mergeCell ref="B1047:C1047"/>
    <mergeCell ref="B1048:C1048"/>
    <mergeCell ref="B1049:C1049"/>
    <mergeCell ref="B1050:C1050"/>
    <mergeCell ref="B1051:C1051"/>
    <mergeCell ref="B1052:C1052"/>
    <mergeCell ref="A1054:G1054"/>
    <mergeCell ref="A1055:B1055"/>
    <mergeCell ref="E1055:G1055"/>
    <mergeCell ref="A1056:B1056"/>
    <mergeCell ref="C1056:E1056"/>
    <mergeCell ref="A1057:G1057"/>
    <mergeCell ref="A1058:G1058"/>
    <mergeCell ref="B1059:C1059"/>
    <mergeCell ref="B1060:C1060"/>
    <mergeCell ref="B1061:C1061"/>
    <mergeCell ref="B1062:C1062"/>
    <mergeCell ref="B1063:C1063"/>
    <mergeCell ref="B1064:C1064"/>
    <mergeCell ref="B1065:C1065"/>
    <mergeCell ref="B1066:C1066"/>
    <mergeCell ref="B1067:C1067"/>
    <mergeCell ref="B1068:C1068"/>
    <mergeCell ref="B1069:C1069"/>
    <mergeCell ref="B1070:C1070"/>
    <mergeCell ref="B1071:C1071"/>
    <mergeCell ref="B1072:C1072"/>
    <mergeCell ref="B1073:C1073"/>
    <mergeCell ref="B1074:C1074"/>
    <mergeCell ref="B1075:C1075"/>
    <mergeCell ref="B1076:C1076"/>
    <mergeCell ref="B1077:C1077"/>
    <mergeCell ref="A1079:G1079"/>
    <mergeCell ref="A1080:B1080"/>
    <mergeCell ref="E1080:G1080"/>
    <mergeCell ref="A1081:B1081"/>
    <mergeCell ref="C1081:E1081"/>
    <mergeCell ref="A1082:G1082"/>
    <mergeCell ref="A1083:G1083"/>
    <mergeCell ref="B1084:C1084"/>
    <mergeCell ref="B1085:C1085"/>
    <mergeCell ref="B1086:C1086"/>
    <mergeCell ref="B1087:C1087"/>
    <mergeCell ref="B1088:C1088"/>
    <mergeCell ref="B1089:C1089"/>
    <mergeCell ref="B1090:C1090"/>
    <mergeCell ref="B1091:C1091"/>
    <mergeCell ref="B1092:C1092"/>
    <mergeCell ref="B1093:C1093"/>
    <mergeCell ref="B1094:C1094"/>
    <mergeCell ref="B1095:C1095"/>
    <mergeCell ref="B1096:C1096"/>
    <mergeCell ref="B1097:C1097"/>
    <mergeCell ref="B1098:C1098"/>
    <mergeCell ref="B1099:C1099"/>
    <mergeCell ref="B1100:C1100"/>
    <mergeCell ref="B1101:C1101"/>
    <mergeCell ref="B1102:C1102"/>
    <mergeCell ref="B1103:C1103"/>
    <mergeCell ref="B1104:C1104"/>
    <mergeCell ref="A1106:G1106"/>
    <mergeCell ref="A1107:B1107"/>
    <mergeCell ref="E1107:G1107"/>
    <mergeCell ref="A1108:B1108"/>
    <mergeCell ref="C1108:E1108"/>
    <mergeCell ref="A1109:G1109"/>
    <mergeCell ref="A1110:G1110"/>
    <mergeCell ref="B1111:C1111"/>
    <mergeCell ref="B1112:C1112"/>
    <mergeCell ref="B1113:C1113"/>
    <mergeCell ref="B1114:C1114"/>
    <mergeCell ref="B1115:C1115"/>
    <mergeCell ref="B1116:C1116"/>
    <mergeCell ref="B1117:C1117"/>
    <mergeCell ref="B1118:C1118"/>
    <mergeCell ref="B1119:C1119"/>
    <mergeCell ref="B1120:C1120"/>
    <mergeCell ref="B1121:C1121"/>
    <mergeCell ref="B1122:C1122"/>
    <mergeCell ref="B1123:C1123"/>
    <mergeCell ref="B1124:C1124"/>
    <mergeCell ref="B1125:C1125"/>
    <mergeCell ref="B1126:C1126"/>
    <mergeCell ref="B1127:C1127"/>
    <mergeCell ref="B1128:C1128"/>
    <mergeCell ref="B1129:C1129"/>
    <mergeCell ref="B1130:C1130"/>
    <mergeCell ref="A1132:G1132"/>
    <mergeCell ref="A1133:B1133"/>
    <mergeCell ref="E1133:G1133"/>
    <mergeCell ref="A1134:B1134"/>
    <mergeCell ref="C1134:E1134"/>
    <mergeCell ref="A1135:G1135"/>
    <mergeCell ref="A1136:G1136"/>
    <mergeCell ref="B1137:C1137"/>
    <mergeCell ref="B1138:C1138"/>
    <mergeCell ref="B1139:C1139"/>
    <mergeCell ref="B1140:C1140"/>
    <mergeCell ref="B1141:C1141"/>
    <mergeCell ref="B1142:C1142"/>
    <mergeCell ref="B1143:C1143"/>
    <mergeCell ref="B1144:C1144"/>
    <mergeCell ref="B1145:C1145"/>
    <mergeCell ref="B1146:C1146"/>
    <mergeCell ref="B1147:C1147"/>
    <mergeCell ref="B1148:C1148"/>
    <mergeCell ref="B1149:C1149"/>
    <mergeCell ref="B1150:C1150"/>
    <mergeCell ref="B1151:C1151"/>
    <mergeCell ref="B1152:C1152"/>
    <mergeCell ref="B1153:C1153"/>
    <mergeCell ref="B1154:C1154"/>
    <mergeCell ref="B1155:C1155"/>
    <mergeCell ref="B1156:C1156"/>
    <mergeCell ref="A1158:G1158"/>
    <mergeCell ref="A1159:B1159"/>
    <mergeCell ref="E1159:G1159"/>
    <mergeCell ref="A1160:B1160"/>
    <mergeCell ref="C1160:E1160"/>
    <mergeCell ref="A1161:G1161"/>
    <mergeCell ref="A1162:G1162"/>
    <mergeCell ref="B1163:C1163"/>
    <mergeCell ref="B1164:C1164"/>
    <mergeCell ref="B1165:C1165"/>
    <mergeCell ref="B1166:C1166"/>
    <mergeCell ref="B1167:C1167"/>
    <mergeCell ref="B1168:C1168"/>
    <mergeCell ref="B1169:C1169"/>
    <mergeCell ref="B1170:C1170"/>
    <mergeCell ref="B1171:C1171"/>
    <mergeCell ref="B1172:C1172"/>
    <mergeCell ref="B1173:C1173"/>
    <mergeCell ref="B1174:C1174"/>
    <mergeCell ref="B1175:C1175"/>
    <mergeCell ref="B1176:C1176"/>
    <mergeCell ref="B1177:C1177"/>
    <mergeCell ref="B1178:C1178"/>
    <mergeCell ref="B1179:C1179"/>
    <mergeCell ref="B1180:C1180"/>
    <mergeCell ref="B1181:C1181"/>
    <mergeCell ref="B1182:C1182"/>
    <mergeCell ref="A1184:G1184"/>
    <mergeCell ref="A1185:B1185"/>
    <mergeCell ref="E1185:G1185"/>
    <mergeCell ref="A1186:B1186"/>
    <mergeCell ref="C1186:E1186"/>
    <mergeCell ref="A1187:G1187"/>
    <mergeCell ref="A1188:G1188"/>
    <mergeCell ref="B1189:C1189"/>
    <mergeCell ref="B1190:C1190"/>
    <mergeCell ref="B1191:C1191"/>
    <mergeCell ref="B1192:C1192"/>
    <mergeCell ref="B1193:C1193"/>
    <mergeCell ref="B1194:C1194"/>
    <mergeCell ref="B1195:C1195"/>
    <mergeCell ref="B1196:C1196"/>
    <mergeCell ref="B1197:C1197"/>
    <mergeCell ref="B1198:C1198"/>
    <mergeCell ref="B1199:C1199"/>
    <mergeCell ref="B1200:C1200"/>
    <mergeCell ref="B1201:C1201"/>
    <mergeCell ref="B1202:C1202"/>
    <mergeCell ref="B1203:C1203"/>
    <mergeCell ref="B1204:C1204"/>
    <mergeCell ref="B1205:C1205"/>
    <mergeCell ref="B1206:C1206"/>
    <mergeCell ref="B1207:C1207"/>
    <mergeCell ref="B1208:C1208"/>
    <mergeCell ref="A1211:G1211"/>
    <mergeCell ref="A1212:B1212"/>
    <mergeCell ref="E1212:G1212"/>
    <mergeCell ref="A1213:B1213"/>
    <mergeCell ref="C1213:E1213"/>
    <mergeCell ref="A1214:G1214"/>
    <mergeCell ref="A1215:G1215"/>
    <mergeCell ref="B1216:C1216"/>
    <mergeCell ref="B1217:C1217"/>
    <mergeCell ref="B1218:C1218"/>
    <mergeCell ref="B1219:C1219"/>
    <mergeCell ref="B1220:C1220"/>
    <mergeCell ref="B1221:C1221"/>
    <mergeCell ref="B1222:C1222"/>
    <mergeCell ref="B1223:C1223"/>
    <mergeCell ref="B1224:C1224"/>
    <mergeCell ref="B1225:C1225"/>
    <mergeCell ref="B1226:C1226"/>
    <mergeCell ref="B1227:C1227"/>
    <mergeCell ref="B1228:C1228"/>
    <mergeCell ref="B1229:C1229"/>
    <mergeCell ref="B1230:C1230"/>
    <mergeCell ref="B1231:C1231"/>
    <mergeCell ref="B1232:C1232"/>
    <mergeCell ref="B1233:C1233"/>
    <mergeCell ref="A1235:G1235"/>
    <mergeCell ref="A1236:B1236"/>
    <mergeCell ref="E1236:G1236"/>
    <mergeCell ref="A1237:B1237"/>
    <mergeCell ref="C1237:E1237"/>
    <mergeCell ref="A1238:G1238"/>
    <mergeCell ref="A1239:G1239"/>
    <mergeCell ref="B1240:C1240"/>
    <mergeCell ref="B1241:C1241"/>
    <mergeCell ref="B1242:C1242"/>
    <mergeCell ref="B1243:C1243"/>
    <mergeCell ref="B1244:C1244"/>
    <mergeCell ref="B1245:C1245"/>
    <mergeCell ref="B1246:C1246"/>
    <mergeCell ref="B1247:C1247"/>
    <mergeCell ref="B1248:C1248"/>
    <mergeCell ref="B1249:C1249"/>
    <mergeCell ref="B1250:C1250"/>
    <mergeCell ref="B1251:C1251"/>
    <mergeCell ref="B1252:C1252"/>
    <mergeCell ref="B1253:C1253"/>
    <mergeCell ref="B1254:C1254"/>
    <mergeCell ref="B1255:C1255"/>
    <mergeCell ref="B1256:C1256"/>
    <mergeCell ref="B1257:C1257"/>
    <mergeCell ref="B1258:C1258"/>
    <mergeCell ref="B1259:C1259"/>
    <mergeCell ref="A1261:G1261"/>
    <mergeCell ref="A1262:B1262"/>
    <mergeCell ref="E1262:G1262"/>
    <mergeCell ref="A1263:B1263"/>
    <mergeCell ref="C1263:E1263"/>
    <mergeCell ref="A1264:G1264"/>
    <mergeCell ref="A1265:G1265"/>
    <mergeCell ref="B1266:C1266"/>
    <mergeCell ref="B1267:C1267"/>
    <mergeCell ref="B1268:C1268"/>
    <mergeCell ref="B1269:C1269"/>
    <mergeCell ref="B1270:C1270"/>
    <mergeCell ref="B1271:C1271"/>
    <mergeCell ref="B1272:C1272"/>
    <mergeCell ref="B1273:C1273"/>
    <mergeCell ref="B1274:C1274"/>
    <mergeCell ref="B1275:C1275"/>
    <mergeCell ref="B1276:C1276"/>
    <mergeCell ref="B1277:C1277"/>
    <mergeCell ref="B1278:C1278"/>
    <mergeCell ref="B1279:C1279"/>
    <mergeCell ref="B1280:C1280"/>
    <mergeCell ref="B1281:C1281"/>
    <mergeCell ref="B1282:C1282"/>
    <mergeCell ref="B1283:C1283"/>
    <mergeCell ref="B1284:C1284"/>
    <mergeCell ref="B1285:C1285"/>
    <mergeCell ref="B1286:C1286"/>
    <mergeCell ref="B1287:C1287"/>
    <mergeCell ref="B1288:C1288"/>
    <mergeCell ref="B1289:C1289"/>
    <mergeCell ref="B1290:C1290"/>
    <mergeCell ref="B1291:C1291"/>
    <mergeCell ref="B1292:C1292"/>
    <mergeCell ref="B1293:C1293"/>
    <mergeCell ref="A1295:G1295"/>
    <mergeCell ref="I1295:O1295"/>
    <mergeCell ref="A1296:B1296"/>
    <mergeCell ref="E1296:G1296"/>
    <mergeCell ref="I1296:J1296"/>
    <mergeCell ref="M1296:O1296"/>
    <mergeCell ref="A1297:B1297"/>
    <mergeCell ref="C1297:E1297"/>
    <mergeCell ref="I1297:J1297"/>
    <mergeCell ref="K1297:M1297"/>
    <mergeCell ref="A1298:G1298"/>
    <mergeCell ref="I1298:O1298"/>
    <mergeCell ref="A1299:G1299"/>
    <mergeCell ref="I1299:O1299"/>
    <mergeCell ref="B1300:C1300"/>
    <mergeCell ref="J1300:K1300"/>
    <mergeCell ref="B1301:C1301"/>
    <mergeCell ref="J1301:K1301"/>
    <mergeCell ref="B1302:C1302"/>
    <mergeCell ref="J1302:K1302"/>
    <mergeCell ref="B1303:C1303"/>
    <mergeCell ref="J1303:K1303"/>
    <mergeCell ref="B1304:C1304"/>
    <mergeCell ref="J1304:K1304"/>
    <mergeCell ref="B1305:C1305"/>
    <mergeCell ref="J1305:K1305"/>
    <mergeCell ref="B1306:C1306"/>
    <mergeCell ref="J1306:K1306"/>
    <mergeCell ref="B1307:C1307"/>
    <mergeCell ref="J1307:K1307"/>
    <mergeCell ref="B1308:C1308"/>
    <mergeCell ref="J1308:K1308"/>
    <mergeCell ref="B1309:C1309"/>
    <mergeCell ref="J1309:K1309"/>
    <mergeCell ref="B1310:C1310"/>
    <mergeCell ref="J1310:K1310"/>
    <mergeCell ref="B1311:C1311"/>
    <mergeCell ref="J1311:K1311"/>
    <mergeCell ref="B1312:C1312"/>
    <mergeCell ref="J1312:K1312"/>
    <mergeCell ref="B1313:C1313"/>
    <mergeCell ref="J1313:K1313"/>
    <mergeCell ref="B1314:C1314"/>
    <mergeCell ref="J1314:K1314"/>
    <mergeCell ref="B1315:C1315"/>
    <mergeCell ref="J1315:K1315"/>
    <mergeCell ref="B1316:C1316"/>
    <mergeCell ref="J1316:K1316"/>
    <mergeCell ref="B1317:C1317"/>
    <mergeCell ref="J1317:K1317"/>
    <mergeCell ref="B1318:C1318"/>
    <mergeCell ref="J1318:K1318"/>
    <mergeCell ref="B1319:C1319"/>
    <mergeCell ref="J1319:K1319"/>
    <mergeCell ref="B1320:C1320"/>
    <mergeCell ref="J1320:K1320"/>
    <mergeCell ref="B1321:C1321"/>
    <mergeCell ref="J1321:K1321"/>
    <mergeCell ref="B1322:C1322"/>
    <mergeCell ref="J1322:K1322"/>
    <mergeCell ref="B1323:C1323"/>
    <mergeCell ref="J1323:K1323"/>
    <mergeCell ref="B1325:C1325"/>
    <mergeCell ref="J1325:K1325"/>
    <mergeCell ref="B1326:C1326"/>
    <mergeCell ref="J1326:K1326"/>
    <mergeCell ref="B1327:C1327"/>
    <mergeCell ref="J1327:K1327"/>
    <mergeCell ref="B1328:C1328"/>
    <mergeCell ref="J1328:K1328"/>
    <mergeCell ref="A1331:G1331"/>
    <mergeCell ref="A1332:B1332"/>
    <mergeCell ref="E1332:G1332"/>
    <mergeCell ref="A1333:B1333"/>
    <mergeCell ref="C1333:E1333"/>
    <mergeCell ref="A1334:G1334"/>
    <mergeCell ref="A1335:G1335"/>
    <mergeCell ref="B1336:C1336"/>
    <mergeCell ref="B1337:C1337"/>
    <mergeCell ref="B1338:C1338"/>
    <mergeCell ref="B1339:C1339"/>
    <mergeCell ref="B1340:C1340"/>
    <mergeCell ref="B1341:C1341"/>
    <mergeCell ref="B1342:C1342"/>
    <mergeCell ref="B1343:C1343"/>
    <mergeCell ref="B1344:C1344"/>
    <mergeCell ref="B1345:C1345"/>
    <mergeCell ref="B1346:C1346"/>
    <mergeCell ref="B1347:C1347"/>
    <mergeCell ref="B1348:C1348"/>
    <mergeCell ref="B1349:C1349"/>
    <mergeCell ref="B1350:C1350"/>
    <mergeCell ref="B1351:C1351"/>
    <mergeCell ref="B1352:C1352"/>
    <mergeCell ref="B1353:C1353"/>
    <mergeCell ref="B1354:C1354"/>
    <mergeCell ref="B1355:C1355"/>
    <mergeCell ref="B1356:C1356"/>
    <mergeCell ref="B1357:C1357"/>
    <mergeCell ref="B1358:C1358"/>
    <mergeCell ref="B1359:C1359"/>
    <mergeCell ref="B1360:C1360"/>
    <mergeCell ref="B1361:C1361"/>
    <mergeCell ref="B1362:C1362"/>
    <mergeCell ref="B1363:C1363"/>
    <mergeCell ref="B1364:C1364"/>
    <mergeCell ref="B1366:C1366"/>
    <mergeCell ref="B1367:C1367"/>
    <mergeCell ref="B1368:C1368"/>
    <mergeCell ref="B1369:C1369"/>
    <mergeCell ref="A1371:G1371"/>
    <mergeCell ref="A1372:B1372"/>
    <mergeCell ref="E1372:G1372"/>
    <mergeCell ref="A1373:B1373"/>
    <mergeCell ref="C1373:E1373"/>
    <mergeCell ref="A1374:G1374"/>
    <mergeCell ref="A1375:G1375"/>
    <mergeCell ref="B1376:C1376"/>
    <mergeCell ref="B1377:C1377"/>
    <mergeCell ref="B1378:C1378"/>
    <mergeCell ref="B1379:C1379"/>
    <mergeCell ref="B1380:C1380"/>
    <mergeCell ref="B1381:C1381"/>
    <mergeCell ref="B1382:C1382"/>
    <mergeCell ref="B1383:C1383"/>
    <mergeCell ref="B1384:C1384"/>
    <mergeCell ref="B1385:C1385"/>
    <mergeCell ref="B1386:C1386"/>
    <mergeCell ref="B1387:C1387"/>
    <mergeCell ref="B1388:C1388"/>
    <mergeCell ref="B1389:C1389"/>
    <mergeCell ref="B1390:C1390"/>
    <mergeCell ref="B1391:C1391"/>
    <mergeCell ref="B1392:C1392"/>
    <mergeCell ref="B1393:C1393"/>
    <mergeCell ref="B1394:C1394"/>
    <mergeCell ref="B1395:C1395"/>
    <mergeCell ref="B1396:C1396"/>
    <mergeCell ref="B1397:C1397"/>
    <mergeCell ref="B1398:C1398"/>
    <mergeCell ref="B1399:C1399"/>
    <mergeCell ref="B1400:C1400"/>
    <mergeCell ref="B1401:C1401"/>
    <mergeCell ref="B1402:C1402"/>
    <mergeCell ref="B1403:C1403"/>
    <mergeCell ref="B1404:C1404"/>
    <mergeCell ref="B1405:C1405"/>
    <mergeCell ref="B1406:C1406"/>
    <mergeCell ref="B1407:C1407"/>
    <mergeCell ref="B1408:C1408"/>
    <mergeCell ref="A1410:G1410"/>
    <mergeCell ref="A1411:B1411"/>
    <mergeCell ref="E1411:G1411"/>
    <mergeCell ref="A1412:B1412"/>
    <mergeCell ref="C1412:E1412"/>
    <mergeCell ref="A1413:G1413"/>
    <mergeCell ref="A1414:G1414"/>
    <mergeCell ref="B1415:C1415"/>
    <mergeCell ref="B1416:C1416"/>
    <mergeCell ref="B1417:C1417"/>
    <mergeCell ref="B1418:C1418"/>
    <mergeCell ref="B1419:C1419"/>
    <mergeCell ref="B1420:C1420"/>
    <mergeCell ref="B1421:C1421"/>
    <mergeCell ref="B1422:C1422"/>
    <mergeCell ref="B1423:C1423"/>
    <mergeCell ref="B1424:C1424"/>
    <mergeCell ref="B1425:C1425"/>
    <mergeCell ref="B1426:C1426"/>
    <mergeCell ref="B1427:C1427"/>
    <mergeCell ref="B1428:C1428"/>
    <mergeCell ref="B1429:C1429"/>
    <mergeCell ref="B1430:C1430"/>
    <mergeCell ref="B1431:C1431"/>
    <mergeCell ref="B1432:C1432"/>
    <mergeCell ref="B1433:C1433"/>
    <mergeCell ref="B1434:C1434"/>
    <mergeCell ref="B1435:C1435"/>
    <mergeCell ref="B1436:C1436"/>
    <mergeCell ref="B1437:C1437"/>
    <mergeCell ref="B1438:C1438"/>
    <mergeCell ref="B1439:C1439"/>
    <mergeCell ref="B1440:C1440"/>
    <mergeCell ref="B1441:C1441"/>
    <mergeCell ref="B1442:C1442"/>
    <mergeCell ref="B1443:C1443"/>
    <mergeCell ref="B1444:C1444"/>
    <mergeCell ref="B1445:C1445"/>
    <mergeCell ref="B1446:C1446"/>
    <mergeCell ref="B1447:C1447"/>
    <mergeCell ref="A1450:G1450"/>
    <mergeCell ref="A1451:B1451"/>
    <mergeCell ref="E1451:G1451"/>
    <mergeCell ref="A1452:B1452"/>
    <mergeCell ref="C1452:E1452"/>
    <mergeCell ref="A1453:G1453"/>
    <mergeCell ref="A1454:G1454"/>
    <mergeCell ref="B1455:C1455"/>
    <mergeCell ref="B1456:C1456"/>
    <mergeCell ref="B1457:C1457"/>
    <mergeCell ref="B1458:C1458"/>
    <mergeCell ref="B1459:C1459"/>
    <mergeCell ref="B1460:C1460"/>
    <mergeCell ref="B1461:C1461"/>
    <mergeCell ref="B1462:C1462"/>
    <mergeCell ref="B1463:C1463"/>
    <mergeCell ref="B1464:C1464"/>
    <mergeCell ref="B1465:C1465"/>
    <mergeCell ref="B1466:C1466"/>
    <mergeCell ref="B1467:C1467"/>
    <mergeCell ref="B1468:C1468"/>
    <mergeCell ref="B1469:C1469"/>
    <mergeCell ref="B1470:C1470"/>
    <mergeCell ref="B1471:C1471"/>
    <mergeCell ref="B1472:C1472"/>
    <mergeCell ref="B1473:C1473"/>
    <mergeCell ref="B1474:C1474"/>
    <mergeCell ref="B1475:C1475"/>
    <mergeCell ref="B1476:C1476"/>
    <mergeCell ref="B1477:C1477"/>
    <mergeCell ref="B1478:C1478"/>
    <mergeCell ref="B1479:C1479"/>
    <mergeCell ref="B1480:C1480"/>
    <mergeCell ref="B1481:C1481"/>
    <mergeCell ref="B1482:C1482"/>
    <mergeCell ref="A1484:G1484"/>
    <mergeCell ref="A1485:B1485"/>
    <mergeCell ref="E1485:G1485"/>
    <mergeCell ref="A1486:B1486"/>
    <mergeCell ref="C1486:E1486"/>
    <mergeCell ref="A1487:G1487"/>
    <mergeCell ref="A1488:G1488"/>
    <mergeCell ref="B1489:C1489"/>
    <mergeCell ref="B1490:C1490"/>
    <mergeCell ref="B1491:C1491"/>
    <mergeCell ref="B1492:C1492"/>
    <mergeCell ref="B1493:C1493"/>
    <mergeCell ref="B1494:C1494"/>
    <mergeCell ref="B1495:C1495"/>
    <mergeCell ref="B1496:C1496"/>
    <mergeCell ref="B1497:C1497"/>
    <mergeCell ref="B1498:C1498"/>
    <mergeCell ref="B1499:C1499"/>
    <mergeCell ref="B1500:C1500"/>
    <mergeCell ref="B1501:C1501"/>
    <mergeCell ref="B1502:C1502"/>
    <mergeCell ref="B1503:C1503"/>
    <mergeCell ref="B1504:C1504"/>
    <mergeCell ref="B1505:C1505"/>
    <mergeCell ref="B1506:C1506"/>
    <mergeCell ref="B1507:C1507"/>
    <mergeCell ref="B1508:C1508"/>
    <mergeCell ref="B1509:C1509"/>
    <mergeCell ref="B1511:C1511"/>
    <mergeCell ref="B1512:C1512"/>
    <mergeCell ref="B1513:C1513"/>
    <mergeCell ref="B1514:C1514"/>
    <mergeCell ref="A1516:G1516"/>
    <mergeCell ref="A1517:B1517"/>
    <mergeCell ref="E1517:G1517"/>
    <mergeCell ref="A1518:B1518"/>
    <mergeCell ref="C1518:E1518"/>
    <mergeCell ref="A1519:G1519"/>
    <mergeCell ref="A1520:G1520"/>
    <mergeCell ref="B1521:C1521"/>
    <mergeCell ref="B1522:C1522"/>
    <mergeCell ref="B1523:C1523"/>
    <mergeCell ref="B1524:C1524"/>
    <mergeCell ref="B1525:C1525"/>
    <mergeCell ref="B1526:C1526"/>
    <mergeCell ref="B1527:C1527"/>
    <mergeCell ref="B1528:C1528"/>
    <mergeCell ref="B1529:C1529"/>
    <mergeCell ref="B1530:C1530"/>
    <mergeCell ref="B1531:C1531"/>
    <mergeCell ref="B1532:C1532"/>
    <mergeCell ref="B1533:C1533"/>
    <mergeCell ref="B1534:C1534"/>
    <mergeCell ref="B1535:C1535"/>
    <mergeCell ref="B1536:C1536"/>
    <mergeCell ref="B1537:C1537"/>
    <mergeCell ref="B1538:C1538"/>
    <mergeCell ref="B1539:C1539"/>
    <mergeCell ref="B1540:C1540"/>
    <mergeCell ref="B1541:C1541"/>
    <mergeCell ref="A1543:G1543"/>
    <mergeCell ref="A1544:B1544"/>
    <mergeCell ref="E1544:G1544"/>
    <mergeCell ref="A1545:B1545"/>
    <mergeCell ref="C1545:E1545"/>
    <mergeCell ref="A1546:G1546"/>
    <mergeCell ref="A1547:G1547"/>
    <mergeCell ref="B1548:C1548"/>
    <mergeCell ref="B1549:C1549"/>
    <mergeCell ref="B1550:C1550"/>
    <mergeCell ref="B1551:C1551"/>
    <mergeCell ref="B1552:C1552"/>
    <mergeCell ref="B1553:C1553"/>
    <mergeCell ref="B1554:C1554"/>
    <mergeCell ref="B1555:C1555"/>
    <mergeCell ref="B1557:C1557"/>
    <mergeCell ref="B1558:C1558"/>
    <mergeCell ref="B1559:C1559"/>
    <mergeCell ref="B1560:C1560"/>
    <mergeCell ref="B1561:C1561"/>
    <mergeCell ref="B1562:C1562"/>
    <mergeCell ref="B1563:C1563"/>
    <mergeCell ref="B1564:C1564"/>
    <mergeCell ref="B1565:C1565"/>
    <mergeCell ref="B1566:C1566"/>
    <mergeCell ref="B1567:C1567"/>
    <mergeCell ref="B1568:C1568"/>
    <mergeCell ref="B1569:C1569"/>
    <mergeCell ref="B1570:C1570"/>
    <mergeCell ref="B1571:C1571"/>
    <mergeCell ref="B1572:C1572"/>
    <mergeCell ref="B1573:C1573"/>
    <mergeCell ref="B1574:C1574"/>
    <mergeCell ref="B1575:C1575"/>
    <mergeCell ref="B1576:C1576"/>
    <mergeCell ref="A1579:G1579"/>
    <mergeCell ref="A1580:B1580"/>
    <mergeCell ref="E1580:G1580"/>
    <mergeCell ref="A1581:B1581"/>
    <mergeCell ref="C1581:E1581"/>
    <mergeCell ref="A1582:G1582"/>
    <mergeCell ref="A1583:G1583"/>
    <mergeCell ref="B1584:C1584"/>
    <mergeCell ref="B1585:C1585"/>
    <mergeCell ref="B1586:C1586"/>
    <mergeCell ref="B1587:C1587"/>
    <mergeCell ref="B1588:C1588"/>
    <mergeCell ref="B1589:C1589"/>
    <mergeCell ref="B1590:C1590"/>
    <mergeCell ref="B1591:C1591"/>
    <mergeCell ref="B1592:C1592"/>
    <mergeCell ref="B1593:C1593"/>
    <mergeCell ref="B1594:C1594"/>
    <mergeCell ref="B1595:C1595"/>
    <mergeCell ref="B1596:C1596"/>
    <mergeCell ref="B1597:C1597"/>
    <mergeCell ref="B1598:C1598"/>
    <mergeCell ref="A1600:G1600"/>
    <mergeCell ref="A1601:B1601"/>
    <mergeCell ref="E1601:G1601"/>
    <mergeCell ref="A1602:B1602"/>
    <mergeCell ref="C1602:E1602"/>
    <mergeCell ref="A1603:G1603"/>
    <mergeCell ref="A1604:G1604"/>
    <mergeCell ref="B1605:C1605"/>
    <mergeCell ref="B1606:C1606"/>
    <mergeCell ref="B1607:C1607"/>
    <mergeCell ref="B1608:C1608"/>
    <mergeCell ref="B1609:C1609"/>
    <mergeCell ref="B1610:C1610"/>
    <mergeCell ref="B1611:C1611"/>
    <mergeCell ref="B1612:C1612"/>
    <mergeCell ref="B1613:C1613"/>
    <mergeCell ref="B1614:C1614"/>
    <mergeCell ref="B1615:C1615"/>
    <mergeCell ref="B1616:C1616"/>
    <mergeCell ref="B1617:C1617"/>
    <mergeCell ref="B1618:C1618"/>
    <mergeCell ref="B1619:C1619"/>
    <mergeCell ref="B1620:C1620"/>
    <mergeCell ref="B1621:C1621"/>
    <mergeCell ref="B1622:C1622"/>
    <mergeCell ref="A1625:G1625"/>
    <mergeCell ref="A1626:B1626"/>
    <mergeCell ref="E1626:G1626"/>
    <mergeCell ref="A1627:B1627"/>
    <mergeCell ref="C1627:E1627"/>
    <mergeCell ref="A1628:G1628"/>
    <mergeCell ref="A1629:G1629"/>
    <mergeCell ref="B1630:C1630"/>
    <mergeCell ref="B1631:C1631"/>
    <mergeCell ref="B1632:C1632"/>
    <mergeCell ref="B1633:C1633"/>
    <mergeCell ref="B1634:C1634"/>
    <mergeCell ref="B1635:C1635"/>
    <mergeCell ref="B1636:C1636"/>
    <mergeCell ref="B1637:C1637"/>
    <mergeCell ref="B1638:C1638"/>
    <mergeCell ref="B1639:C1639"/>
    <mergeCell ref="B1640:C1640"/>
    <mergeCell ref="B1641:C1641"/>
    <mergeCell ref="A1643:G1643"/>
    <mergeCell ref="A1644:B1644"/>
    <mergeCell ref="E1644:G1644"/>
    <mergeCell ref="A1645:B1645"/>
    <mergeCell ref="C1645:E1645"/>
    <mergeCell ref="A1646:G1646"/>
    <mergeCell ref="A1647:G1647"/>
    <mergeCell ref="B1648:C1648"/>
    <mergeCell ref="B1649:C1649"/>
    <mergeCell ref="B1650:C1650"/>
    <mergeCell ref="B1651:C1651"/>
    <mergeCell ref="B1652:C1652"/>
    <mergeCell ref="B1653:C1653"/>
    <mergeCell ref="B1654:C1654"/>
    <mergeCell ref="B1655:C1655"/>
    <mergeCell ref="B1656:C1656"/>
    <mergeCell ref="B1657:C1657"/>
    <mergeCell ref="B1658:C1658"/>
    <mergeCell ref="B1659:C1659"/>
    <mergeCell ref="A1661:G1661"/>
    <mergeCell ref="A1662:B1662"/>
    <mergeCell ref="E1662:G1662"/>
    <mergeCell ref="A1663:B1663"/>
    <mergeCell ref="C1663:E1663"/>
    <mergeCell ref="A1664:G1664"/>
    <mergeCell ref="A1665:G1665"/>
    <mergeCell ref="B1666:C1666"/>
    <mergeCell ref="B1667:C1667"/>
    <mergeCell ref="B1668:C1668"/>
    <mergeCell ref="B1669:C1669"/>
    <mergeCell ref="B1670:C1670"/>
    <mergeCell ref="B1671:C1671"/>
    <mergeCell ref="B1672:C1672"/>
    <mergeCell ref="B1673:C1673"/>
    <mergeCell ref="B1674:C1674"/>
    <mergeCell ref="B1675:C1675"/>
    <mergeCell ref="B1676:C1676"/>
    <mergeCell ref="B1677:C1677"/>
    <mergeCell ref="A1680:G1680"/>
    <mergeCell ref="A1681:B1681"/>
    <mergeCell ref="E1681:G1681"/>
    <mergeCell ref="A1682:B1682"/>
    <mergeCell ref="C1682:E1682"/>
    <mergeCell ref="A1683:G1683"/>
    <mergeCell ref="A1684:G1684"/>
    <mergeCell ref="B1685:C1685"/>
    <mergeCell ref="B1686:C1686"/>
    <mergeCell ref="B1687:C1687"/>
    <mergeCell ref="B1688:C1688"/>
    <mergeCell ref="B1689:C1689"/>
    <mergeCell ref="B1690:C1690"/>
    <mergeCell ref="B1691:C1691"/>
    <mergeCell ref="B1692:C1692"/>
    <mergeCell ref="B1693:C1693"/>
    <mergeCell ref="B1694:C1694"/>
    <mergeCell ref="B1695:C1695"/>
    <mergeCell ref="B1696:C1696"/>
    <mergeCell ref="A1700:G1700"/>
    <mergeCell ref="A1701:B1701"/>
    <mergeCell ref="E1701:G1701"/>
    <mergeCell ref="A1702:B1702"/>
    <mergeCell ref="C1702:E1702"/>
    <mergeCell ref="A1703:G1703"/>
    <mergeCell ref="A1704:G1704"/>
    <mergeCell ref="B1705:C1705"/>
    <mergeCell ref="B1706:C1706"/>
    <mergeCell ref="B1707:C1707"/>
    <mergeCell ref="B1708:C1708"/>
    <mergeCell ref="B1709:C1709"/>
    <mergeCell ref="B1710:C1710"/>
    <mergeCell ref="B1711:C1711"/>
    <mergeCell ref="B1712:C1712"/>
    <mergeCell ref="B1713:C1713"/>
    <mergeCell ref="B1714:C1714"/>
    <mergeCell ref="B1715:C1715"/>
    <mergeCell ref="B1716:C1716"/>
    <mergeCell ref="B1717:C1717"/>
    <mergeCell ref="B1718:C1718"/>
    <mergeCell ref="B1719:C1719"/>
    <mergeCell ref="A1721:G1721"/>
    <mergeCell ref="A1722:B1722"/>
    <mergeCell ref="E1722:G1722"/>
    <mergeCell ref="A1723:B1723"/>
    <mergeCell ref="C1723:E1723"/>
    <mergeCell ref="A1724:G1724"/>
    <mergeCell ref="A1725:G1725"/>
    <mergeCell ref="B1726:C1726"/>
    <mergeCell ref="B1727:C1727"/>
    <mergeCell ref="B1728:C1728"/>
    <mergeCell ref="B1729:C1729"/>
    <mergeCell ref="B1730:C1730"/>
    <mergeCell ref="B1731:C1731"/>
    <mergeCell ref="B1732:C1732"/>
    <mergeCell ref="B1733:C1733"/>
    <mergeCell ref="B1734:C1734"/>
    <mergeCell ref="B1735:C1735"/>
    <mergeCell ref="B1736:C1736"/>
    <mergeCell ref="B1737:C1737"/>
    <mergeCell ref="B1738:C1738"/>
    <mergeCell ref="B1739:C1739"/>
    <mergeCell ref="B1740:C1740"/>
    <mergeCell ref="A1743:G1743"/>
    <mergeCell ref="A1744:B1744"/>
    <mergeCell ref="E1744:G1744"/>
    <mergeCell ref="A1745:B1745"/>
    <mergeCell ref="C1745:E1745"/>
    <mergeCell ref="A1746:G1746"/>
    <mergeCell ref="A1747:G1747"/>
    <mergeCell ref="B1748:C1748"/>
    <mergeCell ref="B1749:C1749"/>
    <mergeCell ref="B1750:C1750"/>
    <mergeCell ref="B1751:C1751"/>
    <mergeCell ref="B1752:C1752"/>
    <mergeCell ref="B1753:C1753"/>
    <mergeCell ref="B1754:C1754"/>
    <mergeCell ref="B1755:C1755"/>
    <mergeCell ref="B1756:C1756"/>
    <mergeCell ref="B1757:C1757"/>
    <mergeCell ref="B1758:C1758"/>
    <mergeCell ref="B1759:C1759"/>
    <mergeCell ref="B1760:C1760"/>
    <mergeCell ref="B1761:C1761"/>
    <mergeCell ref="B1762:C1762"/>
    <mergeCell ref="B1763:C1763"/>
    <mergeCell ref="B1764:C1764"/>
    <mergeCell ref="B1765:C1765"/>
    <mergeCell ref="B1766:C1766"/>
    <mergeCell ref="B1767:C1767"/>
    <mergeCell ref="B1768:C1768"/>
    <mergeCell ref="A1770:G1770"/>
    <mergeCell ref="A1771:B1771"/>
    <mergeCell ref="E1771:G1771"/>
    <mergeCell ref="A1772:B1772"/>
    <mergeCell ref="C1772:E1772"/>
    <mergeCell ref="A1773:G1773"/>
    <mergeCell ref="A1774:G1774"/>
    <mergeCell ref="B1775:C1775"/>
    <mergeCell ref="B1776:C1776"/>
    <mergeCell ref="B1777:C1777"/>
    <mergeCell ref="B1778:C1778"/>
    <mergeCell ref="B1779:C1779"/>
    <mergeCell ref="B1780:C1780"/>
    <mergeCell ref="B1781:C1781"/>
    <mergeCell ref="B1782:C1782"/>
    <mergeCell ref="B1783:C1783"/>
    <mergeCell ref="B1784:C1784"/>
    <mergeCell ref="B1785:C1785"/>
    <mergeCell ref="B1786:C1786"/>
    <mergeCell ref="B1787:C1787"/>
    <mergeCell ref="B1788:C1788"/>
    <mergeCell ref="B1789:C1789"/>
    <mergeCell ref="B1790:C1790"/>
    <mergeCell ref="B1791:C1791"/>
    <mergeCell ref="B1792:C1792"/>
    <mergeCell ref="B1793:C1793"/>
    <mergeCell ref="B1794:C1794"/>
    <mergeCell ref="B1795:C1795"/>
    <mergeCell ref="B1796:C1796"/>
    <mergeCell ref="A1798:G1798"/>
    <mergeCell ref="A1799:B1799"/>
    <mergeCell ref="E1799:G1799"/>
    <mergeCell ref="A1800:B1800"/>
    <mergeCell ref="C1800:E1800"/>
    <mergeCell ref="A1801:G1801"/>
    <mergeCell ref="A1802:G1802"/>
    <mergeCell ref="B1803:C1803"/>
    <mergeCell ref="B1804:C1804"/>
    <mergeCell ref="B1805:C1805"/>
    <mergeCell ref="B1806:C1806"/>
    <mergeCell ref="B1807:C1807"/>
    <mergeCell ref="B1808:C1808"/>
    <mergeCell ref="B1809:C1809"/>
    <mergeCell ref="B1810:C1810"/>
    <mergeCell ref="B1811:C1811"/>
    <mergeCell ref="B1812:C1812"/>
    <mergeCell ref="B1813:C1813"/>
    <mergeCell ref="B1814:C1814"/>
    <mergeCell ref="B1815:C1815"/>
    <mergeCell ref="B1816:C1816"/>
    <mergeCell ref="B1817:C1817"/>
    <mergeCell ref="B1818:C1818"/>
    <mergeCell ref="B1819:C1819"/>
    <mergeCell ref="B1820:C1820"/>
    <mergeCell ref="B1821:C1821"/>
    <mergeCell ref="B1822:C1822"/>
    <mergeCell ref="B1823:C1823"/>
    <mergeCell ref="B1824:C1824"/>
    <mergeCell ref="A1827:G1827"/>
    <mergeCell ref="A1828:B1828"/>
    <mergeCell ref="E1828:G1828"/>
    <mergeCell ref="A1829:B1829"/>
    <mergeCell ref="C1829:E1829"/>
    <mergeCell ref="A1830:G1830"/>
    <mergeCell ref="A1831:G1831"/>
    <mergeCell ref="B1832:C1832"/>
    <mergeCell ref="B1833:C1833"/>
    <mergeCell ref="B1834:C1834"/>
    <mergeCell ref="B1835:C1835"/>
    <mergeCell ref="B1836:C1836"/>
    <mergeCell ref="B1837:C1837"/>
    <mergeCell ref="B1838:C1838"/>
    <mergeCell ref="B1839:C1839"/>
    <mergeCell ref="B1840:C1840"/>
    <mergeCell ref="B1841:C1841"/>
    <mergeCell ref="B1842:C1842"/>
    <mergeCell ref="B1843:C1843"/>
    <mergeCell ref="A1845:G1845"/>
    <mergeCell ref="A1846:B1846"/>
    <mergeCell ref="E1846:G1846"/>
    <mergeCell ref="A1847:B1847"/>
    <mergeCell ref="C1847:E1847"/>
    <mergeCell ref="A1848:G1848"/>
    <mergeCell ref="A1849:G1849"/>
    <mergeCell ref="B1850:C1850"/>
    <mergeCell ref="B1851:C1851"/>
    <mergeCell ref="B1852:C1852"/>
    <mergeCell ref="B1853:C1853"/>
    <mergeCell ref="B1854:C1854"/>
    <mergeCell ref="B1855:C1855"/>
    <mergeCell ref="B1856:C1856"/>
    <mergeCell ref="B1857:C1857"/>
    <mergeCell ref="B1858:C1858"/>
    <mergeCell ref="B1859:C1859"/>
    <mergeCell ref="B1860:C1860"/>
    <mergeCell ref="B1861:C1861"/>
    <mergeCell ref="B1862:C1862"/>
    <mergeCell ref="B1863:C1863"/>
    <mergeCell ref="B1864:C1864"/>
    <mergeCell ref="A1873:G1873"/>
    <mergeCell ref="A1874:B1874"/>
    <mergeCell ref="E1874:G1874"/>
    <mergeCell ref="A1875:B1875"/>
    <mergeCell ref="C1875:E1875"/>
    <mergeCell ref="A1876:G1876"/>
    <mergeCell ref="A1877:G1877"/>
    <mergeCell ref="B1878:C1878"/>
    <mergeCell ref="B1879:C1879"/>
    <mergeCell ref="B1880:C1880"/>
    <mergeCell ref="B1881:C1881"/>
    <mergeCell ref="B1882:C1882"/>
    <mergeCell ref="B1883:C1883"/>
    <mergeCell ref="B1884:C1884"/>
    <mergeCell ref="B1885:C1885"/>
    <mergeCell ref="B1886:C1886"/>
    <mergeCell ref="B1887:C1887"/>
    <mergeCell ref="B1888:C1888"/>
    <mergeCell ref="B1889:C1889"/>
    <mergeCell ref="A1891:G1891"/>
    <mergeCell ref="A1892:B1892"/>
    <mergeCell ref="E1892:G1892"/>
    <mergeCell ref="A1893:B1893"/>
    <mergeCell ref="C1893:E1893"/>
    <mergeCell ref="A1894:G1894"/>
    <mergeCell ref="A1895:G1895"/>
    <mergeCell ref="B1896:C1896"/>
    <mergeCell ref="B1897:C1897"/>
    <mergeCell ref="B1898:C1898"/>
    <mergeCell ref="B1899:C1899"/>
    <mergeCell ref="B1900:C1900"/>
    <mergeCell ref="B1901:C1901"/>
    <mergeCell ref="B1902:C1902"/>
    <mergeCell ref="B1903:C1903"/>
    <mergeCell ref="B1904:C1904"/>
    <mergeCell ref="B1905:C1905"/>
    <mergeCell ref="B1906:C1906"/>
    <mergeCell ref="B1907:C1907"/>
    <mergeCell ref="A1910:G1910"/>
    <mergeCell ref="A1911:B1911"/>
    <mergeCell ref="E1911:G1911"/>
    <mergeCell ref="A1912:B1912"/>
    <mergeCell ref="C1912:E1912"/>
    <mergeCell ref="A1913:G1913"/>
    <mergeCell ref="A1914:G1914"/>
    <mergeCell ref="B1915:C1915"/>
    <mergeCell ref="B1916:C1916"/>
    <mergeCell ref="B1917:C1917"/>
    <mergeCell ref="B1918:C1918"/>
    <mergeCell ref="B1919:C1919"/>
    <mergeCell ref="B1920:C1920"/>
    <mergeCell ref="B1921:C1921"/>
    <mergeCell ref="B1922:C1922"/>
    <mergeCell ref="B1923:C1923"/>
    <mergeCell ref="B1924:C1924"/>
    <mergeCell ref="B1925:C1925"/>
    <mergeCell ref="B1926:C1926"/>
    <mergeCell ref="A1928:G1928"/>
    <mergeCell ref="A1929:B1929"/>
    <mergeCell ref="E1929:G1929"/>
    <mergeCell ref="A1930:B1930"/>
    <mergeCell ref="C1930:E1930"/>
    <mergeCell ref="A1931:G1931"/>
    <mergeCell ref="A1932:G1932"/>
    <mergeCell ref="B1933:C1933"/>
    <mergeCell ref="B1934:C1934"/>
    <mergeCell ref="B1935:C1935"/>
    <mergeCell ref="B1936:C1936"/>
    <mergeCell ref="B1937:C1937"/>
    <mergeCell ref="B1938:C1938"/>
    <mergeCell ref="B1939:C1939"/>
    <mergeCell ref="B1940:C1940"/>
    <mergeCell ref="B1941:C1941"/>
    <mergeCell ref="B1942:C1942"/>
    <mergeCell ref="B1943:C1943"/>
    <mergeCell ref="B1944:C1944"/>
    <mergeCell ref="A1946:G1946"/>
    <mergeCell ref="A1947:B1947"/>
    <mergeCell ref="E1947:G1947"/>
    <mergeCell ref="A1948:B1948"/>
    <mergeCell ref="C1948:E1948"/>
    <mergeCell ref="A1949:G1949"/>
    <mergeCell ref="A1950:G1950"/>
    <mergeCell ref="B1951:C1951"/>
    <mergeCell ref="B1952:C1952"/>
    <mergeCell ref="B1953:C1953"/>
    <mergeCell ref="B1954:C1954"/>
    <mergeCell ref="B1955:C1955"/>
    <mergeCell ref="B1956:C1956"/>
    <mergeCell ref="B1957:C1957"/>
    <mergeCell ref="B1958:C1958"/>
    <mergeCell ref="B1959:C1959"/>
    <mergeCell ref="B1960:C1960"/>
    <mergeCell ref="B1961:C1961"/>
    <mergeCell ref="B1962:C1962"/>
    <mergeCell ref="B1963:C1963"/>
    <mergeCell ref="B1964:C1964"/>
    <mergeCell ref="B1965:C1965"/>
    <mergeCell ref="B1966:C1966"/>
    <mergeCell ref="B1967:C1967"/>
    <mergeCell ref="A1970:G1970"/>
    <mergeCell ref="A1971:B1971"/>
    <mergeCell ref="E1971:G1971"/>
    <mergeCell ref="A1972:B1972"/>
    <mergeCell ref="C1972:E1972"/>
    <mergeCell ref="A1973:G1973"/>
    <mergeCell ref="A1974:G1974"/>
    <mergeCell ref="B1975:C1975"/>
    <mergeCell ref="B1976:C1976"/>
    <mergeCell ref="B1977:C1977"/>
    <mergeCell ref="B1978:C1978"/>
    <mergeCell ref="B1979:C1979"/>
    <mergeCell ref="B1980:C1980"/>
    <mergeCell ref="B1981:C1981"/>
    <mergeCell ref="B1982:C1982"/>
    <mergeCell ref="B1983:C1983"/>
    <mergeCell ref="B1984:C1984"/>
    <mergeCell ref="B1985:C1985"/>
    <mergeCell ref="B1986:C1986"/>
    <mergeCell ref="B1987:C1987"/>
    <mergeCell ref="B1988:C1988"/>
    <mergeCell ref="B1989:C1989"/>
    <mergeCell ref="B1990:C1990"/>
    <mergeCell ref="B1991:C1991"/>
    <mergeCell ref="A1993:G1993"/>
    <mergeCell ref="A1994:B1994"/>
    <mergeCell ref="E1994:G1994"/>
    <mergeCell ref="A1995:B1995"/>
    <mergeCell ref="C1995:E1995"/>
    <mergeCell ref="A1996:G1996"/>
    <mergeCell ref="A1997:G1997"/>
    <mergeCell ref="B1998:C1998"/>
    <mergeCell ref="B1999:C1999"/>
    <mergeCell ref="B2000:C2000"/>
    <mergeCell ref="B2001:C2001"/>
    <mergeCell ref="B2002:C2002"/>
    <mergeCell ref="B2003:C2003"/>
    <mergeCell ref="B2004:C2004"/>
    <mergeCell ref="B2005:C2005"/>
    <mergeCell ref="B2006:C2006"/>
    <mergeCell ref="B2007:C2007"/>
    <mergeCell ref="B2008:C2008"/>
    <mergeCell ref="B2009:C2009"/>
    <mergeCell ref="B2010:C2010"/>
    <mergeCell ref="B2011:C2011"/>
    <mergeCell ref="A2013:G2013"/>
    <mergeCell ref="A2014:B2014"/>
    <mergeCell ref="E2014:G2014"/>
    <mergeCell ref="A2015:B2015"/>
    <mergeCell ref="C2015:E2015"/>
    <mergeCell ref="A2016:G2016"/>
    <mergeCell ref="A2017:G2017"/>
    <mergeCell ref="B2018:C2018"/>
    <mergeCell ref="B2019:C2019"/>
    <mergeCell ref="B2020:C2020"/>
    <mergeCell ref="B2021:C2021"/>
    <mergeCell ref="B2022:C2022"/>
    <mergeCell ref="B2023:C2023"/>
    <mergeCell ref="B2024:C2024"/>
    <mergeCell ref="B2025:C2025"/>
    <mergeCell ref="B2026:C2026"/>
    <mergeCell ref="B2027:C2027"/>
    <mergeCell ref="B2028:C2028"/>
    <mergeCell ref="B2029:C2029"/>
    <mergeCell ref="B2030:C2030"/>
    <mergeCell ref="B2031:C2031"/>
    <mergeCell ref="B2032:C2032"/>
    <mergeCell ref="B2033:C2033"/>
    <mergeCell ref="B2034:C2034"/>
    <mergeCell ref="B2035:C2035"/>
    <mergeCell ref="A2042:G2042"/>
    <mergeCell ref="A2043:B2043"/>
    <mergeCell ref="E2043:G2043"/>
    <mergeCell ref="A2044:B2044"/>
    <mergeCell ref="C2044:E2044"/>
    <mergeCell ref="A2045:G2045"/>
    <mergeCell ref="A2046:G2046"/>
    <mergeCell ref="B2047:C2047"/>
    <mergeCell ref="B2048:C2048"/>
    <mergeCell ref="B2049:C2049"/>
    <mergeCell ref="B2050:C2050"/>
    <mergeCell ref="B2051:C2051"/>
    <mergeCell ref="B2052:C2052"/>
    <mergeCell ref="B2053:C2053"/>
    <mergeCell ref="B2054:C2054"/>
    <mergeCell ref="B2055:C2055"/>
    <mergeCell ref="B2056:C2056"/>
    <mergeCell ref="B2057:C2057"/>
    <mergeCell ref="B2058:C2058"/>
    <mergeCell ref="B2059:C2059"/>
    <mergeCell ref="B2060:C2060"/>
    <mergeCell ref="B2061:C2061"/>
    <mergeCell ref="B2062:C2062"/>
  </mergeCells>
  <printOptions horizontalCentered="1"/>
  <pageMargins left="0.979861111111111" right="0.789583333333333" top="0.839583333333333" bottom="0.85" header="0.509722222222222" footer="0.509722222222222"/>
  <pageSetup paperSize="9" orientation="portrait"/>
  <headerFooter alignWithMargins="0" scaleWithDoc="0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2100"/>
  <sheetViews>
    <sheetView workbookViewId="0">
      <selection activeCell="M24" sqref="M24"/>
    </sheetView>
  </sheetViews>
  <sheetFormatPr defaultColWidth="9" defaultRowHeight="20.1" customHeight="1"/>
  <cols>
    <col min="1" max="2" width="6" style="91" customWidth="1"/>
    <col min="3" max="3" width="14" style="91" customWidth="1"/>
    <col min="4" max="4" width="9.375" style="91" customWidth="1"/>
    <col min="5" max="5" width="11.875" style="91" customWidth="1"/>
    <col min="6" max="6" width="11.375" style="91" customWidth="1"/>
    <col min="7" max="7" width="13.375" style="91" customWidth="1"/>
    <col min="8" max="8" width="13.625" style="92" customWidth="1"/>
    <col min="9" max="9" width="13.875" style="92" customWidth="1"/>
    <col min="10" max="10" width="10.75" style="92" customWidth="1"/>
    <col min="11" max="11" width="15.5" style="92" customWidth="1"/>
    <col min="12" max="12" width="11.125" style="92" customWidth="1"/>
    <col min="13" max="13" width="10.375" style="92" customWidth="1"/>
    <col min="14" max="14" width="11.625" style="92" customWidth="1"/>
    <col min="15" max="15" width="13.25" style="92" customWidth="1"/>
    <col min="16" max="16" width="9.5" style="92" customWidth="1"/>
    <col min="17" max="17" width="20.125" style="92" customWidth="1"/>
    <col min="18" max="18" width="9.125" style="92" customWidth="1"/>
    <col min="19" max="19" width="10.625" style="93" customWidth="1"/>
    <col min="20" max="20" width="11.375" style="93" customWidth="1"/>
    <col min="21" max="21" width="9.375" style="93" customWidth="1"/>
    <col min="22" max="22" width="9.5" style="93" customWidth="1"/>
    <col min="23" max="23" width="19.625" style="93" customWidth="1"/>
    <col min="24" max="24" width="9.5" style="93" customWidth="1"/>
    <col min="25" max="25" width="9.375" style="93" customWidth="1"/>
    <col min="26" max="26" width="11.125" style="93" customWidth="1"/>
    <col min="27" max="27" width="12.25" style="93" customWidth="1"/>
    <col min="28" max="28" width="8.5" style="93" customWidth="1"/>
    <col min="29" max="29" width="20.375" style="93" customWidth="1"/>
    <col min="30" max="30" width="8.5" style="93" customWidth="1"/>
    <col min="31" max="31" width="9.5" style="92" customWidth="1"/>
    <col min="32" max="32" width="10.75" style="92" customWidth="1"/>
    <col min="33" max="33" width="17.125" style="92" customWidth="1"/>
    <col min="34" max="34" width="24.5" style="92" customWidth="1"/>
    <col min="35" max="35" width="9" style="92"/>
    <col min="36" max="36" width="18.875" style="92" customWidth="1"/>
    <col min="37" max="37" width="9" style="92"/>
    <col min="38" max="38" width="11.5" style="92" customWidth="1"/>
    <col min="39" max="39" width="12.125" style="92" customWidth="1"/>
    <col min="40" max="40" width="16.625" style="92" customWidth="1"/>
    <col min="41" max="16384" width="9" style="92"/>
  </cols>
  <sheetData>
    <row r="1" customHeight="1" spans="1:7">
      <c r="A1" s="94" t="s">
        <v>868</v>
      </c>
      <c r="B1" s="94"/>
      <c r="C1" s="94"/>
      <c r="D1" s="94"/>
      <c r="E1" s="94"/>
      <c r="F1" s="94"/>
      <c r="G1" s="94"/>
    </row>
    <row r="2" customHeight="1" spans="1:7">
      <c r="A2" s="95" t="s">
        <v>869</v>
      </c>
      <c r="B2" s="96"/>
      <c r="C2" s="96"/>
      <c r="D2" s="96" t="s">
        <v>870</v>
      </c>
      <c r="E2" s="97" t="s">
        <v>1553</v>
      </c>
      <c r="F2" s="98"/>
      <c r="G2" s="99"/>
    </row>
    <row r="3" customHeight="1" spans="1:7">
      <c r="A3" s="100" t="s">
        <v>507</v>
      </c>
      <c r="B3" s="101"/>
      <c r="C3" s="102" t="s">
        <v>1554</v>
      </c>
      <c r="D3" s="102"/>
      <c r="E3" s="102"/>
      <c r="F3" s="103" t="s">
        <v>873</v>
      </c>
      <c r="G3" s="104" t="s">
        <v>496</v>
      </c>
    </row>
    <row r="4" customHeight="1" spans="1:7">
      <c r="A4" s="105" t="s">
        <v>875</v>
      </c>
      <c r="B4" s="102"/>
      <c r="C4" s="102"/>
      <c r="D4" s="102"/>
      <c r="E4" s="102"/>
      <c r="F4" s="102"/>
      <c r="G4" s="106"/>
    </row>
    <row r="5" customHeight="1" spans="1:7">
      <c r="A5" s="107" t="s">
        <v>912</v>
      </c>
      <c r="B5" s="108"/>
      <c r="C5" s="109"/>
      <c r="D5" s="109"/>
      <c r="E5" s="109"/>
      <c r="F5" s="109"/>
      <c r="G5" s="110"/>
    </row>
    <row r="6" customHeight="1" spans="1:7">
      <c r="A6" s="100" t="s">
        <v>34</v>
      </c>
      <c r="B6" s="103" t="s">
        <v>761</v>
      </c>
      <c r="C6" s="103"/>
      <c r="D6" s="103" t="s">
        <v>60</v>
      </c>
      <c r="E6" s="111" t="s">
        <v>877</v>
      </c>
      <c r="F6" s="103" t="s">
        <v>878</v>
      </c>
      <c r="G6" s="104" t="s">
        <v>879</v>
      </c>
    </row>
    <row r="7" customHeight="1" spans="1:7">
      <c r="A7" s="100" t="s">
        <v>8</v>
      </c>
      <c r="B7" s="112" t="s">
        <v>880</v>
      </c>
      <c r="C7" s="112"/>
      <c r="D7" s="103"/>
      <c r="E7" s="111"/>
      <c r="F7" s="111"/>
      <c r="G7" s="113">
        <f>G8+G22</f>
        <v>16.7377366289523</v>
      </c>
    </row>
    <row r="8" customHeight="1" spans="1:7">
      <c r="A8" s="100" t="s">
        <v>881</v>
      </c>
      <c r="B8" s="112" t="s">
        <v>882</v>
      </c>
      <c r="C8" s="112"/>
      <c r="D8" s="103"/>
      <c r="E8" s="111"/>
      <c r="F8" s="111"/>
      <c r="G8" s="113">
        <f>G9+G12</f>
        <v>15.8651532027984</v>
      </c>
    </row>
    <row r="9" customHeight="1" spans="1:7">
      <c r="A9" s="100" t="s">
        <v>17</v>
      </c>
      <c r="B9" s="112" t="s">
        <v>510</v>
      </c>
      <c r="C9" s="112"/>
      <c r="D9" s="103"/>
      <c r="E9" s="111"/>
      <c r="F9" s="111"/>
      <c r="G9" s="113">
        <f>SUM(G10:G11)</f>
        <v>11.451</v>
      </c>
    </row>
    <row r="10" customHeight="1" spans="1:7">
      <c r="A10" s="100"/>
      <c r="B10" s="112" t="s">
        <v>704</v>
      </c>
      <c r="C10" s="112"/>
      <c r="D10" s="103" t="s">
        <v>705</v>
      </c>
      <c r="E10" s="111">
        <v>1.2</v>
      </c>
      <c r="F10" s="111">
        <f>主要材料预算!$D$19</f>
        <v>8.1</v>
      </c>
      <c r="G10" s="113">
        <f t="shared" ref="G10:G13" si="0">E10*F10</f>
        <v>9.72</v>
      </c>
    </row>
    <row r="11" customHeight="1" spans="1:7">
      <c r="A11" s="100"/>
      <c r="B11" s="112" t="s">
        <v>706</v>
      </c>
      <c r="C11" s="112"/>
      <c r="D11" s="103" t="s">
        <v>705</v>
      </c>
      <c r="E11" s="114">
        <v>0.3</v>
      </c>
      <c r="F11" s="111">
        <f>主要材料预算!$D$20</f>
        <v>5.77</v>
      </c>
      <c r="G11" s="113">
        <f t="shared" si="0"/>
        <v>1.731</v>
      </c>
    </row>
    <row r="12" customHeight="1" spans="1:7">
      <c r="A12" s="100" t="s">
        <v>19</v>
      </c>
      <c r="B12" s="66" t="s">
        <v>511</v>
      </c>
      <c r="C12" s="67"/>
      <c r="D12" s="103"/>
      <c r="E12" s="111"/>
      <c r="F12" s="111"/>
      <c r="G12" s="113">
        <f>SUM(G13:G21)</f>
        <v>4.41415320279836</v>
      </c>
    </row>
    <row r="13" customHeight="1" spans="1:7">
      <c r="A13" s="100"/>
      <c r="B13" s="66" t="s">
        <v>1555</v>
      </c>
      <c r="C13" s="67"/>
      <c r="D13" s="103" t="s">
        <v>1142</v>
      </c>
      <c r="E13" s="111">
        <v>0.01</v>
      </c>
      <c r="F13" s="111">
        <f>基础材料!$H$3</f>
        <v>17</v>
      </c>
      <c r="G13" s="113">
        <f t="shared" si="0"/>
        <v>0.17</v>
      </c>
    </row>
    <row r="14" customHeight="1" spans="1:7">
      <c r="A14" s="100"/>
      <c r="B14" s="66" t="s">
        <v>1556</v>
      </c>
      <c r="C14" s="67"/>
      <c r="D14" s="103" t="s">
        <v>1142</v>
      </c>
      <c r="E14" s="111">
        <v>0.02</v>
      </c>
      <c r="F14" s="111">
        <f>基础材料!$H$4</f>
        <v>13.86</v>
      </c>
      <c r="G14" s="113">
        <f t="shared" ref="G14:G20" si="1">E14*F14</f>
        <v>0.2772</v>
      </c>
    </row>
    <row r="15" customHeight="1" spans="1:7">
      <c r="A15" s="100"/>
      <c r="B15" s="66" t="s">
        <v>1557</v>
      </c>
      <c r="C15" s="67"/>
      <c r="D15" s="103" t="s">
        <v>1142</v>
      </c>
      <c r="E15" s="111">
        <v>0.04</v>
      </c>
      <c r="F15" s="111">
        <f>基础材料!$H$5</f>
        <v>4.61</v>
      </c>
      <c r="G15" s="113">
        <f t="shared" si="1"/>
        <v>0.1844</v>
      </c>
    </row>
    <row r="16" customHeight="1" spans="1:7">
      <c r="A16" s="100"/>
      <c r="B16" s="66" t="s">
        <v>696</v>
      </c>
      <c r="C16" s="67"/>
      <c r="D16" s="103" t="s">
        <v>1142</v>
      </c>
      <c r="E16" s="111">
        <v>0.08</v>
      </c>
      <c r="F16" s="111">
        <f>基础材料!$H$6</f>
        <v>10.8827586206897</v>
      </c>
      <c r="G16" s="113">
        <f t="shared" si="1"/>
        <v>0.870620689655172</v>
      </c>
    </row>
    <row r="17" customHeight="1" spans="1:7">
      <c r="A17" s="100"/>
      <c r="B17" s="66" t="s">
        <v>694</v>
      </c>
      <c r="C17" s="67"/>
      <c r="D17" s="103" t="s">
        <v>1142</v>
      </c>
      <c r="E17" s="111">
        <v>0.09</v>
      </c>
      <c r="F17" s="111">
        <f>基础材料!$H$7</f>
        <v>9.0516206482593</v>
      </c>
      <c r="G17" s="113">
        <f t="shared" si="1"/>
        <v>0.814645858343337</v>
      </c>
    </row>
    <row r="18" customHeight="1" spans="1:7">
      <c r="A18" s="100"/>
      <c r="B18" s="66" t="s">
        <v>1558</v>
      </c>
      <c r="C18" s="67"/>
      <c r="D18" s="103" t="s">
        <v>1142</v>
      </c>
      <c r="E18" s="111">
        <v>0.1</v>
      </c>
      <c r="F18" s="111">
        <f>基础材料!$H$8</f>
        <v>5.2</v>
      </c>
      <c r="G18" s="113">
        <f t="shared" si="1"/>
        <v>0.52</v>
      </c>
    </row>
    <row r="19" customHeight="1" spans="1:7">
      <c r="A19" s="100"/>
      <c r="B19" s="66" t="s">
        <v>1559</v>
      </c>
      <c r="C19" s="67"/>
      <c r="D19" s="103" t="s">
        <v>366</v>
      </c>
      <c r="E19" s="111">
        <v>0.02</v>
      </c>
      <c r="F19" s="111">
        <f>基础材料!$H$9</f>
        <v>10</v>
      </c>
      <c r="G19" s="113">
        <f t="shared" si="1"/>
        <v>0.2</v>
      </c>
    </row>
    <row r="20" customHeight="1" spans="1:7">
      <c r="A20" s="100"/>
      <c r="B20" s="66" t="s">
        <v>1560</v>
      </c>
      <c r="C20" s="67"/>
      <c r="D20" s="103" t="s">
        <v>1142</v>
      </c>
      <c r="E20" s="111">
        <v>0.16</v>
      </c>
      <c r="F20" s="111">
        <f>基础材料!$H$10</f>
        <v>6.1</v>
      </c>
      <c r="G20" s="113">
        <f t="shared" si="1"/>
        <v>0.976</v>
      </c>
    </row>
    <row r="21" customHeight="1" spans="1:7">
      <c r="A21" s="100"/>
      <c r="B21" s="112" t="s">
        <v>893</v>
      </c>
      <c r="C21" s="112"/>
      <c r="D21" s="103" t="s">
        <v>894</v>
      </c>
      <c r="E21" s="111">
        <f>SUM(G13:G20)</f>
        <v>4.01286654799851</v>
      </c>
      <c r="F21" s="115">
        <v>10</v>
      </c>
      <c r="G21" s="113">
        <f>E21*F21/100</f>
        <v>0.401286654799851</v>
      </c>
    </row>
    <row r="22" customHeight="1" spans="1:7">
      <c r="A22" s="100" t="s">
        <v>905</v>
      </c>
      <c r="B22" s="112" t="s">
        <v>514</v>
      </c>
      <c r="C22" s="112"/>
      <c r="D22" s="103"/>
      <c r="E22" s="116">
        <f>G8</f>
        <v>15.8651532027984</v>
      </c>
      <c r="F22" s="117">
        <f>费率表!$K$4</f>
        <v>0.055</v>
      </c>
      <c r="G22" s="113">
        <f t="shared" ref="G22:G26" si="2">E22*F22</f>
        <v>0.87258342615391</v>
      </c>
    </row>
    <row r="23" customHeight="1" spans="1:7">
      <c r="A23" s="100" t="s">
        <v>10</v>
      </c>
      <c r="B23" s="112" t="s">
        <v>770</v>
      </c>
      <c r="C23" s="112"/>
      <c r="D23" s="103"/>
      <c r="E23" s="111">
        <f>G7</f>
        <v>16.7377366289523</v>
      </c>
      <c r="F23" s="118">
        <f>费率表!$K$5</f>
        <v>0.7</v>
      </c>
      <c r="G23" s="113">
        <f t="shared" si="2"/>
        <v>11.7164156402666</v>
      </c>
    </row>
    <row r="24" customHeight="1" spans="1:7">
      <c r="A24" s="100" t="s">
        <v>12</v>
      </c>
      <c r="B24" s="112" t="s">
        <v>771</v>
      </c>
      <c r="C24" s="112"/>
      <c r="D24" s="103"/>
      <c r="E24" s="111">
        <f>G7+G23</f>
        <v>28.4541522692189</v>
      </c>
      <c r="F24" s="118">
        <f>费率表!$K$6</f>
        <v>0.07</v>
      </c>
      <c r="G24" s="113">
        <f t="shared" si="2"/>
        <v>1.99179065884532</v>
      </c>
    </row>
    <row r="25" customHeight="1" spans="1:7">
      <c r="A25" s="100" t="s">
        <v>15</v>
      </c>
      <c r="B25" s="112" t="s">
        <v>772</v>
      </c>
      <c r="C25" s="112"/>
      <c r="D25" s="103"/>
      <c r="E25" s="111">
        <f>G7+G23+G24</f>
        <v>30.4459429280642</v>
      </c>
      <c r="F25" s="118">
        <f>费率表!$K$7</f>
        <v>0.09</v>
      </c>
      <c r="G25" s="113">
        <f t="shared" si="2"/>
        <v>2.74013486352578</v>
      </c>
    </row>
    <row r="26" customHeight="1" spans="1:7">
      <c r="A26" s="100"/>
      <c r="B26" s="112" t="s">
        <v>907</v>
      </c>
      <c r="C26" s="112"/>
      <c r="D26" s="103"/>
      <c r="E26" s="111">
        <f>G7+G23+G24+G25</f>
        <v>33.18607779159</v>
      </c>
      <c r="F26" s="118">
        <f>费率表!$B$19</f>
        <v>0.03</v>
      </c>
      <c r="G26" s="113">
        <f t="shared" si="2"/>
        <v>0.995582333747699</v>
      </c>
    </row>
    <row r="27" customHeight="1" spans="1:7">
      <c r="A27" s="119"/>
      <c r="B27" s="120" t="s">
        <v>39</v>
      </c>
      <c r="C27" s="120"/>
      <c r="D27" s="120"/>
      <c r="E27" s="121"/>
      <c r="F27" s="120"/>
      <c r="G27" s="122">
        <f>G7+G23+G24+G25+G26</f>
        <v>34.1816601253377</v>
      </c>
    </row>
    <row r="28" customHeight="1" spans="1:7">
      <c r="A28" s="123"/>
      <c r="B28" s="123"/>
      <c r="C28" s="123"/>
      <c r="D28" s="123"/>
      <c r="E28" s="124"/>
      <c r="F28" s="123"/>
      <c r="G28" s="124"/>
    </row>
    <row r="29" customHeight="1" spans="1:7">
      <c r="A29" s="94" t="s">
        <v>868</v>
      </c>
      <c r="B29" s="94"/>
      <c r="C29" s="94"/>
      <c r="D29" s="94"/>
      <c r="E29" s="94"/>
      <c r="F29" s="94"/>
      <c r="G29" s="94"/>
    </row>
    <row r="30" customHeight="1" spans="1:7">
      <c r="A30" s="95" t="s">
        <v>869</v>
      </c>
      <c r="B30" s="96"/>
      <c r="C30" s="96"/>
      <c r="D30" s="96" t="s">
        <v>870</v>
      </c>
      <c r="E30" s="97" t="s">
        <v>1561</v>
      </c>
      <c r="F30" s="98"/>
      <c r="G30" s="99"/>
    </row>
    <row r="31" customHeight="1" spans="1:7">
      <c r="A31" s="100" t="s">
        <v>507</v>
      </c>
      <c r="B31" s="101"/>
      <c r="C31" s="102" t="s">
        <v>1562</v>
      </c>
      <c r="D31" s="102"/>
      <c r="E31" s="102"/>
      <c r="F31" s="103" t="s">
        <v>873</v>
      </c>
      <c r="G31" s="104" t="s">
        <v>496</v>
      </c>
    </row>
    <row r="32" customHeight="1" spans="1:7">
      <c r="A32" s="105" t="s">
        <v>875</v>
      </c>
      <c r="B32" s="102"/>
      <c r="C32" s="102"/>
      <c r="D32" s="102"/>
      <c r="E32" s="102"/>
      <c r="F32" s="102"/>
      <c r="G32" s="106"/>
    </row>
    <row r="33" customHeight="1" spans="1:7">
      <c r="A33" s="107" t="s">
        <v>912</v>
      </c>
      <c r="B33" s="108"/>
      <c r="C33" s="109"/>
      <c r="D33" s="109"/>
      <c r="E33" s="109"/>
      <c r="F33" s="109"/>
      <c r="G33" s="110"/>
    </row>
    <row r="34" customHeight="1" spans="1:7">
      <c r="A34" s="100" t="s">
        <v>34</v>
      </c>
      <c r="B34" s="103" t="s">
        <v>761</v>
      </c>
      <c r="C34" s="103"/>
      <c r="D34" s="103" t="s">
        <v>60</v>
      </c>
      <c r="E34" s="111" t="s">
        <v>877</v>
      </c>
      <c r="F34" s="103" t="s">
        <v>878</v>
      </c>
      <c r="G34" s="104" t="s">
        <v>879</v>
      </c>
    </row>
    <row r="35" customHeight="1" spans="1:7">
      <c r="A35" s="100" t="s">
        <v>8</v>
      </c>
      <c r="B35" s="112" t="s">
        <v>880</v>
      </c>
      <c r="C35" s="112"/>
      <c r="D35" s="103"/>
      <c r="E35" s="111"/>
      <c r="F35" s="111"/>
      <c r="G35" s="113">
        <f>G36+G50</f>
        <v>25.5168774722399</v>
      </c>
    </row>
    <row r="36" customHeight="1" spans="1:7">
      <c r="A36" s="100" t="s">
        <v>881</v>
      </c>
      <c r="B36" s="112" t="s">
        <v>882</v>
      </c>
      <c r="C36" s="112"/>
      <c r="D36" s="103"/>
      <c r="E36" s="111"/>
      <c r="F36" s="111"/>
      <c r="G36" s="113">
        <f>G37+G40</f>
        <v>24.186613717763</v>
      </c>
    </row>
    <row r="37" customHeight="1" spans="1:7">
      <c r="A37" s="100" t="s">
        <v>17</v>
      </c>
      <c r="B37" s="112" t="s">
        <v>510</v>
      </c>
      <c r="C37" s="112"/>
      <c r="D37" s="103"/>
      <c r="E37" s="111"/>
      <c r="F37" s="111"/>
      <c r="G37" s="113">
        <f>SUM(G38:G39)</f>
        <v>17.465</v>
      </c>
    </row>
    <row r="38" customHeight="1" spans="1:7">
      <c r="A38" s="100"/>
      <c r="B38" s="112" t="s">
        <v>704</v>
      </c>
      <c r="C38" s="112"/>
      <c r="D38" s="103" t="s">
        <v>705</v>
      </c>
      <c r="E38" s="111">
        <v>1.8</v>
      </c>
      <c r="F38" s="111">
        <f>主要材料预算!$D$19</f>
        <v>8.1</v>
      </c>
      <c r="G38" s="113">
        <f t="shared" ref="G38:G41" si="3">E38*F38</f>
        <v>14.58</v>
      </c>
    </row>
    <row r="39" customHeight="1" spans="1:7">
      <c r="A39" s="100"/>
      <c r="B39" s="112" t="s">
        <v>706</v>
      </c>
      <c r="C39" s="112"/>
      <c r="D39" s="103" t="s">
        <v>705</v>
      </c>
      <c r="E39" s="114">
        <v>0.5</v>
      </c>
      <c r="F39" s="111">
        <f>主要材料预算!$D$20</f>
        <v>5.77</v>
      </c>
      <c r="G39" s="113">
        <f t="shared" si="3"/>
        <v>2.885</v>
      </c>
    </row>
    <row r="40" customHeight="1" spans="1:7">
      <c r="A40" s="100" t="s">
        <v>19</v>
      </c>
      <c r="B40" s="66" t="s">
        <v>511</v>
      </c>
      <c r="C40" s="67"/>
      <c r="D40" s="103"/>
      <c r="E40" s="111"/>
      <c r="F40" s="111"/>
      <c r="G40" s="113">
        <f>SUM(G41:G49)</f>
        <v>6.72161371776297</v>
      </c>
    </row>
    <row r="41" customHeight="1" spans="1:7">
      <c r="A41" s="100"/>
      <c r="B41" s="66" t="s">
        <v>1555</v>
      </c>
      <c r="C41" s="67"/>
      <c r="D41" s="103" t="s">
        <v>1142</v>
      </c>
      <c r="E41" s="111">
        <v>0.02</v>
      </c>
      <c r="F41" s="111">
        <f>基础材料!$H$3</f>
        <v>17</v>
      </c>
      <c r="G41" s="113">
        <f t="shared" si="3"/>
        <v>0.34</v>
      </c>
    </row>
    <row r="42" customHeight="1" spans="1:7">
      <c r="A42" s="100"/>
      <c r="B42" s="66" t="s">
        <v>1556</v>
      </c>
      <c r="C42" s="67"/>
      <c r="D42" s="103" t="s">
        <v>1142</v>
      </c>
      <c r="E42" s="111">
        <v>0.03</v>
      </c>
      <c r="F42" s="111">
        <f>基础材料!$H$4</f>
        <v>13.86</v>
      </c>
      <c r="G42" s="113">
        <f t="shared" ref="G42:G48" si="4">E42*F42</f>
        <v>0.4158</v>
      </c>
    </row>
    <row r="43" customHeight="1" spans="1:7">
      <c r="A43" s="100"/>
      <c r="B43" s="66" t="s">
        <v>1557</v>
      </c>
      <c r="C43" s="67"/>
      <c r="D43" s="103" t="s">
        <v>1142</v>
      </c>
      <c r="E43" s="111">
        <v>0.06</v>
      </c>
      <c r="F43" s="111">
        <f>基础材料!$H$5</f>
        <v>4.61</v>
      </c>
      <c r="G43" s="113">
        <f t="shared" si="4"/>
        <v>0.2766</v>
      </c>
    </row>
    <row r="44" customHeight="1" spans="1:7">
      <c r="A44" s="100"/>
      <c r="B44" s="66" t="s">
        <v>696</v>
      </c>
      <c r="C44" s="67"/>
      <c r="D44" s="103" t="s">
        <v>1142</v>
      </c>
      <c r="E44" s="111">
        <v>0.12</v>
      </c>
      <c r="F44" s="111">
        <f>基础材料!$H$6</f>
        <v>10.8827586206897</v>
      </c>
      <c r="G44" s="113">
        <f t="shared" si="4"/>
        <v>1.30593103448276</v>
      </c>
    </row>
    <row r="45" customHeight="1" spans="1:7">
      <c r="A45" s="100"/>
      <c r="B45" s="66" t="s">
        <v>694</v>
      </c>
      <c r="C45" s="67"/>
      <c r="D45" s="103" t="s">
        <v>1142</v>
      </c>
      <c r="E45" s="111">
        <v>0.14</v>
      </c>
      <c r="F45" s="111">
        <f>基础材料!$H$7</f>
        <v>9.0516206482593</v>
      </c>
      <c r="G45" s="113">
        <f t="shared" si="4"/>
        <v>1.2672268907563</v>
      </c>
    </row>
    <row r="46" customHeight="1" spans="1:7">
      <c r="A46" s="100"/>
      <c r="B46" s="66" t="s">
        <v>1558</v>
      </c>
      <c r="C46" s="67"/>
      <c r="D46" s="103" t="s">
        <v>1142</v>
      </c>
      <c r="E46" s="111">
        <v>0.15</v>
      </c>
      <c r="F46" s="111">
        <f>基础材料!$H$8</f>
        <v>5.2</v>
      </c>
      <c r="G46" s="113">
        <f t="shared" si="4"/>
        <v>0.78</v>
      </c>
    </row>
    <row r="47" customHeight="1" spans="1:7">
      <c r="A47" s="100"/>
      <c r="B47" s="66" t="s">
        <v>1559</v>
      </c>
      <c r="C47" s="67"/>
      <c r="D47" s="103" t="s">
        <v>366</v>
      </c>
      <c r="E47" s="111">
        <v>0.02</v>
      </c>
      <c r="F47" s="111">
        <f>基础材料!$H$9</f>
        <v>10</v>
      </c>
      <c r="G47" s="113">
        <f t="shared" si="4"/>
        <v>0.2</v>
      </c>
    </row>
    <row r="48" customHeight="1" spans="1:7">
      <c r="A48" s="100"/>
      <c r="B48" s="66" t="s">
        <v>1560</v>
      </c>
      <c r="C48" s="67"/>
      <c r="D48" s="103" t="s">
        <v>1142</v>
      </c>
      <c r="E48" s="111">
        <v>0.25</v>
      </c>
      <c r="F48" s="111">
        <f>基础材料!$H$10</f>
        <v>6.1</v>
      </c>
      <c r="G48" s="113">
        <f t="shared" si="4"/>
        <v>1.525</v>
      </c>
    </row>
    <row r="49" customHeight="1" spans="1:7">
      <c r="A49" s="100"/>
      <c r="B49" s="112" t="s">
        <v>893</v>
      </c>
      <c r="C49" s="112"/>
      <c r="D49" s="103" t="s">
        <v>894</v>
      </c>
      <c r="E49" s="111">
        <f>SUM(G41:G48)</f>
        <v>6.11055792523906</v>
      </c>
      <c r="F49" s="115">
        <v>10</v>
      </c>
      <c r="G49" s="113">
        <f>E49*F49/100</f>
        <v>0.611055792523906</v>
      </c>
    </row>
    <row r="50" customHeight="1" spans="1:7">
      <c r="A50" s="100" t="s">
        <v>905</v>
      </c>
      <c r="B50" s="112" t="s">
        <v>514</v>
      </c>
      <c r="C50" s="112"/>
      <c r="D50" s="103"/>
      <c r="E50" s="116">
        <f>G36</f>
        <v>24.186613717763</v>
      </c>
      <c r="F50" s="117">
        <f>费率表!$K$4</f>
        <v>0.055</v>
      </c>
      <c r="G50" s="113">
        <f t="shared" ref="G50:G54" si="5">E50*F50</f>
        <v>1.33026375447696</v>
      </c>
    </row>
    <row r="51" customHeight="1" spans="1:7">
      <c r="A51" s="100" t="s">
        <v>10</v>
      </c>
      <c r="B51" s="112" t="s">
        <v>770</v>
      </c>
      <c r="C51" s="112"/>
      <c r="D51" s="103"/>
      <c r="E51" s="111">
        <f>G35</f>
        <v>25.5168774722399</v>
      </c>
      <c r="F51" s="118">
        <f>费率表!$K$5</f>
        <v>0.7</v>
      </c>
      <c r="G51" s="113">
        <f t="shared" si="5"/>
        <v>17.861814230568</v>
      </c>
    </row>
    <row r="52" customHeight="1" spans="1:7">
      <c r="A52" s="100" t="s">
        <v>12</v>
      </c>
      <c r="B52" s="112" t="s">
        <v>771</v>
      </c>
      <c r="C52" s="112"/>
      <c r="D52" s="103"/>
      <c r="E52" s="111">
        <f>G35+G51</f>
        <v>43.3786917028079</v>
      </c>
      <c r="F52" s="118">
        <f>费率表!$K$6</f>
        <v>0.07</v>
      </c>
      <c r="G52" s="113">
        <f t="shared" si="5"/>
        <v>3.03650841919655</v>
      </c>
    </row>
    <row r="53" customHeight="1" spans="1:7">
      <c r="A53" s="100" t="s">
        <v>15</v>
      </c>
      <c r="B53" s="112" t="s">
        <v>772</v>
      </c>
      <c r="C53" s="112"/>
      <c r="D53" s="103"/>
      <c r="E53" s="111">
        <f>G35+G51+G52</f>
        <v>46.4152001220044</v>
      </c>
      <c r="F53" s="118">
        <f>费率表!$K$7</f>
        <v>0.09</v>
      </c>
      <c r="G53" s="113">
        <f t="shared" si="5"/>
        <v>4.1773680109804</v>
      </c>
    </row>
    <row r="54" customHeight="1" spans="1:7">
      <c r="A54" s="100"/>
      <c r="B54" s="112" t="s">
        <v>907</v>
      </c>
      <c r="C54" s="112"/>
      <c r="D54" s="103"/>
      <c r="E54" s="111">
        <f>G35+G51+G52+G53</f>
        <v>50.5925681329848</v>
      </c>
      <c r="F54" s="118">
        <f>费率表!$B$19</f>
        <v>0.03</v>
      </c>
      <c r="G54" s="113">
        <f t="shared" si="5"/>
        <v>1.51777704398955</v>
      </c>
    </row>
    <row r="55" customHeight="1" spans="1:7">
      <c r="A55" s="119"/>
      <c r="B55" s="120" t="s">
        <v>39</v>
      </c>
      <c r="C55" s="120"/>
      <c r="D55" s="120"/>
      <c r="E55" s="121"/>
      <c r="F55" s="120"/>
      <c r="G55" s="122">
        <f>G35+G51+G52+G53+G54</f>
        <v>52.1103451769744</v>
      </c>
    </row>
    <row r="56" customHeight="1" spans="1:7">
      <c r="A56" s="123"/>
      <c r="B56" s="123"/>
      <c r="C56" s="123"/>
      <c r="D56" s="123"/>
      <c r="E56" s="124"/>
      <c r="F56" s="123"/>
      <c r="G56" s="124"/>
    </row>
    <row r="57" customHeight="1" spans="1:7">
      <c r="A57" s="94" t="s">
        <v>868</v>
      </c>
      <c r="B57" s="94"/>
      <c r="C57" s="94"/>
      <c r="D57" s="94"/>
      <c r="E57" s="94"/>
      <c r="F57" s="94"/>
      <c r="G57" s="94"/>
    </row>
    <row r="58" customHeight="1" spans="1:7">
      <c r="A58" s="95" t="s">
        <v>869</v>
      </c>
      <c r="B58" s="96"/>
      <c r="C58" s="96"/>
      <c r="D58" s="96" t="s">
        <v>870</v>
      </c>
      <c r="E58" s="97" t="s">
        <v>1563</v>
      </c>
      <c r="F58" s="98"/>
      <c r="G58" s="99"/>
    </row>
    <row r="59" customHeight="1" spans="1:7">
      <c r="A59" s="100" t="s">
        <v>507</v>
      </c>
      <c r="B59" s="101"/>
      <c r="C59" s="102" t="s">
        <v>1564</v>
      </c>
      <c r="D59" s="102"/>
      <c r="E59" s="102"/>
      <c r="F59" s="103" t="s">
        <v>873</v>
      </c>
      <c r="G59" s="104" t="s">
        <v>496</v>
      </c>
    </row>
    <row r="60" customHeight="1" spans="1:7">
      <c r="A60" s="105" t="s">
        <v>875</v>
      </c>
      <c r="B60" s="102"/>
      <c r="C60" s="102"/>
      <c r="D60" s="102"/>
      <c r="E60" s="102"/>
      <c r="F60" s="102"/>
      <c r="G60" s="106"/>
    </row>
    <row r="61" customHeight="1" spans="1:7">
      <c r="A61" s="107" t="s">
        <v>912</v>
      </c>
      <c r="B61" s="108"/>
      <c r="C61" s="109"/>
      <c r="D61" s="109"/>
      <c r="E61" s="109"/>
      <c r="F61" s="109"/>
      <c r="G61" s="110"/>
    </row>
    <row r="62" customHeight="1" spans="1:7">
      <c r="A62" s="100" t="s">
        <v>34</v>
      </c>
      <c r="B62" s="103" t="s">
        <v>761</v>
      </c>
      <c r="C62" s="103"/>
      <c r="D62" s="103" t="s">
        <v>60</v>
      </c>
      <c r="E62" s="111" t="s">
        <v>877</v>
      </c>
      <c r="F62" s="103" t="s">
        <v>878</v>
      </c>
      <c r="G62" s="104" t="s">
        <v>879</v>
      </c>
    </row>
    <row r="63" customHeight="1" spans="1:7">
      <c r="A63" s="100" t="s">
        <v>8</v>
      </c>
      <c r="B63" s="112" t="s">
        <v>880</v>
      </c>
      <c r="C63" s="112"/>
      <c r="D63" s="103"/>
      <c r="E63" s="111"/>
      <c r="F63" s="111"/>
      <c r="G63" s="113">
        <f>G64+G78</f>
        <v>35.1547019869437</v>
      </c>
    </row>
    <row r="64" customHeight="1" spans="1:7">
      <c r="A64" s="100" t="s">
        <v>881</v>
      </c>
      <c r="B64" s="112" t="s">
        <v>882</v>
      </c>
      <c r="C64" s="112"/>
      <c r="D64" s="103"/>
      <c r="E64" s="111"/>
      <c r="F64" s="111"/>
      <c r="G64" s="113">
        <f>G65+G68</f>
        <v>33.321992404686</v>
      </c>
    </row>
    <row r="65" customHeight="1" spans="1:7">
      <c r="A65" s="100" t="s">
        <v>17</v>
      </c>
      <c r="B65" s="112" t="s">
        <v>510</v>
      </c>
      <c r="C65" s="112"/>
      <c r="D65" s="103"/>
      <c r="E65" s="111"/>
      <c r="F65" s="111"/>
      <c r="G65" s="113">
        <f>SUM(G66:G67)</f>
        <v>24.522</v>
      </c>
    </row>
    <row r="66" customHeight="1" spans="1:7">
      <c r="A66" s="100"/>
      <c r="B66" s="112" t="s">
        <v>704</v>
      </c>
      <c r="C66" s="112"/>
      <c r="D66" s="103" t="s">
        <v>705</v>
      </c>
      <c r="E66" s="111">
        <v>2.6</v>
      </c>
      <c r="F66" s="111">
        <f>主要材料预算!$D$19</f>
        <v>8.1</v>
      </c>
      <c r="G66" s="113">
        <f t="shared" ref="G66:G69" si="6">E66*F66</f>
        <v>21.06</v>
      </c>
    </row>
    <row r="67" customHeight="1" spans="1:7">
      <c r="A67" s="100"/>
      <c r="B67" s="112" t="s">
        <v>706</v>
      </c>
      <c r="C67" s="112"/>
      <c r="D67" s="103" t="s">
        <v>705</v>
      </c>
      <c r="E67" s="114">
        <v>0.6</v>
      </c>
      <c r="F67" s="111">
        <f>主要材料预算!$D$20</f>
        <v>5.77</v>
      </c>
      <c r="G67" s="113">
        <f t="shared" si="6"/>
        <v>3.462</v>
      </c>
    </row>
    <row r="68" customHeight="1" spans="1:7">
      <c r="A68" s="100" t="s">
        <v>19</v>
      </c>
      <c r="B68" s="66" t="s">
        <v>511</v>
      </c>
      <c r="C68" s="67"/>
      <c r="D68" s="103"/>
      <c r="E68" s="111"/>
      <c r="F68" s="111"/>
      <c r="G68" s="113">
        <f>SUM(G69:G77)</f>
        <v>8.79999240468601</v>
      </c>
    </row>
    <row r="69" customHeight="1" spans="1:7">
      <c r="A69" s="100"/>
      <c r="B69" s="66" t="s">
        <v>1555</v>
      </c>
      <c r="C69" s="67"/>
      <c r="D69" s="103" t="s">
        <v>1142</v>
      </c>
      <c r="E69" s="111">
        <v>0.02</v>
      </c>
      <c r="F69" s="111">
        <f>基础材料!$H$3</f>
        <v>17</v>
      </c>
      <c r="G69" s="113">
        <f t="shared" si="6"/>
        <v>0.34</v>
      </c>
    </row>
    <row r="70" customHeight="1" spans="1:7">
      <c r="A70" s="100"/>
      <c r="B70" s="66" t="s">
        <v>1556</v>
      </c>
      <c r="C70" s="67"/>
      <c r="D70" s="103" t="s">
        <v>1142</v>
      </c>
      <c r="E70" s="111">
        <v>0.05</v>
      </c>
      <c r="F70" s="111">
        <f>基础材料!$H$4</f>
        <v>13.86</v>
      </c>
      <c r="G70" s="113">
        <f t="shared" ref="G70:G76" si="7">E70*F70</f>
        <v>0.693</v>
      </c>
    </row>
    <row r="71" customHeight="1" spans="1:7">
      <c r="A71" s="100"/>
      <c r="B71" s="66" t="s">
        <v>1557</v>
      </c>
      <c r="C71" s="67"/>
      <c r="D71" s="103" t="s">
        <v>1142</v>
      </c>
      <c r="E71" s="111">
        <v>0.06</v>
      </c>
      <c r="F71" s="111">
        <f>基础材料!$H$5</f>
        <v>4.61</v>
      </c>
      <c r="G71" s="113">
        <f t="shared" si="7"/>
        <v>0.2766</v>
      </c>
    </row>
    <row r="72" customHeight="1" spans="1:7">
      <c r="A72" s="100"/>
      <c r="B72" s="66" t="s">
        <v>696</v>
      </c>
      <c r="C72" s="67"/>
      <c r="D72" s="103" t="s">
        <v>1142</v>
      </c>
      <c r="E72" s="111">
        <v>0.17</v>
      </c>
      <c r="F72" s="111">
        <f>基础材料!$H$6</f>
        <v>10.8827586206897</v>
      </c>
      <c r="G72" s="113">
        <f t="shared" si="7"/>
        <v>1.85006896551724</v>
      </c>
    </row>
    <row r="73" customHeight="1" spans="1:7">
      <c r="A73" s="100"/>
      <c r="B73" s="66" t="s">
        <v>694</v>
      </c>
      <c r="C73" s="67"/>
      <c r="D73" s="103" t="s">
        <v>1142</v>
      </c>
      <c r="E73" s="111">
        <v>0.2</v>
      </c>
      <c r="F73" s="111">
        <f>基础材料!$H$7</f>
        <v>9.0516206482593</v>
      </c>
      <c r="G73" s="113">
        <f t="shared" si="7"/>
        <v>1.81032412965186</v>
      </c>
    </row>
    <row r="74" customHeight="1" spans="1:7">
      <c r="A74" s="100"/>
      <c r="B74" s="66" t="s">
        <v>1558</v>
      </c>
      <c r="C74" s="67"/>
      <c r="D74" s="103" t="s">
        <v>1142</v>
      </c>
      <c r="E74" s="111">
        <v>0.22</v>
      </c>
      <c r="F74" s="111">
        <f>基础材料!$H$8</f>
        <v>5.2</v>
      </c>
      <c r="G74" s="113">
        <f t="shared" si="7"/>
        <v>1.144</v>
      </c>
    </row>
    <row r="75" customHeight="1" spans="1:7">
      <c r="A75" s="100"/>
      <c r="B75" s="66" t="s">
        <v>1559</v>
      </c>
      <c r="C75" s="67"/>
      <c r="D75" s="103" t="s">
        <v>366</v>
      </c>
      <c r="E75" s="111">
        <v>0.03</v>
      </c>
      <c r="F75" s="111">
        <f>基础材料!$H$9</f>
        <v>10</v>
      </c>
      <c r="G75" s="113">
        <f t="shared" si="7"/>
        <v>0.3</v>
      </c>
    </row>
    <row r="76" customHeight="1" spans="1:7">
      <c r="A76" s="100"/>
      <c r="B76" s="66" t="s">
        <v>1560</v>
      </c>
      <c r="C76" s="67"/>
      <c r="D76" s="103" t="s">
        <v>1142</v>
      </c>
      <c r="E76" s="111">
        <v>0.26</v>
      </c>
      <c r="F76" s="111">
        <f>基础材料!$H$10</f>
        <v>6.1</v>
      </c>
      <c r="G76" s="113">
        <f t="shared" si="7"/>
        <v>1.586</v>
      </c>
    </row>
    <row r="77" customHeight="1" spans="1:7">
      <c r="A77" s="100"/>
      <c r="B77" s="112" t="s">
        <v>893</v>
      </c>
      <c r="C77" s="112"/>
      <c r="D77" s="103" t="s">
        <v>894</v>
      </c>
      <c r="E77" s="111">
        <f>SUM(G69:G76)</f>
        <v>7.9999930951691</v>
      </c>
      <c r="F77" s="115">
        <v>10</v>
      </c>
      <c r="G77" s="113">
        <f>E77*F77/100</f>
        <v>0.79999930951691</v>
      </c>
    </row>
    <row r="78" customHeight="1" spans="1:7">
      <c r="A78" s="100" t="s">
        <v>905</v>
      </c>
      <c r="B78" s="112" t="s">
        <v>514</v>
      </c>
      <c r="C78" s="112"/>
      <c r="D78" s="103"/>
      <c r="E78" s="116">
        <f>G64</f>
        <v>33.321992404686</v>
      </c>
      <c r="F78" s="117">
        <f>费率表!$K$4</f>
        <v>0.055</v>
      </c>
      <c r="G78" s="113">
        <f t="shared" ref="G78:G82" si="8">E78*F78</f>
        <v>1.83270958225773</v>
      </c>
    </row>
    <row r="79" customHeight="1" spans="1:7">
      <c r="A79" s="100" t="s">
        <v>10</v>
      </c>
      <c r="B79" s="112" t="s">
        <v>770</v>
      </c>
      <c r="C79" s="112"/>
      <c r="D79" s="103"/>
      <c r="E79" s="111">
        <f>G63</f>
        <v>35.1547019869437</v>
      </c>
      <c r="F79" s="118">
        <f>费率表!$K$5</f>
        <v>0.7</v>
      </c>
      <c r="G79" s="113">
        <f t="shared" si="8"/>
        <v>24.6082913908606</v>
      </c>
    </row>
    <row r="80" customHeight="1" spans="1:7">
      <c r="A80" s="100" t="s">
        <v>12</v>
      </c>
      <c r="B80" s="112" t="s">
        <v>771</v>
      </c>
      <c r="C80" s="112"/>
      <c r="D80" s="103"/>
      <c r="E80" s="111">
        <f>G63+G79</f>
        <v>59.7629933778044</v>
      </c>
      <c r="F80" s="118">
        <f>费率表!$K$6</f>
        <v>0.07</v>
      </c>
      <c r="G80" s="113">
        <f t="shared" si="8"/>
        <v>4.18340953644631</v>
      </c>
    </row>
    <row r="81" customHeight="1" spans="1:7">
      <c r="A81" s="100" t="s">
        <v>15</v>
      </c>
      <c r="B81" s="112" t="s">
        <v>772</v>
      </c>
      <c r="C81" s="112"/>
      <c r="D81" s="103"/>
      <c r="E81" s="111">
        <f>G63+G79+G80</f>
        <v>63.9464029142507</v>
      </c>
      <c r="F81" s="118">
        <f>费率表!$K$7</f>
        <v>0.09</v>
      </c>
      <c r="G81" s="113">
        <f t="shared" si="8"/>
        <v>5.75517626228256</v>
      </c>
    </row>
    <row r="82" customHeight="1" spans="1:7">
      <c r="A82" s="100"/>
      <c r="B82" s="112" t="s">
        <v>907</v>
      </c>
      <c r="C82" s="112"/>
      <c r="D82" s="103"/>
      <c r="E82" s="111">
        <f>G63+G79+G80+G81</f>
        <v>69.7015791765332</v>
      </c>
      <c r="F82" s="118">
        <f>费率表!$B$19</f>
        <v>0.03</v>
      </c>
      <c r="G82" s="113">
        <f t="shared" si="8"/>
        <v>2.091047375296</v>
      </c>
    </row>
    <row r="83" customHeight="1" spans="1:7">
      <c r="A83" s="119"/>
      <c r="B83" s="120" t="s">
        <v>39</v>
      </c>
      <c r="C83" s="120"/>
      <c r="D83" s="120"/>
      <c r="E83" s="121"/>
      <c r="F83" s="120"/>
      <c r="G83" s="122">
        <f>G63+G79+G80+G81+G82</f>
        <v>71.7926265518292</v>
      </c>
    </row>
    <row r="84" customHeight="1" spans="1:7">
      <c r="A84" s="123"/>
      <c r="B84" s="123"/>
      <c r="C84" s="123"/>
      <c r="D84" s="123"/>
      <c r="E84" s="124"/>
      <c r="F84" s="123"/>
      <c r="G84" s="124"/>
    </row>
    <row r="85" customHeight="1" spans="1:7">
      <c r="A85" s="94" t="s">
        <v>868</v>
      </c>
      <c r="B85" s="94"/>
      <c r="C85" s="94"/>
      <c r="D85" s="94"/>
      <c r="E85" s="94"/>
      <c r="F85" s="94"/>
      <c r="G85" s="94"/>
    </row>
    <row r="86" customHeight="1" spans="1:7">
      <c r="A86" s="95" t="s">
        <v>869</v>
      </c>
      <c r="B86" s="96"/>
      <c r="C86" s="96"/>
      <c r="D86" s="96" t="s">
        <v>870</v>
      </c>
      <c r="E86" s="97" t="s">
        <v>1565</v>
      </c>
      <c r="F86" s="98"/>
      <c r="G86" s="99"/>
    </row>
    <row r="87" customHeight="1" spans="1:7">
      <c r="A87" s="100" t="s">
        <v>507</v>
      </c>
      <c r="B87" s="101"/>
      <c r="C87" s="102" t="s">
        <v>1566</v>
      </c>
      <c r="D87" s="102"/>
      <c r="E87" s="102"/>
      <c r="F87" s="103" t="s">
        <v>873</v>
      </c>
      <c r="G87" s="104" t="s">
        <v>496</v>
      </c>
    </row>
    <row r="88" customHeight="1" spans="1:7">
      <c r="A88" s="105" t="s">
        <v>875</v>
      </c>
      <c r="B88" s="102"/>
      <c r="C88" s="102"/>
      <c r="D88" s="102"/>
      <c r="E88" s="102"/>
      <c r="F88" s="102"/>
      <c r="G88" s="106"/>
    </row>
    <row r="89" customHeight="1" spans="1:7">
      <c r="A89" s="107" t="s">
        <v>912</v>
      </c>
      <c r="B89" s="108"/>
      <c r="C89" s="109"/>
      <c r="D89" s="109"/>
      <c r="E89" s="109"/>
      <c r="F89" s="109"/>
      <c r="G89" s="110"/>
    </row>
    <row r="90" customHeight="1" spans="1:7">
      <c r="A90" s="100" t="s">
        <v>34</v>
      </c>
      <c r="B90" s="103" t="s">
        <v>761</v>
      </c>
      <c r="C90" s="103"/>
      <c r="D90" s="103" t="s">
        <v>60</v>
      </c>
      <c r="E90" s="111" t="s">
        <v>877</v>
      </c>
      <c r="F90" s="103" t="s">
        <v>878</v>
      </c>
      <c r="G90" s="104" t="s">
        <v>879</v>
      </c>
    </row>
    <row r="91" customHeight="1" spans="1:7">
      <c r="A91" s="100" t="s">
        <v>8</v>
      </c>
      <c r="B91" s="112" t="s">
        <v>880</v>
      </c>
      <c r="C91" s="112"/>
      <c r="D91" s="103"/>
      <c r="E91" s="111"/>
      <c r="F91" s="111"/>
      <c r="G91" s="113">
        <f>G92+G106</f>
        <v>97.1564481109182</v>
      </c>
    </row>
    <row r="92" customHeight="1" spans="1:7">
      <c r="A92" s="100" t="s">
        <v>881</v>
      </c>
      <c r="B92" s="112" t="s">
        <v>882</v>
      </c>
      <c r="C92" s="112"/>
      <c r="D92" s="103"/>
      <c r="E92" s="111"/>
      <c r="F92" s="111"/>
      <c r="G92" s="113">
        <f>G93+G96</f>
        <v>92.091420010349</v>
      </c>
    </row>
    <row r="93" customHeight="1" spans="1:7">
      <c r="A93" s="100" t="s">
        <v>17</v>
      </c>
      <c r="B93" s="112" t="s">
        <v>510</v>
      </c>
      <c r="C93" s="112"/>
      <c r="D93" s="103"/>
      <c r="E93" s="111"/>
      <c r="F93" s="111"/>
      <c r="G93" s="113">
        <f>SUM(G94:G95)</f>
        <v>68.706</v>
      </c>
    </row>
    <row r="94" customHeight="1" spans="1:7">
      <c r="A94" s="100"/>
      <c r="B94" s="112" t="s">
        <v>704</v>
      </c>
      <c r="C94" s="112"/>
      <c r="D94" s="103" t="s">
        <v>705</v>
      </c>
      <c r="E94" s="111">
        <v>7.2</v>
      </c>
      <c r="F94" s="111">
        <f>主要材料预算!$D$19</f>
        <v>8.1</v>
      </c>
      <c r="G94" s="113">
        <f t="shared" ref="G94:G97" si="9">E94*F94</f>
        <v>58.32</v>
      </c>
    </row>
    <row r="95" customHeight="1" spans="1:7">
      <c r="A95" s="100"/>
      <c r="B95" s="112" t="s">
        <v>706</v>
      </c>
      <c r="C95" s="112"/>
      <c r="D95" s="103" t="s">
        <v>705</v>
      </c>
      <c r="E95" s="114">
        <v>1.8</v>
      </c>
      <c r="F95" s="111">
        <f>主要材料预算!$D$20</f>
        <v>5.77</v>
      </c>
      <c r="G95" s="113">
        <f t="shared" si="9"/>
        <v>10.386</v>
      </c>
    </row>
    <row r="96" customHeight="1" spans="1:7">
      <c r="A96" s="100" t="s">
        <v>19</v>
      </c>
      <c r="B96" s="66" t="s">
        <v>511</v>
      </c>
      <c r="C96" s="67"/>
      <c r="D96" s="103"/>
      <c r="E96" s="111"/>
      <c r="F96" s="111"/>
      <c r="G96" s="113">
        <f>SUM(G97:G105)</f>
        <v>23.385420010349</v>
      </c>
    </row>
    <row r="97" customHeight="1" spans="1:7">
      <c r="A97" s="100"/>
      <c r="B97" s="66" t="s">
        <v>1555</v>
      </c>
      <c r="C97" s="67"/>
      <c r="D97" s="103" t="s">
        <v>1142</v>
      </c>
      <c r="E97" s="111">
        <v>0.06</v>
      </c>
      <c r="F97" s="111">
        <f>基础材料!$H$3</f>
        <v>17</v>
      </c>
      <c r="G97" s="113">
        <f t="shared" si="9"/>
        <v>1.02</v>
      </c>
    </row>
    <row r="98" customHeight="1" spans="1:7">
      <c r="A98" s="100"/>
      <c r="B98" s="66" t="s">
        <v>1556</v>
      </c>
      <c r="C98" s="67"/>
      <c r="D98" s="103" t="s">
        <v>1142</v>
      </c>
      <c r="E98" s="111">
        <v>0.12</v>
      </c>
      <c r="F98" s="111">
        <f>基础材料!$H$4</f>
        <v>13.86</v>
      </c>
      <c r="G98" s="113">
        <f t="shared" ref="G98:G104" si="10">E98*F98</f>
        <v>1.6632</v>
      </c>
    </row>
    <row r="99" customHeight="1" spans="1:7">
      <c r="A99" s="100"/>
      <c r="B99" s="66" t="s">
        <v>1557</v>
      </c>
      <c r="C99" s="67"/>
      <c r="D99" s="103" t="s">
        <v>1142</v>
      </c>
      <c r="E99" s="111">
        <v>0.15</v>
      </c>
      <c r="F99" s="111">
        <f>基础材料!$H$5</f>
        <v>4.61</v>
      </c>
      <c r="G99" s="113">
        <f t="shared" si="10"/>
        <v>0.6915</v>
      </c>
    </row>
    <row r="100" customHeight="1" spans="1:7">
      <c r="A100" s="100"/>
      <c r="B100" s="66" t="s">
        <v>696</v>
      </c>
      <c r="C100" s="67"/>
      <c r="D100" s="103" t="s">
        <v>1142</v>
      </c>
      <c r="E100" s="111">
        <v>0.44</v>
      </c>
      <c r="F100" s="111">
        <f>基础材料!$H$6</f>
        <v>10.8827586206897</v>
      </c>
      <c r="G100" s="113">
        <f t="shared" si="10"/>
        <v>4.78841379310345</v>
      </c>
    </row>
    <row r="101" customHeight="1" spans="1:7">
      <c r="A101" s="100"/>
      <c r="B101" s="66" t="s">
        <v>694</v>
      </c>
      <c r="C101" s="67"/>
      <c r="D101" s="103" t="s">
        <v>1142</v>
      </c>
      <c r="E101" s="111">
        <v>0.53</v>
      </c>
      <c r="F101" s="111">
        <f>基础材料!$H$7</f>
        <v>9.0516206482593</v>
      </c>
      <c r="G101" s="113">
        <f t="shared" si="10"/>
        <v>4.79735894357743</v>
      </c>
    </row>
    <row r="102" customHeight="1" spans="1:7">
      <c r="A102" s="100"/>
      <c r="B102" s="66" t="s">
        <v>1558</v>
      </c>
      <c r="C102" s="67"/>
      <c r="D102" s="103" t="s">
        <v>1142</v>
      </c>
      <c r="E102" s="111">
        <v>0.59</v>
      </c>
      <c r="F102" s="111">
        <f>基础材料!$H$8</f>
        <v>5.2</v>
      </c>
      <c r="G102" s="113">
        <f t="shared" si="10"/>
        <v>3.068</v>
      </c>
    </row>
    <row r="103" customHeight="1" spans="1:7">
      <c r="A103" s="100"/>
      <c r="B103" s="66" t="s">
        <v>1559</v>
      </c>
      <c r="C103" s="67"/>
      <c r="D103" s="103" t="s">
        <v>366</v>
      </c>
      <c r="E103" s="111">
        <v>0.09</v>
      </c>
      <c r="F103" s="111">
        <f>基础材料!$H$9</f>
        <v>10</v>
      </c>
      <c r="G103" s="113">
        <f t="shared" si="10"/>
        <v>0.9</v>
      </c>
    </row>
    <row r="104" customHeight="1" spans="1:7">
      <c r="A104" s="100"/>
      <c r="B104" s="66" t="s">
        <v>1560</v>
      </c>
      <c r="C104" s="67"/>
      <c r="D104" s="103" t="s">
        <v>1142</v>
      </c>
      <c r="E104" s="111">
        <v>0.71</v>
      </c>
      <c r="F104" s="111">
        <f>基础材料!$H$10</f>
        <v>6.1</v>
      </c>
      <c r="G104" s="113">
        <f t="shared" si="10"/>
        <v>4.331</v>
      </c>
    </row>
    <row r="105" customHeight="1" spans="1:7">
      <c r="A105" s="100"/>
      <c r="B105" s="112" t="s">
        <v>893</v>
      </c>
      <c r="C105" s="112"/>
      <c r="D105" s="103" t="s">
        <v>894</v>
      </c>
      <c r="E105" s="111">
        <f>SUM(G97:G104)</f>
        <v>21.2594727366809</v>
      </c>
      <c r="F105" s="115">
        <v>10</v>
      </c>
      <c r="G105" s="113">
        <f>E105*F105/100</f>
        <v>2.12594727366809</v>
      </c>
    </row>
    <row r="106" customHeight="1" spans="1:7">
      <c r="A106" s="100" t="s">
        <v>905</v>
      </c>
      <c r="B106" s="112" t="s">
        <v>514</v>
      </c>
      <c r="C106" s="112"/>
      <c r="D106" s="103"/>
      <c r="E106" s="116">
        <f>G92</f>
        <v>92.091420010349</v>
      </c>
      <c r="F106" s="117">
        <f>费率表!$K$4</f>
        <v>0.055</v>
      </c>
      <c r="G106" s="113">
        <f t="shared" ref="G106:G110" si="11">E106*F106</f>
        <v>5.06502810056919</v>
      </c>
    </row>
    <row r="107" customHeight="1" spans="1:7">
      <c r="A107" s="100" t="s">
        <v>10</v>
      </c>
      <c r="B107" s="112" t="s">
        <v>770</v>
      </c>
      <c r="C107" s="112"/>
      <c r="D107" s="103"/>
      <c r="E107" s="111">
        <f>G91</f>
        <v>97.1564481109182</v>
      </c>
      <c r="F107" s="118">
        <f>费率表!$K$5</f>
        <v>0.7</v>
      </c>
      <c r="G107" s="113">
        <f t="shared" si="11"/>
        <v>68.0095136776427</v>
      </c>
    </row>
    <row r="108" customHeight="1" spans="1:7">
      <c r="A108" s="100" t="s">
        <v>12</v>
      </c>
      <c r="B108" s="112" t="s">
        <v>771</v>
      </c>
      <c r="C108" s="112"/>
      <c r="D108" s="103"/>
      <c r="E108" s="111">
        <f>G91+G107</f>
        <v>165.165961788561</v>
      </c>
      <c r="F108" s="118">
        <f>费率表!$K$6</f>
        <v>0.07</v>
      </c>
      <c r="G108" s="113">
        <f t="shared" si="11"/>
        <v>11.5616173251993</v>
      </c>
    </row>
    <row r="109" customHeight="1" spans="1:7">
      <c r="A109" s="100" t="s">
        <v>15</v>
      </c>
      <c r="B109" s="112" t="s">
        <v>772</v>
      </c>
      <c r="C109" s="112"/>
      <c r="D109" s="103"/>
      <c r="E109" s="111">
        <f>G91+G107+G108</f>
        <v>176.72757911376</v>
      </c>
      <c r="F109" s="118">
        <f>费率表!$K$7</f>
        <v>0.09</v>
      </c>
      <c r="G109" s="113">
        <f t="shared" si="11"/>
        <v>15.9054821202384</v>
      </c>
    </row>
    <row r="110" customHeight="1" spans="1:7">
      <c r="A110" s="100"/>
      <c r="B110" s="112" t="s">
        <v>907</v>
      </c>
      <c r="C110" s="112"/>
      <c r="D110" s="103"/>
      <c r="E110" s="111">
        <f>G91+G107+G108+G109</f>
        <v>192.633061233999</v>
      </c>
      <c r="F110" s="118">
        <f>费率表!$B$19</f>
        <v>0.03</v>
      </c>
      <c r="G110" s="113">
        <f t="shared" si="11"/>
        <v>5.77899183701996</v>
      </c>
    </row>
    <row r="111" customHeight="1" spans="1:7">
      <c r="A111" s="119"/>
      <c r="B111" s="120" t="s">
        <v>39</v>
      </c>
      <c r="C111" s="120"/>
      <c r="D111" s="120"/>
      <c r="E111" s="121"/>
      <c r="F111" s="120"/>
      <c r="G111" s="122">
        <f>G91+G107+G108+G109+G110</f>
        <v>198.412053071019</v>
      </c>
    </row>
    <row r="112" customHeight="1" spans="1:7">
      <c r="A112" s="123"/>
      <c r="B112" s="123"/>
      <c r="C112" s="123"/>
      <c r="D112" s="123"/>
      <c r="E112" s="124"/>
      <c r="F112" s="123"/>
      <c r="G112" s="124"/>
    </row>
    <row r="113" customHeight="1" spans="1:7">
      <c r="A113" s="94" t="s">
        <v>868</v>
      </c>
      <c r="B113" s="94"/>
      <c r="C113" s="94"/>
      <c r="D113" s="94"/>
      <c r="E113" s="94"/>
      <c r="F113" s="94"/>
      <c r="G113" s="94"/>
    </row>
    <row r="114" customHeight="1" spans="1:7">
      <c r="A114" s="95" t="s">
        <v>869</v>
      </c>
      <c r="B114" s="96"/>
      <c r="C114" s="96"/>
      <c r="D114" s="96" t="s">
        <v>870</v>
      </c>
      <c r="E114" s="97" t="s">
        <v>1567</v>
      </c>
      <c r="F114" s="98"/>
      <c r="G114" s="99"/>
    </row>
    <row r="115" customHeight="1" spans="1:7">
      <c r="A115" s="100" t="s">
        <v>507</v>
      </c>
      <c r="B115" s="101"/>
      <c r="C115" s="102" t="s">
        <v>1568</v>
      </c>
      <c r="D115" s="102"/>
      <c r="E115" s="102"/>
      <c r="F115" s="103" t="s">
        <v>873</v>
      </c>
      <c r="G115" s="104" t="s">
        <v>496</v>
      </c>
    </row>
    <row r="116" customHeight="1" spans="1:7">
      <c r="A116" s="105" t="s">
        <v>875</v>
      </c>
      <c r="B116" s="102"/>
      <c r="C116" s="102"/>
      <c r="D116" s="102"/>
      <c r="E116" s="102"/>
      <c r="F116" s="102"/>
      <c r="G116" s="106"/>
    </row>
    <row r="117" customHeight="1" spans="1:7">
      <c r="A117" s="107" t="s">
        <v>912</v>
      </c>
      <c r="B117" s="108"/>
      <c r="C117" s="109"/>
      <c r="D117" s="109"/>
      <c r="E117" s="109"/>
      <c r="F117" s="109"/>
      <c r="G117" s="110"/>
    </row>
    <row r="118" customHeight="1" spans="1:7">
      <c r="A118" s="100" t="s">
        <v>34</v>
      </c>
      <c r="B118" s="103" t="s">
        <v>761</v>
      </c>
      <c r="C118" s="103"/>
      <c r="D118" s="103" t="s">
        <v>60</v>
      </c>
      <c r="E118" s="111" t="s">
        <v>877</v>
      </c>
      <c r="F118" s="103" t="s">
        <v>878</v>
      </c>
      <c r="G118" s="104" t="s">
        <v>879</v>
      </c>
    </row>
    <row r="119" customHeight="1" spans="1:7">
      <c r="A119" s="100" t="s">
        <v>8</v>
      </c>
      <c r="B119" s="112" t="s">
        <v>880</v>
      </c>
      <c r="C119" s="112"/>
      <c r="D119" s="103"/>
      <c r="E119" s="111"/>
      <c r="F119" s="111"/>
      <c r="G119" s="113">
        <f>G120+G134</f>
        <v>46.1625683092706</v>
      </c>
    </row>
    <row r="120" customHeight="1" spans="1:7">
      <c r="A120" s="100" t="s">
        <v>881</v>
      </c>
      <c r="B120" s="112" t="s">
        <v>882</v>
      </c>
      <c r="C120" s="112"/>
      <c r="D120" s="103"/>
      <c r="E120" s="111"/>
      <c r="F120" s="111"/>
      <c r="G120" s="113">
        <f>G121+G124</f>
        <v>43.7559889187399</v>
      </c>
    </row>
    <row r="121" customHeight="1" spans="1:7">
      <c r="A121" s="100" t="s">
        <v>17</v>
      </c>
      <c r="B121" s="112" t="s">
        <v>510</v>
      </c>
      <c r="C121" s="112"/>
      <c r="D121" s="103"/>
      <c r="E121" s="111"/>
      <c r="F121" s="111"/>
      <c r="G121" s="113">
        <f>SUM(G122:G123)</f>
        <v>32.156</v>
      </c>
    </row>
    <row r="122" customHeight="1" spans="1:7">
      <c r="A122" s="100"/>
      <c r="B122" s="112" t="s">
        <v>704</v>
      </c>
      <c r="C122" s="112"/>
      <c r="D122" s="103" t="s">
        <v>705</v>
      </c>
      <c r="E122" s="111">
        <v>3.4</v>
      </c>
      <c r="F122" s="111">
        <f>主要材料预算!$D$19</f>
        <v>8.1</v>
      </c>
      <c r="G122" s="113">
        <f t="shared" ref="G122:G125" si="12">E122*F122</f>
        <v>27.54</v>
      </c>
    </row>
    <row r="123" customHeight="1" spans="1:7">
      <c r="A123" s="100"/>
      <c r="B123" s="112" t="s">
        <v>706</v>
      </c>
      <c r="C123" s="112"/>
      <c r="D123" s="103" t="s">
        <v>705</v>
      </c>
      <c r="E123" s="114">
        <v>0.8</v>
      </c>
      <c r="F123" s="111">
        <f>主要材料预算!$D$20</f>
        <v>5.77</v>
      </c>
      <c r="G123" s="113">
        <f t="shared" si="12"/>
        <v>4.616</v>
      </c>
    </row>
    <row r="124" customHeight="1" spans="1:7">
      <c r="A124" s="100" t="s">
        <v>19</v>
      </c>
      <c r="B124" s="66" t="s">
        <v>511</v>
      </c>
      <c r="C124" s="67"/>
      <c r="D124" s="103"/>
      <c r="E124" s="111"/>
      <c r="F124" s="111"/>
      <c r="G124" s="113">
        <f>SUM(G125:G133)</f>
        <v>11.5999889187399</v>
      </c>
    </row>
    <row r="125" customHeight="1" spans="1:7">
      <c r="A125" s="100"/>
      <c r="B125" s="66" t="s">
        <v>1555</v>
      </c>
      <c r="C125" s="67"/>
      <c r="D125" s="103" t="s">
        <v>1142</v>
      </c>
      <c r="E125" s="111">
        <v>0.03</v>
      </c>
      <c r="F125" s="111">
        <f>基础材料!$H$3</f>
        <v>17</v>
      </c>
      <c r="G125" s="113">
        <f t="shared" si="12"/>
        <v>0.51</v>
      </c>
    </row>
    <row r="126" customHeight="1" spans="1:7">
      <c r="A126" s="100"/>
      <c r="B126" s="66" t="s">
        <v>1556</v>
      </c>
      <c r="C126" s="67"/>
      <c r="D126" s="103" t="s">
        <v>1142</v>
      </c>
      <c r="E126" s="111">
        <v>0.06</v>
      </c>
      <c r="F126" s="111">
        <f>基础材料!$H$4</f>
        <v>13.86</v>
      </c>
      <c r="G126" s="113">
        <f t="shared" ref="G126:G132" si="13">E126*F126</f>
        <v>0.8316</v>
      </c>
    </row>
    <row r="127" customHeight="1" spans="1:7">
      <c r="A127" s="100"/>
      <c r="B127" s="66" t="s">
        <v>1557</v>
      </c>
      <c r="C127" s="67"/>
      <c r="D127" s="103" t="s">
        <v>1142</v>
      </c>
      <c r="E127" s="111">
        <v>0.07</v>
      </c>
      <c r="F127" s="111">
        <f>基础材料!$H$5</f>
        <v>4.61</v>
      </c>
      <c r="G127" s="113">
        <f t="shared" si="13"/>
        <v>0.3227</v>
      </c>
    </row>
    <row r="128" customHeight="1" spans="1:7">
      <c r="A128" s="100"/>
      <c r="B128" s="66" t="s">
        <v>696</v>
      </c>
      <c r="C128" s="67"/>
      <c r="D128" s="103" t="s">
        <v>1142</v>
      </c>
      <c r="E128" s="111">
        <v>0.22</v>
      </c>
      <c r="F128" s="111">
        <f>基础材料!$H$6</f>
        <v>10.8827586206897</v>
      </c>
      <c r="G128" s="113">
        <f t="shared" si="13"/>
        <v>2.39420689655172</v>
      </c>
    </row>
    <row r="129" customHeight="1" spans="1:7">
      <c r="A129" s="100"/>
      <c r="B129" s="66" t="s">
        <v>694</v>
      </c>
      <c r="C129" s="67"/>
      <c r="D129" s="103" t="s">
        <v>1142</v>
      </c>
      <c r="E129" s="111">
        <v>0.27</v>
      </c>
      <c r="F129" s="111">
        <f>基础材料!$H$7</f>
        <v>9.0516206482593</v>
      </c>
      <c r="G129" s="113">
        <f t="shared" si="13"/>
        <v>2.44393757503001</v>
      </c>
    </row>
    <row r="130" customHeight="1" spans="1:7">
      <c r="A130" s="100"/>
      <c r="B130" s="66" t="s">
        <v>1558</v>
      </c>
      <c r="C130" s="67"/>
      <c r="D130" s="103" t="s">
        <v>1142</v>
      </c>
      <c r="E130" s="111">
        <v>0.29</v>
      </c>
      <c r="F130" s="111">
        <f>基础材料!$H$8</f>
        <v>5.2</v>
      </c>
      <c r="G130" s="113">
        <f t="shared" si="13"/>
        <v>1.508</v>
      </c>
    </row>
    <row r="131" customHeight="1" spans="1:7">
      <c r="A131" s="100"/>
      <c r="B131" s="66" t="s">
        <v>1559</v>
      </c>
      <c r="C131" s="67"/>
      <c r="D131" s="103" t="s">
        <v>366</v>
      </c>
      <c r="E131" s="111">
        <v>0.04</v>
      </c>
      <c r="F131" s="111">
        <f>基础材料!$H$9</f>
        <v>10</v>
      </c>
      <c r="G131" s="113">
        <f t="shared" si="13"/>
        <v>0.4</v>
      </c>
    </row>
    <row r="132" customHeight="1" spans="1:7">
      <c r="A132" s="100"/>
      <c r="B132" s="66" t="s">
        <v>1560</v>
      </c>
      <c r="C132" s="67"/>
      <c r="D132" s="103" t="s">
        <v>1142</v>
      </c>
      <c r="E132" s="111">
        <v>0.35</v>
      </c>
      <c r="F132" s="111">
        <f>基础材料!$H$10</f>
        <v>6.1</v>
      </c>
      <c r="G132" s="113">
        <f t="shared" si="13"/>
        <v>2.135</v>
      </c>
    </row>
    <row r="133" customHeight="1" spans="1:7">
      <c r="A133" s="100"/>
      <c r="B133" s="112" t="s">
        <v>893</v>
      </c>
      <c r="C133" s="112"/>
      <c r="D133" s="103" t="s">
        <v>894</v>
      </c>
      <c r="E133" s="111">
        <f>SUM(G125:G132)</f>
        <v>10.5454444715817</v>
      </c>
      <c r="F133" s="115">
        <v>10</v>
      </c>
      <c r="G133" s="113">
        <f>E133*F133/100</f>
        <v>1.05454444715817</v>
      </c>
    </row>
    <row r="134" customHeight="1" spans="1:7">
      <c r="A134" s="100" t="s">
        <v>905</v>
      </c>
      <c r="B134" s="112" t="s">
        <v>514</v>
      </c>
      <c r="C134" s="112"/>
      <c r="D134" s="103"/>
      <c r="E134" s="116">
        <f>G120</f>
        <v>43.7559889187399</v>
      </c>
      <c r="F134" s="117">
        <f>费率表!$K$4</f>
        <v>0.055</v>
      </c>
      <c r="G134" s="113">
        <f t="shared" ref="G134:G138" si="14">E134*F134</f>
        <v>2.4065793905307</v>
      </c>
    </row>
    <row r="135" customHeight="1" spans="1:7">
      <c r="A135" s="100" t="s">
        <v>10</v>
      </c>
      <c r="B135" s="112" t="s">
        <v>770</v>
      </c>
      <c r="C135" s="112"/>
      <c r="D135" s="103"/>
      <c r="E135" s="111">
        <f>G119</f>
        <v>46.1625683092706</v>
      </c>
      <c r="F135" s="118">
        <f>费率表!$K$5</f>
        <v>0.7</v>
      </c>
      <c r="G135" s="113">
        <f t="shared" si="14"/>
        <v>32.3137978164894</v>
      </c>
    </row>
    <row r="136" customHeight="1" spans="1:7">
      <c r="A136" s="100" t="s">
        <v>12</v>
      </c>
      <c r="B136" s="112" t="s">
        <v>771</v>
      </c>
      <c r="C136" s="112"/>
      <c r="D136" s="103"/>
      <c r="E136" s="111">
        <f>G119+G135</f>
        <v>78.47636612576</v>
      </c>
      <c r="F136" s="118">
        <f>费率表!$K$6</f>
        <v>0.07</v>
      </c>
      <c r="G136" s="113">
        <f t="shared" si="14"/>
        <v>5.4933456288032</v>
      </c>
    </row>
    <row r="137" customHeight="1" spans="1:7">
      <c r="A137" s="100" t="s">
        <v>15</v>
      </c>
      <c r="B137" s="112" t="s">
        <v>772</v>
      </c>
      <c r="C137" s="112"/>
      <c r="D137" s="103"/>
      <c r="E137" s="111">
        <f>G119+G135+G136</f>
        <v>83.9697117545632</v>
      </c>
      <c r="F137" s="118">
        <f>费率表!$K$7</f>
        <v>0.09</v>
      </c>
      <c r="G137" s="113">
        <f t="shared" si="14"/>
        <v>7.55727405791069</v>
      </c>
    </row>
    <row r="138" customHeight="1" spans="1:7">
      <c r="A138" s="100"/>
      <c r="B138" s="112" t="s">
        <v>907</v>
      </c>
      <c r="C138" s="112"/>
      <c r="D138" s="103"/>
      <c r="E138" s="111">
        <f>G119+G135+G136+G137</f>
        <v>91.5269858124739</v>
      </c>
      <c r="F138" s="118">
        <f>费率表!$B$19</f>
        <v>0.03</v>
      </c>
      <c r="G138" s="113">
        <f t="shared" si="14"/>
        <v>2.74580957437422</v>
      </c>
    </row>
    <row r="139" customHeight="1" spans="1:7">
      <c r="A139" s="119"/>
      <c r="B139" s="120" t="s">
        <v>39</v>
      </c>
      <c r="C139" s="120"/>
      <c r="D139" s="120"/>
      <c r="E139" s="121"/>
      <c r="F139" s="120"/>
      <c r="G139" s="122">
        <f>G119+G135+G136+G137+G138</f>
        <v>94.2727953868481</v>
      </c>
    </row>
    <row r="140" customHeight="1" spans="1:7">
      <c r="A140" s="123"/>
      <c r="B140" s="123"/>
      <c r="C140" s="123"/>
      <c r="D140" s="123"/>
      <c r="E140" s="124"/>
      <c r="F140" s="123"/>
      <c r="G140" s="124"/>
    </row>
    <row r="141" customHeight="1" spans="1:7">
      <c r="A141" s="94" t="s">
        <v>868</v>
      </c>
      <c r="B141" s="94"/>
      <c r="C141" s="94"/>
      <c r="D141" s="94"/>
      <c r="E141" s="94"/>
      <c r="F141" s="94"/>
      <c r="G141" s="94"/>
    </row>
    <row r="142" customHeight="1" spans="1:7">
      <c r="A142" s="95" t="s">
        <v>869</v>
      </c>
      <c r="B142" s="96"/>
      <c r="C142" s="96"/>
      <c r="D142" s="96" t="s">
        <v>870</v>
      </c>
      <c r="E142" s="97" t="s">
        <v>1569</v>
      </c>
      <c r="F142" s="98"/>
      <c r="G142" s="99"/>
    </row>
    <row r="143" customHeight="1" spans="1:7">
      <c r="A143" s="100" t="s">
        <v>507</v>
      </c>
      <c r="B143" s="101"/>
      <c r="C143" s="102" t="s">
        <v>1570</v>
      </c>
      <c r="D143" s="102"/>
      <c r="E143" s="102"/>
      <c r="F143" s="103" t="s">
        <v>873</v>
      </c>
      <c r="G143" s="104" t="s">
        <v>496</v>
      </c>
    </row>
    <row r="144" customHeight="1" spans="1:7">
      <c r="A144" s="105" t="s">
        <v>875</v>
      </c>
      <c r="B144" s="102"/>
      <c r="C144" s="102"/>
      <c r="D144" s="102"/>
      <c r="E144" s="102"/>
      <c r="F144" s="102"/>
      <c r="G144" s="106"/>
    </row>
    <row r="145" customHeight="1" spans="1:7">
      <c r="A145" s="107" t="s">
        <v>912</v>
      </c>
      <c r="B145" s="108"/>
      <c r="C145" s="109"/>
      <c r="D145" s="109"/>
      <c r="E145" s="109"/>
      <c r="F145" s="109"/>
      <c r="G145" s="110"/>
    </row>
    <row r="146" customHeight="1" spans="1:7">
      <c r="A146" s="100" t="s">
        <v>34</v>
      </c>
      <c r="B146" s="103" t="s">
        <v>761</v>
      </c>
      <c r="C146" s="103"/>
      <c r="D146" s="103" t="s">
        <v>60</v>
      </c>
      <c r="E146" s="111" t="s">
        <v>877</v>
      </c>
      <c r="F146" s="103" t="s">
        <v>878</v>
      </c>
      <c r="G146" s="104" t="s">
        <v>879</v>
      </c>
    </row>
    <row r="147" customHeight="1" spans="1:7">
      <c r="A147" s="100" t="s">
        <v>8</v>
      </c>
      <c r="B147" s="112" t="s">
        <v>880</v>
      </c>
      <c r="C147" s="112"/>
      <c r="D147" s="103"/>
      <c r="E147" s="111"/>
      <c r="F147" s="111"/>
      <c r="G147" s="113">
        <f>G148+G162</f>
        <v>148.980321913021</v>
      </c>
    </row>
    <row r="148" customHeight="1" spans="1:7">
      <c r="A148" s="100" t="s">
        <v>881</v>
      </c>
      <c r="B148" s="112" t="s">
        <v>882</v>
      </c>
      <c r="C148" s="112"/>
      <c r="D148" s="103"/>
      <c r="E148" s="111"/>
      <c r="F148" s="111"/>
      <c r="G148" s="113">
        <f>G149+G152</f>
        <v>141.213575273006</v>
      </c>
    </row>
    <row r="149" customHeight="1" spans="1:7">
      <c r="A149" s="100" t="s">
        <v>17</v>
      </c>
      <c r="B149" s="112" t="s">
        <v>510</v>
      </c>
      <c r="C149" s="112"/>
      <c r="D149" s="103"/>
      <c r="E149" s="111"/>
      <c r="F149" s="111"/>
      <c r="G149" s="113">
        <f>SUM(G150:G151)</f>
        <v>105.256</v>
      </c>
    </row>
    <row r="150" customHeight="1" spans="1:7">
      <c r="A150" s="100"/>
      <c r="B150" s="112" t="s">
        <v>704</v>
      </c>
      <c r="C150" s="112"/>
      <c r="D150" s="103" t="s">
        <v>705</v>
      </c>
      <c r="E150" s="111">
        <v>11</v>
      </c>
      <c r="F150" s="111">
        <f>主要材料预算!$D$19</f>
        <v>8.1</v>
      </c>
      <c r="G150" s="113">
        <f t="shared" ref="G150:G153" si="15">E150*F150</f>
        <v>89.1</v>
      </c>
    </row>
    <row r="151" customHeight="1" spans="1:7">
      <c r="A151" s="100"/>
      <c r="B151" s="112" t="s">
        <v>706</v>
      </c>
      <c r="C151" s="112"/>
      <c r="D151" s="103" t="s">
        <v>705</v>
      </c>
      <c r="E151" s="114">
        <v>2.8</v>
      </c>
      <c r="F151" s="111">
        <f>主要材料预算!$D$20</f>
        <v>5.77</v>
      </c>
      <c r="G151" s="113">
        <f t="shared" si="15"/>
        <v>16.156</v>
      </c>
    </row>
    <row r="152" customHeight="1" spans="1:7">
      <c r="A152" s="100" t="s">
        <v>19</v>
      </c>
      <c r="B152" s="66" t="s">
        <v>511</v>
      </c>
      <c r="C152" s="67"/>
      <c r="D152" s="103"/>
      <c r="E152" s="111"/>
      <c r="F152" s="111"/>
      <c r="G152" s="113">
        <f>SUM(G153:G161)</f>
        <v>35.9575752730058</v>
      </c>
    </row>
    <row r="153" customHeight="1" spans="1:7">
      <c r="A153" s="100"/>
      <c r="B153" s="66" t="s">
        <v>1555</v>
      </c>
      <c r="C153" s="67"/>
      <c r="D153" s="103" t="s">
        <v>1142</v>
      </c>
      <c r="E153" s="111">
        <v>0.09</v>
      </c>
      <c r="F153" s="111">
        <f>基础材料!$H$3</f>
        <v>17</v>
      </c>
      <c r="G153" s="113">
        <f t="shared" si="15"/>
        <v>1.53</v>
      </c>
    </row>
    <row r="154" customHeight="1" spans="1:7">
      <c r="A154" s="100"/>
      <c r="B154" s="66" t="s">
        <v>1556</v>
      </c>
      <c r="C154" s="67"/>
      <c r="D154" s="103" t="s">
        <v>1142</v>
      </c>
      <c r="E154" s="111">
        <v>0.18</v>
      </c>
      <c r="F154" s="111">
        <f>基础材料!$H$4</f>
        <v>13.86</v>
      </c>
      <c r="G154" s="113">
        <f t="shared" ref="G154:G160" si="16">E154*F154</f>
        <v>2.4948</v>
      </c>
    </row>
    <row r="155" customHeight="1" spans="1:7">
      <c r="A155" s="100"/>
      <c r="B155" s="66" t="s">
        <v>1557</v>
      </c>
      <c r="C155" s="67"/>
      <c r="D155" s="103" t="s">
        <v>1142</v>
      </c>
      <c r="E155" s="111">
        <v>0.23</v>
      </c>
      <c r="F155" s="111">
        <f>基础材料!$H$5</f>
        <v>4.61</v>
      </c>
      <c r="G155" s="113">
        <f t="shared" si="16"/>
        <v>1.0603</v>
      </c>
    </row>
    <row r="156" customHeight="1" spans="1:7">
      <c r="A156" s="100"/>
      <c r="B156" s="66" t="s">
        <v>696</v>
      </c>
      <c r="C156" s="67"/>
      <c r="D156" s="103" t="s">
        <v>1142</v>
      </c>
      <c r="E156" s="111">
        <v>0.68</v>
      </c>
      <c r="F156" s="111">
        <f>基础材料!$H$6</f>
        <v>10.8827586206897</v>
      </c>
      <c r="G156" s="113">
        <f t="shared" si="16"/>
        <v>7.40027586206897</v>
      </c>
    </row>
    <row r="157" customHeight="1" spans="1:7">
      <c r="A157" s="100"/>
      <c r="B157" s="66" t="s">
        <v>694</v>
      </c>
      <c r="C157" s="67"/>
      <c r="D157" s="103" t="s">
        <v>1142</v>
      </c>
      <c r="E157" s="111">
        <v>0.82</v>
      </c>
      <c r="F157" s="111">
        <f>基础材料!$H$7</f>
        <v>9.0516206482593</v>
      </c>
      <c r="G157" s="113">
        <f t="shared" si="16"/>
        <v>7.42232893157263</v>
      </c>
    </row>
    <row r="158" customHeight="1" spans="1:7">
      <c r="A158" s="100"/>
      <c r="B158" s="66" t="s">
        <v>1558</v>
      </c>
      <c r="C158" s="67"/>
      <c r="D158" s="103" t="s">
        <v>1142</v>
      </c>
      <c r="E158" s="111">
        <v>0.91</v>
      </c>
      <c r="F158" s="111">
        <f>基础材料!$H$8</f>
        <v>5.2</v>
      </c>
      <c r="G158" s="113">
        <f t="shared" si="16"/>
        <v>4.732</v>
      </c>
    </row>
    <row r="159" customHeight="1" spans="1:7">
      <c r="A159" s="100"/>
      <c r="B159" s="66" t="s">
        <v>1559</v>
      </c>
      <c r="C159" s="67"/>
      <c r="D159" s="103" t="s">
        <v>366</v>
      </c>
      <c r="E159" s="111">
        <v>0.14</v>
      </c>
      <c r="F159" s="111">
        <f>基础材料!$H$9</f>
        <v>10</v>
      </c>
      <c r="G159" s="113">
        <f t="shared" si="16"/>
        <v>1.4</v>
      </c>
    </row>
    <row r="160" customHeight="1" spans="1:7">
      <c r="A160" s="100"/>
      <c r="B160" s="66" t="s">
        <v>1560</v>
      </c>
      <c r="C160" s="67"/>
      <c r="D160" s="103" t="s">
        <v>1142</v>
      </c>
      <c r="E160" s="111">
        <v>1.09</v>
      </c>
      <c r="F160" s="111">
        <f>基础材料!$H$10</f>
        <v>6.1</v>
      </c>
      <c r="G160" s="113">
        <f t="shared" si="16"/>
        <v>6.649</v>
      </c>
    </row>
    <row r="161" customHeight="1" spans="1:7">
      <c r="A161" s="100"/>
      <c r="B161" s="112" t="s">
        <v>893</v>
      </c>
      <c r="C161" s="112"/>
      <c r="D161" s="103" t="s">
        <v>894</v>
      </c>
      <c r="E161" s="111">
        <f>SUM(G153:G160)</f>
        <v>32.6887047936416</v>
      </c>
      <c r="F161" s="115">
        <v>10</v>
      </c>
      <c r="G161" s="113">
        <f>E161*F161/100</f>
        <v>3.26887047936416</v>
      </c>
    </row>
    <row r="162" customHeight="1" spans="1:7">
      <c r="A162" s="100" t="s">
        <v>905</v>
      </c>
      <c r="B162" s="112" t="s">
        <v>514</v>
      </c>
      <c r="C162" s="112"/>
      <c r="D162" s="103"/>
      <c r="E162" s="116">
        <f>G148</f>
        <v>141.213575273006</v>
      </c>
      <c r="F162" s="117">
        <f>费率表!$K$4</f>
        <v>0.055</v>
      </c>
      <c r="G162" s="113">
        <f t="shared" ref="G162:G166" si="17">E162*F162</f>
        <v>7.76674664001532</v>
      </c>
    </row>
    <row r="163" customHeight="1" spans="1:7">
      <c r="A163" s="100" t="s">
        <v>10</v>
      </c>
      <c r="B163" s="112" t="s">
        <v>770</v>
      </c>
      <c r="C163" s="112"/>
      <c r="D163" s="103"/>
      <c r="E163" s="111">
        <f>G147</f>
        <v>148.980321913021</v>
      </c>
      <c r="F163" s="118">
        <f>费率表!$K$5</f>
        <v>0.7</v>
      </c>
      <c r="G163" s="113">
        <f t="shared" si="17"/>
        <v>104.286225339115</v>
      </c>
    </row>
    <row r="164" customHeight="1" spans="1:7">
      <c r="A164" s="100" t="s">
        <v>12</v>
      </c>
      <c r="B164" s="112" t="s">
        <v>771</v>
      </c>
      <c r="C164" s="112"/>
      <c r="D164" s="103"/>
      <c r="E164" s="111">
        <f>G147+G163</f>
        <v>253.266547252136</v>
      </c>
      <c r="F164" s="118">
        <f>费率表!$K$6</f>
        <v>0.07</v>
      </c>
      <c r="G164" s="113">
        <f t="shared" si="17"/>
        <v>17.7286583076495</v>
      </c>
    </row>
    <row r="165" customHeight="1" spans="1:7">
      <c r="A165" s="100" t="s">
        <v>15</v>
      </c>
      <c r="B165" s="112" t="s">
        <v>772</v>
      </c>
      <c r="C165" s="112"/>
      <c r="D165" s="103"/>
      <c r="E165" s="111">
        <f>G147+G163+G164</f>
        <v>270.995205559785</v>
      </c>
      <c r="F165" s="118">
        <f>费率表!$K$7</f>
        <v>0.09</v>
      </c>
      <c r="G165" s="113">
        <f t="shared" si="17"/>
        <v>24.3895685003807</v>
      </c>
    </row>
    <row r="166" customHeight="1" spans="1:7">
      <c r="A166" s="100"/>
      <c r="B166" s="112" t="s">
        <v>907</v>
      </c>
      <c r="C166" s="112"/>
      <c r="D166" s="103"/>
      <c r="E166" s="111">
        <f>G147+G163+G164+G165</f>
        <v>295.384774060166</v>
      </c>
      <c r="F166" s="118">
        <f>费率表!$B$19</f>
        <v>0.03</v>
      </c>
      <c r="G166" s="113">
        <f t="shared" si="17"/>
        <v>8.86154322180498</v>
      </c>
    </row>
    <row r="167" customHeight="1" spans="1:7">
      <c r="A167" s="119"/>
      <c r="B167" s="120" t="s">
        <v>39</v>
      </c>
      <c r="C167" s="120"/>
      <c r="D167" s="120"/>
      <c r="E167" s="121"/>
      <c r="F167" s="120"/>
      <c r="G167" s="122">
        <f>G147+G163+G164+G165+G166</f>
        <v>304.246317281971</v>
      </c>
    </row>
    <row r="168" customHeight="1" spans="1:7">
      <c r="A168" s="123"/>
      <c r="B168" s="123"/>
      <c r="C168" s="123"/>
      <c r="D168" s="123"/>
      <c r="E168" s="124"/>
      <c r="F168" s="123"/>
      <c r="G168" s="124"/>
    </row>
    <row r="169" customHeight="1" spans="1:7">
      <c r="A169" s="94" t="s">
        <v>868</v>
      </c>
      <c r="B169" s="94"/>
      <c r="C169" s="94"/>
      <c r="D169" s="94"/>
      <c r="E169" s="94"/>
      <c r="F169" s="94"/>
      <c r="G169" s="94"/>
    </row>
    <row r="170" customHeight="1" spans="1:7">
      <c r="A170" s="95" t="s">
        <v>869</v>
      </c>
      <c r="B170" s="96"/>
      <c r="C170" s="96"/>
      <c r="D170" s="96" t="s">
        <v>870</v>
      </c>
      <c r="E170" s="97" t="s">
        <v>1571</v>
      </c>
      <c r="F170" s="98"/>
      <c r="G170" s="99"/>
    </row>
    <row r="171" customHeight="1" spans="1:7">
      <c r="A171" s="100" t="s">
        <v>507</v>
      </c>
      <c r="B171" s="101"/>
      <c r="C171" s="102" t="s">
        <v>1572</v>
      </c>
      <c r="D171" s="102"/>
      <c r="E171" s="102"/>
      <c r="F171" s="103" t="s">
        <v>873</v>
      </c>
      <c r="G171" s="104" t="s">
        <v>496</v>
      </c>
    </row>
    <row r="172" customHeight="1" spans="1:7">
      <c r="A172" s="105" t="s">
        <v>875</v>
      </c>
      <c r="B172" s="102"/>
      <c r="C172" s="102"/>
      <c r="D172" s="102"/>
      <c r="E172" s="102"/>
      <c r="F172" s="102"/>
      <c r="G172" s="106"/>
    </row>
    <row r="173" customHeight="1" spans="1:7">
      <c r="A173" s="107" t="s">
        <v>912</v>
      </c>
      <c r="B173" s="108"/>
      <c r="C173" s="109"/>
      <c r="D173" s="109"/>
      <c r="E173" s="109"/>
      <c r="F173" s="109"/>
      <c r="G173" s="110"/>
    </row>
    <row r="174" customHeight="1" spans="1:7">
      <c r="A174" s="100" t="s">
        <v>34</v>
      </c>
      <c r="B174" s="103" t="s">
        <v>761</v>
      </c>
      <c r="C174" s="103"/>
      <c r="D174" s="103" t="s">
        <v>60</v>
      </c>
      <c r="E174" s="111" t="s">
        <v>877</v>
      </c>
      <c r="F174" s="103" t="s">
        <v>878</v>
      </c>
      <c r="G174" s="104" t="s">
        <v>879</v>
      </c>
    </row>
    <row r="175" customHeight="1" spans="1:7">
      <c r="A175" s="100" t="s">
        <v>8</v>
      </c>
      <c r="B175" s="112" t="s">
        <v>880</v>
      </c>
      <c r="C175" s="112"/>
      <c r="D175" s="103"/>
      <c r="E175" s="111"/>
      <c r="F175" s="111"/>
      <c r="G175" s="113">
        <f>G176+G190</f>
        <v>72.1786506815105</v>
      </c>
    </row>
    <row r="176" customHeight="1" spans="1:7">
      <c r="A176" s="100" t="s">
        <v>881</v>
      </c>
      <c r="B176" s="112" t="s">
        <v>882</v>
      </c>
      <c r="C176" s="112"/>
      <c r="D176" s="103"/>
      <c r="E176" s="111"/>
      <c r="F176" s="111"/>
      <c r="G176" s="113">
        <f>G177+G180</f>
        <v>68.4157826365029</v>
      </c>
    </row>
    <row r="177" customHeight="1" spans="1:7">
      <c r="A177" s="100" t="s">
        <v>17</v>
      </c>
      <c r="B177" s="112" t="s">
        <v>510</v>
      </c>
      <c r="C177" s="112"/>
      <c r="D177" s="103"/>
      <c r="E177" s="111"/>
      <c r="F177" s="111"/>
      <c r="G177" s="113">
        <f>SUM(G178:G179)</f>
        <v>50.431</v>
      </c>
    </row>
    <row r="178" customHeight="1" spans="1:7">
      <c r="A178" s="100"/>
      <c r="B178" s="112" t="s">
        <v>704</v>
      </c>
      <c r="C178" s="112"/>
      <c r="D178" s="103" t="s">
        <v>705</v>
      </c>
      <c r="E178" s="111">
        <v>5.3</v>
      </c>
      <c r="F178" s="111">
        <f>主要材料预算!$D$19</f>
        <v>8.1</v>
      </c>
      <c r="G178" s="113">
        <f t="shared" ref="G178:G181" si="18">E178*F178</f>
        <v>42.93</v>
      </c>
    </row>
    <row r="179" customHeight="1" spans="1:7">
      <c r="A179" s="100"/>
      <c r="B179" s="112" t="s">
        <v>706</v>
      </c>
      <c r="C179" s="112"/>
      <c r="D179" s="103" t="s">
        <v>705</v>
      </c>
      <c r="E179" s="114">
        <v>1.3</v>
      </c>
      <c r="F179" s="111">
        <f>主要材料预算!$D$20</f>
        <v>5.77</v>
      </c>
      <c r="G179" s="113">
        <f t="shared" si="18"/>
        <v>7.501</v>
      </c>
    </row>
    <row r="180" customHeight="1" spans="1:7">
      <c r="A180" s="100" t="s">
        <v>19</v>
      </c>
      <c r="B180" s="66" t="s">
        <v>511</v>
      </c>
      <c r="C180" s="67"/>
      <c r="D180" s="103"/>
      <c r="E180" s="111"/>
      <c r="F180" s="111"/>
      <c r="G180" s="113">
        <f>SUM(G181:G189)</f>
        <v>17.9847826365029</v>
      </c>
    </row>
    <row r="181" customHeight="1" spans="1:7">
      <c r="A181" s="100"/>
      <c r="B181" s="66" t="s">
        <v>1555</v>
      </c>
      <c r="C181" s="67"/>
      <c r="D181" s="103" t="s">
        <v>1142</v>
      </c>
      <c r="E181" s="111">
        <v>0.05</v>
      </c>
      <c r="F181" s="111">
        <f>基础材料!$H$3</f>
        <v>17</v>
      </c>
      <c r="G181" s="113">
        <f t="shared" si="18"/>
        <v>0.85</v>
      </c>
    </row>
    <row r="182" customHeight="1" spans="1:7">
      <c r="A182" s="100"/>
      <c r="B182" s="66" t="s">
        <v>1556</v>
      </c>
      <c r="C182" s="67"/>
      <c r="D182" s="103" t="s">
        <v>1142</v>
      </c>
      <c r="E182" s="111">
        <v>0.09</v>
      </c>
      <c r="F182" s="111">
        <f>基础材料!$H$4</f>
        <v>13.86</v>
      </c>
      <c r="G182" s="113">
        <f t="shared" ref="G182:G188" si="19">E182*F182</f>
        <v>1.2474</v>
      </c>
    </row>
    <row r="183" customHeight="1" spans="1:7">
      <c r="A183" s="100"/>
      <c r="B183" s="66" t="s">
        <v>1557</v>
      </c>
      <c r="C183" s="67"/>
      <c r="D183" s="103" t="s">
        <v>1142</v>
      </c>
      <c r="E183" s="111">
        <v>0.11</v>
      </c>
      <c r="F183" s="111">
        <f>基础材料!$H$5</f>
        <v>4.61</v>
      </c>
      <c r="G183" s="113">
        <f t="shared" si="19"/>
        <v>0.5071</v>
      </c>
    </row>
    <row r="184" customHeight="1" spans="1:7">
      <c r="A184" s="100"/>
      <c r="B184" s="66" t="s">
        <v>696</v>
      </c>
      <c r="C184" s="67"/>
      <c r="D184" s="103" t="s">
        <v>1142</v>
      </c>
      <c r="E184" s="111">
        <v>0.34</v>
      </c>
      <c r="F184" s="111">
        <f>基础材料!$H$6</f>
        <v>10.8827586206897</v>
      </c>
      <c r="G184" s="113">
        <f t="shared" si="19"/>
        <v>3.70013793103448</v>
      </c>
    </row>
    <row r="185" customHeight="1" spans="1:7">
      <c r="A185" s="100"/>
      <c r="B185" s="66" t="s">
        <v>694</v>
      </c>
      <c r="C185" s="67"/>
      <c r="D185" s="103" t="s">
        <v>1142</v>
      </c>
      <c r="E185" s="111">
        <v>0.41</v>
      </c>
      <c r="F185" s="111">
        <f>基础材料!$H$7</f>
        <v>9.0516206482593</v>
      </c>
      <c r="G185" s="113">
        <f t="shared" si="19"/>
        <v>3.71116446578631</v>
      </c>
    </row>
    <row r="186" customHeight="1" spans="1:7">
      <c r="A186" s="100"/>
      <c r="B186" s="66" t="s">
        <v>1558</v>
      </c>
      <c r="C186" s="67"/>
      <c r="D186" s="103" t="s">
        <v>1142</v>
      </c>
      <c r="E186" s="111">
        <v>0.45</v>
      </c>
      <c r="F186" s="111">
        <f>基础材料!$H$8</f>
        <v>5.2</v>
      </c>
      <c r="G186" s="113">
        <f t="shared" si="19"/>
        <v>2.34</v>
      </c>
    </row>
    <row r="187" customHeight="1" spans="1:7">
      <c r="A187" s="100"/>
      <c r="B187" s="66" t="s">
        <v>1559</v>
      </c>
      <c r="C187" s="67"/>
      <c r="D187" s="103" t="s">
        <v>366</v>
      </c>
      <c r="E187" s="111">
        <v>0.07</v>
      </c>
      <c r="F187" s="111">
        <f>基础材料!$H$9</f>
        <v>10</v>
      </c>
      <c r="G187" s="113">
        <f t="shared" si="19"/>
        <v>0.7</v>
      </c>
    </row>
    <row r="188" customHeight="1" spans="1:7">
      <c r="A188" s="100"/>
      <c r="B188" s="66" t="s">
        <v>1560</v>
      </c>
      <c r="C188" s="67"/>
      <c r="D188" s="103" t="s">
        <v>1142</v>
      </c>
      <c r="E188" s="111">
        <v>0.54</v>
      </c>
      <c r="F188" s="111">
        <f>基础材料!$H$10</f>
        <v>6.1</v>
      </c>
      <c r="G188" s="113">
        <f t="shared" si="19"/>
        <v>3.294</v>
      </c>
    </row>
    <row r="189" customHeight="1" spans="1:7">
      <c r="A189" s="100"/>
      <c r="B189" s="112" t="s">
        <v>893</v>
      </c>
      <c r="C189" s="112"/>
      <c r="D189" s="103" t="s">
        <v>894</v>
      </c>
      <c r="E189" s="111">
        <f>SUM(G181:G188)</f>
        <v>16.3498023968208</v>
      </c>
      <c r="F189" s="115">
        <v>10</v>
      </c>
      <c r="G189" s="113">
        <f>E189*F189/100</f>
        <v>1.63498023968208</v>
      </c>
    </row>
    <row r="190" customHeight="1" spans="1:7">
      <c r="A190" s="100" t="s">
        <v>905</v>
      </c>
      <c r="B190" s="112" t="s">
        <v>514</v>
      </c>
      <c r="C190" s="112"/>
      <c r="D190" s="103"/>
      <c r="E190" s="116">
        <f>G176</f>
        <v>68.4157826365029</v>
      </c>
      <c r="F190" s="117">
        <f>费率表!$K$4</f>
        <v>0.055</v>
      </c>
      <c r="G190" s="113">
        <f t="shared" ref="G190:G194" si="20">E190*F190</f>
        <v>3.76286804500766</v>
      </c>
    </row>
    <row r="191" customHeight="1" spans="1:7">
      <c r="A191" s="100" t="s">
        <v>10</v>
      </c>
      <c r="B191" s="112" t="s">
        <v>770</v>
      </c>
      <c r="C191" s="112"/>
      <c r="D191" s="103"/>
      <c r="E191" s="111">
        <f>G175</f>
        <v>72.1786506815105</v>
      </c>
      <c r="F191" s="118">
        <f>费率表!$K$5</f>
        <v>0.7</v>
      </c>
      <c r="G191" s="113">
        <f t="shared" si="20"/>
        <v>50.5250554770574</v>
      </c>
    </row>
    <row r="192" customHeight="1" spans="1:7">
      <c r="A192" s="100" t="s">
        <v>12</v>
      </c>
      <c r="B192" s="112" t="s">
        <v>771</v>
      </c>
      <c r="C192" s="112"/>
      <c r="D192" s="103"/>
      <c r="E192" s="111">
        <f>G175+G191</f>
        <v>122.703706158568</v>
      </c>
      <c r="F192" s="118">
        <f>费率表!$K$6</f>
        <v>0.07</v>
      </c>
      <c r="G192" s="113">
        <f t="shared" si="20"/>
        <v>8.58925943109976</v>
      </c>
    </row>
    <row r="193" customHeight="1" spans="1:7">
      <c r="A193" s="100" t="s">
        <v>15</v>
      </c>
      <c r="B193" s="112" t="s">
        <v>772</v>
      </c>
      <c r="C193" s="112"/>
      <c r="D193" s="103"/>
      <c r="E193" s="111">
        <f>G175+G191+G192</f>
        <v>131.292965589668</v>
      </c>
      <c r="F193" s="118">
        <f>费率表!$K$7</f>
        <v>0.09</v>
      </c>
      <c r="G193" s="113">
        <f t="shared" si="20"/>
        <v>11.8163669030701</v>
      </c>
    </row>
    <row r="194" customHeight="1" spans="1:7">
      <c r="A194" s="100"/>
      <c r="B194" s="112" t="s">
        <v>907</v>
      </c>
      <c r="C194" s="112"/>
      <c r="D194" s="103"/>
      <c r="E194" s="111">
        <f>G175+G191+G192+G193</f>
        <v>143.109332492738</v>
      </c>
      <c r="F194" s="118">
        <f>费率表!$B$19</f>
        <v>0.03</v>
      </c>
      <c r="G194" s="113">
        <f t="shared" si="20"/>
        <v>4.29327997478213</v>
      </c>
    </row>
    <row r="195" customHeight="1" spans="1:7">
      <c r="A195" s="119"/>
      <c r="B195" s="120" t="s">
        <v>39</v>
      </c>
      <c r="C195" s="120"/>
      <c r="D195" s="120"/>
      <c r="E195" s="121"/>
      <c r="F195" s="120"/>
      <c r="G195" s="122">
        <f>G175+G191+G192+G193+G194</f>
        <v>147.40261246752</v>
      </c>
    </row>
    <row r="196" customHeight="1" spans="1:7">
      <c r="A196" s="123"/>
      <c r="B196" s="123"/>
      <c r="C196" s="123"/>
      <c r="D196" s="123"/>
      <c r="E196" s="124"/>
      <c r="F196" s="123"/>
      <c r="G196" s="124"/>
    </row>
    <row r="197" customHeight="1" spans="1:7">
      <c r="A197" s="123"/>
      <c r="B197" s="123"/>
      <c r="C197" s="123"/>
      <c r="D197" s="123"/>
      <c r="E197" s="124"/>
      <c r="F197" s="123"/>
      <c r="G197" s="124"/>
    </row>
    <row r="198" customHeight="1" spans="1:7">
      <c r="A198" s="94" t="s">
        <v>868</v>
      </c>
      <c r="B198" s="94"/>
      <c r="C198" s="94"/>
      <c r="D198" s="94"/>
      <c r="E198" s="94"/>
      <c r="F198" s="94"/>
      <c r="G198" s="94"/>
    </row>
    <row r="199" customHeight="1" spans="1:7">
      <c r="A199" s="95" t="s">
        <v>869</v>
      </c>
      <c r="B199" s="96"/>
      <c r="C199" s="96"/>
      <c r="D199" s="96" t="s">
        <v>870</v>
      </c>
      <c r="E199" s="97" t="s">
        <v>1573</v>
      </c>
      <c r="F199" s="98"/>
      <c r="G199" s="99"/>
    </row>
    <row r="200" customHeight="1" spans="1:7">
      <c r="A200" s="100" t="s">
        <v>507</v>
      </c>
      <c r="B200" s="101"/>
      <c r="C200" s="102" t="s">
        <v>1574</v>
      </c>
      <c r="D200" s="102"/>
      <c r="E200" s="102"/>
      <c r="F200" s="103" t="s">
        <v>873</v>
      </c>
      <c r="G200" s="104" t="s">
        <v>496</v>
      </c>
    </row>
    <row r="201" customHeight="1" spans="1:7">
      <c r="A201" s="105" t="s">
        <v>875</v>
      </c>
      <c r="B201" s="102"/>
      <c r="C201" s="102"/>
      <c r="D201" s="102"/>
      <c r="E201" s="102"/>
      <c r="F201" s="102"/>
      <c r="G201" s="106"/>
    </row>
    <row r="202" customHeight="1" spans="1:7">
      <c r="A202" s="107" t="s">
        <v>912</v>
      </c>
      <c r="B202" s="108"/>
      <c r="C202" s="109"/>
      <c r="D202" s="109"/>
      <c r="E202" s="109"/>
      <c r="F202" s="109"/>
      <c r="G202" s="110"/>
    </row>
    <row r="203" customHeight="1" spans="1:7">
      <c r="A203" s="100" t="s">
        <v>34</v>
      </c>
      <c r="B203" s="103" t="s">
        <v>761</v>
      </c>
      <c r="C203" s="103"/>
      <c r="D203" s="103" t="s">
        <v>60</v>
      </c>
      <c r="E203" s="111" t="s">
        <v>877</v>
      </c>
      <c r="F203" s="103" t="s">
        <v>878</v>
      </c>
      <c r="G203" s="104" t="s">
        <v>879</v>
      </c>
    </row>
    <row r="204" customHeight="1" spans="1:7">
      <c r="A204" s="100" t="s">
        <v>8</v>
      </c>
      <c r="B204" s="112" t="s">
        <v>880</v>
      </c>
      <c r="C204" s="112"/>
      <c r="D204" s="103"/>
      <c r="E204" s="111"/>
      <c r="F204" s="111"/>
      <c r="G204" s="113">
        <f>G205+G219</f>
        <v>84.6227129177174</v>
      </c>
    </row>
    <row r="205" customHeight="1" spans="1:7">
      <c r="A205" s="100" t="s">
        <v>881</v>
      </c>
      <c r="B205" s="112" t="s">
        <v>882</v>
      </c>
      <c r="C205" s="112"/>
      <c r="D205" s="103"/>
      <c r="E205" s="111"/>
      <c r="F205" s="111"/>
      <c r="G205" s="113">
        <f>G206+G209</f>
        <v>80.2111022916753</v>
      </c>
    </row>
    <row r="206" customHeight="1" spans="1:7">
      <c r="A206" s="100" t="s">
        <v>17</v>
      </c>
      <c r="B206" s="112" t="s">
        <v>510</v>
      </c>
      <c r="C206" s="112"/>
      <c r="D206" s="103"/>
      <c r="E206" s="111"/>
      <c r="F206" s="111"/>
      <c r="G206" s="113">
        <f>SUM(G207:G208)</f>
        <v>67.442</v>
      </c>
    </row>
    <row r="207" customHeight="1" spans="1:7">
      <c r="A207" s="100"/>
      <c r="B207" s="112" t="s">
        <v>704</v>
      </c>
      <c r="C207" s="112"/>
      <c r="D207" s="103" t="s">
        <v>705</v>
      </c>
      <c r="E207" s="111">
        <v>2.2</v>
      </c>
      <c r="F207" s="111">
        <f>主要材料预算!$D$19</f>
        <v>8.1</v>
      </c>
      <c r="G207" s="113">
        <f t="shared" ref="G207:G211" si="21">E207*F207</f>
        <v>17.82</v>
      </c>
    </row>
    <row r="208" customHeight="1" spans="1:7">
      <c r="A208" s="100"/>
      <c r="B208" s="112" t="s">
        <v>706</v>
      </c>
      <c r="C208" s="112"/>
      <c r="D208" s="103" t="s">
        <v>705</v>
      </c>
      <c r="E208" s="114">
        <v>8.6</v>
      </c>
      <c r="F208" s="111">
        <f>主要材料预算!$D$20</f>
        <v>5.77</v>
      </c>
      <c r="G208" s="113">
        <f t="shared" si="21"/>
        <v>49.622</v>
      </c>
    </row>
    <row r="209" customHeight="1" spans="1:7">
      <c r="A209" s="100" t="s">
        <v>19</v>
      </c>
      <c r="B209" s="66" t="s">
        <v>511</v>
      </c>
      <c r="C209" s="67"/>
      <c r="D209" s="103"/>
      <c r="E209" s="111"/>
      <c r="F209" s="111"/>
      <c r="G209" s="113">
        <f>SUM(G211:G218)</f>
        <v>12.7691022916753</v>
      </c>
    </row>
    <row r="210" customHeight="1" spans="1:7">
      <c r="A210" s="100"/>
      <c r="B210" s="66" t="s">
        <v>1560</v>
      </c>
      <c r="C210" s="67"/>
      <c r="D210" s="103" t="s">
        <v>1142</v>
      </c>
      <c r="E210" s="111">
        <v>0.43</v>
      </c>
      <c r="F210" s="111">
        <f>基础材料!$H$10</f>
        <v>6.1</v>
      </c>
      <c r="G210" s="113">
        <f t="shared" si="21"/>
        <v>2.623</v>
      </c>
    </row>
    <row r="211" customHeight="1" spans="1:7">
      <c r="A211" s="100"/>
      <c r="B211" s="66" t="s">
        <v>1555</v>
      </c>
      <c r="C211" s="67"/>
      <c r="D211" s="103" t="s">
        <v>1142</v>
      </c>
      <c r="E211" s="111">
        <v>0.04</v>
      </c>
      <c r="F211" s="111">
        <f>基础材料!$H$3</f>
        <v>17</v>
      </c>
      <c r="G211" s="113">
        <f t="shared" si="21"/>
        <v>0.68</v>
      </c>
    </row>
    <row r="212" customHeight="1" spans="1:7">
      <c r="A212" s="100"/>
      <c r="B212" s="66" t="s">
        <v>1556</v>
      </c>
      <c r="C212" s="67"/>
      <c r="D212" s="103" t="s">
        <v>1142</v>
      </c>
      <c r="E212" s="111">
        <v>0.09</v>
      </c>
      <c r="F212" s="111">
        <f>基础材料!$H$4</f>
        <v>13.86</v>
      </c>
      <c r="G212" s="113">
        <f t="shared" ref="G212:G217" si="22">E212*F212</f>
        <v>1.2474</v>
      </c>
    </row>
    <row r="213" customHeight="1" spans="1:7">
      <c r="A213" s="100"/>
      <c r="B213" s="66" t="s">
        <v>1557</v>
      </c>
      <c r="C213" s="67"/>
      <c r="D213" s="103" t="s">
        <v>1142</v>
      </c>
      <c r="E213" s="111">
        <v>0.24</v>
      </c>
      <c r="F213" s="111">
        <f>基础材料!$H$5</f>
        <v>4.61</v>
      </c>
      <c r="G213" s="113">
        <f t="shared" si="22"/>
        <v>1.1064</v>
      </c>
    </row>
    <row r="214" customHeight="1" spans="1:7">
      <c r="A214" s="100"/>
      <c r="B214" s="66" t="s">
        <v>696</v>
      </c>
      <c r="C214" s="67"/>
      <c r="D214" s="103" t="s">
        <v>1142</v>
      </c>
      <c r="E214" s="111">
        <v>0.33</v>
      </c>
      <c r="F214" s="111">
        <f>基础材料!$H$6</f>
        <v>10.8827586206897</v>
      </c>
      <c r="G214" s="113">
        <f t="shared" si="22"/>
        <v>3.59131034482759</v>
      </c>
    </row>
    <row r="215" customHeight="1" spans="1:7">
      <c r="A215" s="100"/>
      <c r="B215" s="66" t="s">
        <v>694</v>
      </c>
      <c r="C215" s="67"/>
      <c r="D215" s="103" t="s">
        <v>1142</v>
      </c>
      <c r="E215" s="111">
        <v>0.41</v>
      </c>
      <c r="F215" s="111">
        <f>基础材料!$H$7</f>
        <v>9.0516206482593</v>
      </c>
      <c r="G215" s="113">
        <f t="shared" si="22"/>
        <v>3.71116446578631</v>
      </c>
    </row>
    <row r="216" customHeight="1" spans="1:7">
      <c r="A216" s="100"/>
      <c r="B216" s="66" t="s">
        <v>1558</v>
      </c>
      <c r="C216" s="67"/>
      <c r="D216" s="103" t="s">
        <v>1142</v>
      </c>
      <c r="E216" s="111">
        <v>0.11</v>
      </c>
      <c r="F216" s="111">
        <f>基础材料!$H$8</f>
        <v>5.2</v>
      </c>
      <c r="G216" s="113">
        <f t="shared" si="22"/>
        <v>0.572</v>
      </c>
    </row>
    <row r="217" customHeight="1" spans="1:7">
      <c r="A217" s="100"/>
      <c r="B217" s="66" t="s">
        <v>1559</v>
      </c>
      <c r="C217" s="67"/>
      <c r="D217" s="103" t="s">
        <v>366</v>
      </c>
      <c r="E217" s="111">
        <v>0.07</v>
      </c>
      <c r="F217" s="111">
        <f>基础材料!$H$9</f>
        <v>10</v>
      </c>
      <c r="G217" s="113">
        <f t="shared" si="22"/>
        <v>0.7</v>
      </c>
    </row>
    <row r="218" customHeight="1" spans="1:7">
      <c r="A218" s="100"/>
      <c r="B218" s="112" t="s">
        <v>893</v>
      </c>
      <c r="C218" s="112"/>
      <c r="D218" s="103" t="s">
        <v>894</v>
      </c>
      <c r="E218" s="111">
        <f>SUM(G211:G217)</f>
        <v>11.6082748106139</v>
      </c>
      <c r="F218" s="115">
        <v>10</v>
      </c>
      <c r="G218" s="113">
        <f>E218*F218/100</f>
        <v>1.16082748106139</v>
      </c>
    </row>
    <row r="219" customHeight="1" spans="1:7">
      <c r="A219" s="100" t="s">
        <v>905</v>
      </c>
      <c r="B219" s="112" t="s">
        <v>514</v>
      </c>
      <c r="C219" s="112"/>
      <c r="D219" s="103"/>
      <c r="E219" s="116">
        <f>G205</f>
        <v>80.2111022916753</v>
      </c>
      <c r="F219" s="117">
        <f>费率表!$K$4</f>
        <v>0.055</v>
      </c>
      <c r="G219" s="113">
        <f t="shared" ref="G219:G223" si="23">E219*F219</f>
        <v>4.41161062604214</v>
      </c>
    </row>
    <row r="220" customHeight="1" spans="1:7">
      <c r="A220" s="100" t="s">
        <v>10</v>
      </c>
      <c r="B220" s="112" t="s">
        <v>770</v>
      </c>
      <c r="C220" s="112"/>
      <c r="D220" s="103"/>
      <c r="E220" s="111">
        <f>G204</f>
        <v>84.6227129177174</v>
      </c>
      <c r="F220" s="118">
        <f>费率表!$K$5</f>
        <v>0.7</v>
      </c>
      <c r="G220" s="113">
        <f t="shared" si="23"/>
        <v>59.2358990424022</v>
      </c>
    </row>
    <row r="221" customHeight="1" spans="1:7">
      <c r="A221" s="100" t="s">
        <v>12</v>
      </c>
      <c r="B221" s="112" t="s">
        <v>771</v>
      </c>
      <c r="C221" s="112"/>
      <c r="D221" s="103"/>
      <c r="E221" s="111">
        <f>G204+G220</f>
        <v>143.85861196012</v>
      </c>
      <c r="F221" s="118">
        <f>费率表!$K$6</f>
        <v>0.07</v>
      </c>
      <c r="G221" s="113">
        <f t="shared" si="23"/>
        <v>10.0701028372084</v>
      </c>
    </row>
    <row r="222" customHeight="1" spans="1:7">
      <c r="A222" s="100" t="s">
        <v>15</v>
      </c>
      <c r="B222" s="112" t="s">
        <v>772</v>
      </c>
      <c r="C222" s="112"/>
      <c r="D222" s="103"/>
      <c r="E222" s="111">
        <f>G204+G220+G221</f>
        <v>153.928714797328</v>
      </c>
      <c r="F222" s="118">
        <f>费率表!$K$7</f>
        <v>0.09</v>
      </c>
      <c r="G222" s="113">
        <f t="shared" si="23"/>
        <v>13.8535843317595</v>
      </c>
    </row>
    <row r="223" customHeight="1" spans="1:7">
      <c r="A223" s="100"/>
      <c r="B223" s="112" t="s">
        <v>907</v>
      </c>
      <c r="C223" s="112"/>
      <c r="D223" s="103"/>
      <c r="E223" s="111">
        <f>G204+G220+G221+G222</f>
        <v>167.782299129088</v>
      </c>
      <c r="F223" s="118">
        <f>费率表!$B$19</f>
        <v>0.03</v>
      </c>
      <c r="G223" s="113">
        <f t="shared" si="23"/>
        <v>5.03346897387263</v>
      </c>
    </row>
    <row r="224" customHeight="1" spans="1:7">
      <c r="A224" s="119"/>
      <c r="B224" s="120" t="s">
        <v>39</v>
      </c>
      <c r="C224" s="120"/>
      <c r="D224" s="120"/>
      <c r="E224" s="121"/>
      <c r="F224" s="120"/>
      <c r="G224" s="122">
        <f>G204+G220+G221+G222+G223</f>
        <v>172.81576810296</v>
      </c>
    </row>
    <row r="225" customHeight="1" spans="1:7">
      <c r="A225" s="123"/>
      <c r="B225" s="123"/>
      <c r="C225" s="123"/>
      <c r="D225" s="123"/>
      <c r="E225" s="124"/>
      <c r="F225" s="123"/>
      <c r="G225" s="124"/>
    </row>
    <row r="226" customHeight="1" spans="1:7">
      <c r="A226" s="123"/>
      <c r="B226" s="123"/>
      <c r="C226" s="123"/>
      <c r="D226" s="123"/>
      <c r="E226" s="124"/>
      <c r="F226" s="123"/>
      <c r="G226" s="124"/>
    </row>
    <row r="227" customHeight="1" spans="1:7">
      <c r="A227" s="94" t="s">
        <v>868</v>
      </c>
      <c r="B227" s="94"/>
      <c r="C227" s="94"/>
      <c r="D227" s="94"/>
      <c r="E227" s="94"/>
      <c r="F227" s="94"/>
      <c r="G227" s="94"/>
    </row>
    <row r="228" customHeight="1" spans="1:7">
      <c r="A228" s="95" t="s">
        <v>869</v>
      </c>
      <c r="B228" s="96"/>
      <c r="C228" s="96"/>
      <c r="D228" s="96" t="s">
        <v>870</v>
      </c>
      <c r="E228" s="97" t="s">
        <v>1575</v>
      </c>
      <c r="F228" s="98"/>
      <c r="G228" s="99"/>
    </row>
    <row r="229" customHeight="1" spans="1:7">
      <c r="A229" s="100" t="s">
        <v>507</v>
      </c>
      <c r="B229" s="101"/>
      <c r="C229" s="102" t="s">
        <v>1576</v>
      </c>
      <c r="D229" s="102"/>
      <c r="E229" s="102"/>
      <c r="F229" s="103" t="s">
        <v>873</v>
      </c>
      <c r="G229" s="104" t="s">
        <v>496</v>
      </c>
    </row>
    <row r="230" customHeight="1" spans="1:7">
      <c r="A230" s="105" t="s">
        <v>875</v>
      </c>
      <c r="B230" s="102"/>
      <c r="C230" s="102"/>
      <c r="D230" s="102"/>
      <c r="E230" s="102"/>
      <c r="F230" s="102"/>
      <c r="G230" s="106"/>
    </row>
    <row r="231" customHeight="1" spans="1:7">
      <c r="A231" s="107" t="s">
        <v>912</v>
      </c>
      <c r="B231" s="108"/>
      <c r="C231" s="109"/>
      <c r="D231" s="109"/>
      <c r="E231" s="109"/>
      <c r="F231" s="109"/>
      <c r="G231" s="110"/>
    </row>
    <row r="232" customHeight="1" spans="1:7">
      <c r="A232" s="100" t="s">
        <v>34</v>
      </c>
      <c r="B232" s="103" t="s">
        <v>761</v>
      </c>
      <c r="C232" s="103"/>
      <c r="D232" s="103" t="s">
        <v>60</v>
      </c>
      <c r="E232" s="111" t="s">
        <v>877</v>
      </c>
      <c r="F232" s="103" t="s">
        <v>878</v>
      </c>
      <c r="G232" s="104" t="s">
        <v>879</v>
      </c>
    </row>
    <row r="233" customHeight="1" spans="1:7">
      <c r="A233" s="100" t="s">
        <v>8</v>
      </c>
      <c r="B233" s="112" t="s">
        <v>880</v>
      </c>
      <c r="C233" s="112"/>
      <c r="D233" s="103"/>
      <c r="E233" s="111"/>
      <c r="F233" s="111"/>
      <c r="G233" s="113">
        <f>G234+G248</f>
        <v>65.3425753740613</v>
      </c>
    </row>
    <row r="234" customHeight="1" spans="1:7">
      <c r="A234" s="100" t="s">
        <v>881</v>
      </c>
      <c r="B234" s="112" t="s">
        <v>882</v>
      </c>
      <c r="C234" s="112"/>
      <c r="D234" s="103"/>
      <c r="E234" s="111"/>
      <c r="F234" s="111"/>
      <c r="G234" s="113">
        <f>G235+G238</f>
        <v>61.9360904019539</v>
      </c>
    </row>
    <row r="235" customHeight="1" spans="1:7">
      <c r="A235" s="100" t="s">
        <v>17</v>
      </c>
      <c r="B235" s="112" t="s">
        <v>510</v>
      </c>
      <c r="C235" s="112"/>
      <c r="D235" s="103"/>
      <c r="E235" s="111"/>
      <c r="F235" s="111"/>
      <c r="G235" s="113">
        <f>SUM(G236:G237)</f>
        <v>54.16</v>
      </c>
    </row>
    <row r="236" customHeight="1" spans="1:7">
      <c r="A236" s="100"/>
      <c r="B236" s="112" t="s">
        <v>704</v>
      </c>
      <c r="C236" s="112"/>
      <c r="D236" s="103" t="s">
        <v>705</v>
      </c>
      <c r="E236" s="111">
        <v>1.7</v>
      </c>
      <c r="F236" s="111">
        <f>主要材料预算!$D$19</f>
        <v>8.1</v>
      </c>
      <c r="G236" s="113">
        <f t="shared" ref="G236:G240" si="24">E236*F236</f>
        <v>13.77</v>
      </c>
    </row>
    <row r="237" customHeight="1" spans="1:7">
      <c r="A237" s="100"/>
      <c r="B237" s="112" t="s">
        <v>706</v>
      </c>
      <c r="C237" s="112"/>
      <c r="D237" s="103" t="s">
        <v>705</v>
      </c>
      <c r="E237" s="114">
        <v>7</v>
      </c>
      <c r="F237" s="111">
        <f>主要材料预算!$D$20</f>
        <v>5.77</v>
      </c>
      <c r="G237" s="113">
        <f t="shared" si="24"/>
        <v>40.39</v>
      </c>
    </row>
    <row r="238" customHeight="1" spans="1:7">
      <c r="A238" s="100" t="s">
        <v>19</v>
      </c>
      <c r="B238" s="66" t="s">
        <v>511</v>
      </c>
      <c r="C238" s="67"/>
      <c r="D238" s="103"/>
      <c r="E238" s="111"/>
      <c r="F238" s="111"/>
      <c r="G238" s="113">
        <f>SUM(G240:G247)</f>
        <v>7.77609040195389</v>
      </c>
    </row>
    <row r="239" customHeight="1" spans="1:7">
      <c r="A239" s="100"/>
      <c r="B239" s="66" t="s">
        <v>1560</v>
      </c>
      <c r="C239" s="67"/>
      <c r="D239" s="103" t="s">
        <v>1142</v>
      </c>
      <c r="E239" s="111">
        <v>0.35</v>
      </c>
      <c r="F239" s="111">
        <f>基础材料!$H$10</f>
        <v>6.1</v>
      </c>
      <c r="G239" s="113">
        <f t="shared" si="24"/>
        <v>2.135</v>
      </c>
    </row>
    <row r="240" customHeight="1" spans="1:7">
      <c r="A240" s="100"/>
      <c r="B240" s="66" t="s">
        <v>1555</v>
      </c>
      <c r="C240" s="67"/>
      <c r="D240" s="103" t="s">
        <v>1142</v>
      </c>
      <c r="E240" s="111">
        <v>0.03</v>
      </c>
      <c r="F240" s="111">
        <f>基础材料!$H$3</f>
        <v>17</v>
      </c>
      <c r="G240" s="113">
        <f t="shared" si="24"/>
        <v>0.51</v>
      </c>
    </row>
    <row r="241" customHeight="1" spans="1:7">
      <c r="A241" s="100"/>
      <c r="B241" s="66" t="s">
        <v>1556</v>
      </c>
      <c r="C241" s="67"/>
      <c r="D241" s="103" t="s">
        <v>1142</v>
      </c>
      <c r="E241" s="111">
        <v>0.06</v>
      </c>
      <c r="F241" s="111">
        <f>基础材料!$H$4</f>
        <v>13.86</v>
      </c>
      <c r="G241" s="113">
        <f t="shared" ref="G241:G246" si="25">E241*F241</f>
        <v>0.8316</v>
      </c>
    </row>
    <row r="242" customHeight="1" spans="1:7">
      <c r="A242" s="100"/>
      <c r="B242" s="66" t="s">
        <v>1557</v>
      </c>
      <c r="C242" s="67"/>
      <c r="D242" s="103" t="s">
        <v>1142</v>
      </c>
      <c r="E242" s="111">
        <v>0.16</v>
      </c>
      <c r="F242" s="111">
        <f>基础材料!$H$5</f>
        <v>4.61</v>
      </c>
      <c r="G242" s="113">
        <f t="shared" si="25"/>
        <v>0.7376</v>
      </c>
    </row>
    <row r="243" customHeight="1" spans="1:7">
      <c r="A243" s="100"/>
      <c r="B243" s="66" t="s">
        <v>696</v>
      </c>
      <c r="C243" s="67"/>
      <c r="D243" s="103" t="s">
        <v>1142</v>
      </c>
      <c r="E243" s="111">
        <v>0.2</v>
      </c>
      <c r="F243" s="111">
        <f>基础材料!$H$6</f>
        <v>10.8827586206897</v>
      </c>
      <c r="G243" s="113">
        <f t="shared" si="25"/>
        <v>2.17655172413793</v>
      </c>
    </row>
    <row r="244" customHeight="1" spans="1:7">
      <c r="A244" s="100"/>
      <c r="B244" s="66" t="s">
        <v>694</v>
      </c>
      <c r="C244" s="67"/>
      <c r="D244" s="103" t="s">
        <v>1142</v>
      </c>
      <c r="E244" s="111">
        <v>0.26</v>
      </c>
      <c r="F244" s="111">
        <f>基础材料!$H$7</f>
        <v>9.0516206482593</v>
      </c>
      <c r="G244" s="113">
        <f t="shared" si="25"/>
        <v>2.35342136854742</v>
      </c>
    </row>
    <row r="245" customHeight="1" spans="1:7">
      <c r="A245" s="100"/>
      <c r="B245" s="66" t="s">
        <v>1558</v>
      </c>
      <c r="C245" s="67"/>
      <c r="D245" s="103" t="s">
        <v>1142</v>
      </c>
      <c r="E245" s="111">
        <v>0.05</v>
      </c>
      <c r="F245" s="111">
        <f>基础材料!$H$8</f>
        <v>5.2</v>
      </c>
      <c r="G245" s="113">
        <f t="shared" si="25"/>
        <v>0.26</v>
      </c>
    </row>
    <row r="246" customHeight="1" spans="1:7">
      <c r="A246" s="100"/>
      <c r="B246" s="66" t="s">
        <v>1559</v>
      </c>
      <c r="C246" s="67"/>
      <c r="D246" s="103" t="s">
        <v>366</v>
      </c>
      <c r="E246" s="111">
        <v>0.02</v>
      </c>
      <c r="F246" s="111">
        <f>基础材料!$H$9</f>
        <v>10</v>
      </c>
      <c r="G246" s="113">
        <f t="shared" si="25"/>
        <v>0.2</v>
      </c>
    </row>
    <row r="247" customHeight="1" spans="1:7">
      <c r="A247" s="100"/>
      <c r="B247" s="112" t="s">
        <v>893</v>
      </c>
      <c r="C247" s="112"/>
      <c r="D247" s="103" t="s">
        <v>894</v>
      </c>
      <c r="E247" s="111">
        <f>SUM(G240:G246)</f>
        <v>7.06917309268535</v>
      </c>
      <c r="F247" s="115">
        <v>10</v>
      </c>
      <c r="G247" s="113">
        <f>E247*F247/100</f>
        <v>0.706917309268535</v>
      </c>
    </row>
    <row r="248" customHeight="1" spans="1:7">
      <c r="A248" s="100" t="s">
        <v>905</v>
      </c>
      <c r="B248" s="112" t="s">
        <v>514</v>
      </c>
      <c r="C248" s="112"/>
      <c r="D248" s="103"/>
      <c r="E248" s="116">
        <f>G234</f>
        <v>61.9360904019539</v>
      </c>
      <c r="F248" s="117">
        <f>费率表!$K$4</f>
        <v>0.055</v>
      </c>
      <c r="G248" s="113">
        <f t="shared" ref="G248:G252" si="26">E248*F248</f>
        <v>3.40648497210746</v>
      </c>
    </row>
    <row r="249" customHeight="1" spans="1:7">
      <c r="A249" s="100" t="s">
        <v>10</v>
      </c>
      <c r="B249" s="112" t="s">
        <v>770</v>
      </c>
      <c r="C249" s="112"/>
      <c r="D249" s="103"/>
      <c r="E249" s="111">
        <f>G233</f>
        <v>65.3425753740613</v>
      </c>
      <c r="F249" s="118">
        <f>费率表!$K$5</f>
        <v>0.7</v>
      </c>
      <c r="G249" s="113">
        <f t="shared" si="26"/>
        <v>45.7398027618429</v>
      </c>
    </row>
    <row r="250" customHeight="1" spans="1:7">
      <c r="A250" s="100" t="s">
        <v>12</v>
      </c>
      <c r="B250" s="112" t="s">
        <v>771</v>
      </c>
      <c r="C250" s="112"/>
      <c r="D250" s="103"/>
      <c r="E250" s="111">
        <f>G233+G249</f>
        <v>111.082378135904</v>
      </c>
      <c r="F250" s="118">
        <f>费率表!$K$6</f>
        <v>0.07</v>
      </c>
      <c r="G250" s="113">
        <f t="shared" si="26"/>
        <v>7.7757664695133</v>
      </c>
    </row>
    <row r="251" customHeight="1" spans="1:7">
      <c r="A251" s="100" t="s">
        <v>15</v>
      </c>
      <c r="B251" s="112" t="s">
        <v>772</v>
      </c>
      <c r="C251" s="112"/>
      <c r="D251" s="103"/>
      <c r="E251" s="111">
        <f>G233+G249+G250</f>
        <v>118.858144605418</v>
      </c>
      <c r="F251" s="118">
        <f>费率表!$K$7</f>
        <v>0.09</v>
      </c>
      <c r="G251" s="113">
        <f t="shared" si="26"/>
        <v>10.6972330144876</v>
      </c>
    </row>
    <row r="252" customHeight="1" spans="1:7">
      <c r="A252" s="100"/>
      <c r="B252" s="112" t="s">
        <v>907</v>
      </c>
      <c r="C252" s="112"/>
      <c r="D252" s="103"/>
      <c r="E252" s="111">
        <f>G233+G249+G250+G251</f>
        <v>129.555377619905</v>
      </c>
      <c r="F252" s="118">
        <f>费率表!$B$19</f>
        <v>0.03</v>
      </c>
      <c r="G252" s="113">
        <f t="shared" si="26"/>
        <v>3.88666132859715</v>
      </c>
    </row>
    <row r="253" customHeight="1" spans="1:7">
      <c r="A253" s="119"/>
      <c r="B253" s="120" t="s">
        <v>39</v>
      </c>
      <c r="C253" s="120"/>
      <c r="D253" s="120"/>
      <c r="E253" s="121"/>
      <c r="F253" s="120"/>
      <c r="G253" s="122">
        <f>G233+G249+G250+G251+G252</f>
        <v>133.442038948502</v>
      </c>
    </row>
    <row r="254" customHeight="1" spans="1:7">
      <c r="A254" s="123"/>
      <c r="B254" s="123"/>
      <c r="C254" s="123"/>
      <c r="D254" s="123"/>
      <c r="E254" s="124"/>
      <c r="F254" s="123"/>
      <c r="G254" s="124"/>
    </row>
    <row r="255" customHeight="1" spans="1:7">
      <c r="A255" s="94" t="s">
        <v>868</v>
      </c>
      <c r="B255" s="94"/>
      <c r="C255" s="94"/>
      <c r="D255" s="94"/>
      <c r="E255" s="94"/>
      <c r="F255" s="94"/>
      <c r="G255" s="94"/>
    </row>
    <row r="256" customHeight="1" spans="1:7">
      <c r="A256" s="95" t="s">
        <v>869</v>
      </c>
      <c r="B256" s="96"/>
      <c r="C256" s="96"/>
      <c r="D256" s="96" t="s">
        <v>870</v>
      </c>
      <c r="E256" s="97" t="s">
        <v>1577</v>
      </c>
      <c r="F256" s="98"/>
      <c r="G256" s="99"/>
    </row>
    <row r="257" customHeight="1" spans="1:7">
      <c r="A257" s="100" t="s">
        <v>507</v>
      </c>
      <c r="B257" s="101"/>
      <c r="C257" s="102" t="s">
        <v>1578</v>
      </c>
      <c r="D257" s="102"/>
      <c r="E257" s="102"/>
      <c r="F257" s="103" t="s">
        <v>873</v>
      </c>
      <c r="G257" s="104" t="s">
        <v>496</v>
      </c>
    </row>
    <row r="258" customHeight="1" spans="1:7">
      <c r="A258" s="105" t="s">
        <v>875</v>
      </c>
      <c r="B258" s="102"/>
      <c r="C258" s="102"/>
      <c r="D258" s="102"/>
      <c r="E258" s="102"/>
      <c r="F258" s="102"/>
      <c r="G258" s="106"/>
    </row>
    <row r="259" customHeight="1" spans="1:7">
      <c r="A259" s="107" t="s">
        <v>912</v>
      </c>
      <c r="B259" s="108"/>
      <c r="C259" s="109"/>
      <c r="D259" s="109"/>
      <c r="E259" s="109"/>
      <c r="F259" s="109"/>
      <c r="G259" s="110"/>
    </row>
    <row r="260" customHeight="1" spans="1:7">
      <c r="A260" s="100" t="s">
        <v>34</v>
      </c>
      <c r="B260" s="103" t="s">
        <v>761</v>
      </c>
      <c r="C260" s="103"/>
      <c r="D260" s="103" t="s">
        <v>60</v>
      </c>
      <c r="E260" s="111" t="s">
        <v>877</v>
      </c>
      <c r="F260" s="103" t="s">
        <v>878</v>
      </c>
      <c r="G260" s="104" t="s">
        <v>879</v>
      </c>
    </row>
    <row r="261" customHeight="1" spans="1:7">
      <c r="A261" s="100" t="s">
        <v>8</v>
      </c>
      <c r="B261" s="112" t="s">
        <v>880</v>
      </c>
      <c r="C261" s="112"/>
      <c r="D261" s="103"/>
      <c r="E261" s="111"/>
      <c r="F261" s="111"/>
      <c r="G261" s="113">
        <f>G262+G276</f>
        <v>101.754435190131</v>
      </c>
    </row>
    <row r="262" customHeight="1" spans="1:7">
      <c r="A262" s="100" t="s">
        <v>881</v>
      </c>
      <c r="B262" s="112" t="s">
        <v>882</v>
      </c>
      <c r="C262" s="112"/>
      <c r="D262" s="103"/>
      <c r="E262" s="111"/>
      <c r="F262" s="111"/>
      <c r="G262" s="113">
        <f>G263+G266</f>
        <v>96.4497016020201</v>
      </c>
    </row>
    <row r="263" customHeight="1" spans="1:7">
      <c r="A263" s="100" t="s">
        <v>17</v>
      </c>
      <c r="B263" s="112" t="s">
        <v>510</v>
      </c>
      <c r="C263" s="112"/>
      <c r="D263" s="103"/>
      <c r="E263" s="111"/>
      <c r="F263" s="111"/>
      <c r="G263" s="113">
        <f>SUM(G264:G265)</f>
        <v>84.186</v>
      </c>
    </row>
    <row r="264" customHeight="1" spans="1:7">
      <c r="A264" s="100"/>
      <c r="B264" s="112" t="s">
        <v>704</v>
      </c>
      <c r="C264" s="112"/>
      <c r="D264" s="103" t="s">
        <v>705</v>
      </c>
      <c r="E264" s="111">
        <v>2.7</v>
      </c>
      <c r="F264" s="111">
        <f>主要材料预算!$D$19</f>
        <v>8.1</v>
      </c>
      <c r="G264" s="113">
        <f t="shared" ref="G264:G268" si="27">E264*F264</f>
        <v>21.87</v>
      </c>
    </row>
    <row r="265" customHeight="1" spans="1:7">
      <c r="A265" s="100"/>
      <c r="B265" s="112" t="s">
        <v>706</v>
      </c>
      <c r="C265" s="112"/>
      <c r="D265" s="103" t="s">
        <v>705</v>
      </c>
      <c r="E265" s="114">
        <v>10.8</v>
      </c>
      <c r="F265" s="111">
        <f>主要材料预算!$D$20</f>
        <v>5.77</v>
      </c>
      <c r="G265" s="113">
        <f t="shared" si="27"/>
        <v>62.316</v>
      </c>
    </row>
    <row r="266" customHeight="1" spans="1:7">
      <c r="A266" s="100" t="s">
        <v>19</v>
      </c>
      <c r="B266" s="66" t="s">
        <v>511</v>
      </c>
      <c r="C266" s="67"/>
      <c r="D266" s="103"/>
      <c r="E266" s="111"/>
      <c r="F266" s="111"/>
      <c r="G266" s="113">
        <f>SUM(G268:G275)</f>
        <v>12.2637016020201</v>
      </c>
    </row>
    <row r="267" customHeight="1" spans="1:7">
      <c r="A267" s="100"/>
      <c r="B267" s="66" t="s">
        <v>1560</v>
      </c>
      <c r="C267" s="67"/>
      <c r="D267" s="103" t="s">
        <v>1142</v>
      </c>
      <c r="E267" s="111">
        <v>0.54</v>
      </c>
      <c r="F267" s="111">
        <f>基础材料!$H$10</f>
        <v>6.1</v>
      </c>
      <c r="G267" s="113">
        <f t="shared" si="27"/>
        <v>3.294</v>
      </c>
    </row>
    <row r="268" customHeight="1" spans="1:7">
      <c r="A268" s="100"/>
      <c r="B268" s="66" t="s">
        <v>1555</v>
      </c>
      <c r="C268" s="67"/>
      <c r="D268" s="103" t="s">
        <v>1142</v>
      </c>
      <c r="E268" s="111">
        <v>0.05</v>
      </c>
      <c r="F268" s="111">
        <f>基础材料!$H$3</f>
        <v>17</v>
      </c>
      <c r="G268" s="113">
        <f t="shared" si="27"/>
        <v>0.85</v>
      </c>
    </row>
    <row r="269" customHeight="1" spans="1:7">
      <c r="A269" s="100"/>
      <c r="B269" s="66" t="s">
        <v>1556</v>
      </c>
      <c r="C269" s="67"/>
      <c r="D269" s="103" t="s">
        <v>1142</v>
      </c>
      <c r="E269" s="111">
        <v>0.09</v>
      </c>
      <c r="F269" s="111">
        <f>基础材料!$H$4</f>
        <v>13.86</v>
      </c>
      <c r="G269" s="113">
        <f t="shared" ref="G269:G274" si="28">E269*F269</f>
        <v>1.2474</v>
      </c>
    </row>
    <row r="270" customHeight="1" spans="1:7">
      <c r="A270" s="100"/>
      <c r="B270" s="66" t="s">
        <v>1557</v>
      </c>
      <c r="C270" s="67"/>
      <c r="D270" s="103" t="s">
        <v>1142</v>
      </c>
      <c r="E270" s="111">
        <v>0.26</v>
      </c>
      <c r="F270" s="111">
        <f>基础材料!$H$5</f>
        <v>4.61</v>
      </c>
      <c r="G270" s="113">
        <f t="shared" si="28"/>
        <v>1.1986</v>
      </c>
    </row>
    <row r="271" customHeight="1" spans="1:7">
      <c r="A271" s="100"/>
      <c r="B271" s="66" t="s">
        <v>696</v>
      </c>
      <c r="C271" s="67"/>
      <c r="D271" s="103" t="s">
        <v>1142</v>
      </c>
      <c r="E271" s="111">
        <v>0.31</v>
      </c>
      <c r="F271" s="111">
        <f>基础材料!$H$6</f>
        <v>10.8827586206897</v>
      </c>
      <c r="G271" s="113">
        <f t="shared" si="28"/>
        <v>3.37365517241379</v>
      </c>
    </row>
    <row r="272" customHeight="1" spans="1:7">
      <c r="A272" s="100"/>
      <c r="B272" s="66" t="s">
        <v>694</v>
      </c>
      <c r="C272" s="67"/>
      <c r="D272" s="103" t="s">
        <v>1142</v>
      </c>
      <c r="E272" s="111">
        <v>0.41</v>
      </c>
      <c r="F272" s="111">
        <f>基础材料!$H$7</f>
        <v>9.0516206482593</v>
      </c>
      <c r="G272" s="113">
        <f t="shared" si="28"/>
        <v>3.71116446578631</v>
      </c>
    </row>
    <row r="273" customHeight="1" spans="1:7">
      <c r="A273" s="100"/>
      <c r="B273" s="66" t="s">
        <v>1558</v>
      </c>
      <c r="C273" s="67"/>
      <c r="D273" s="103" t="s">
        <v>1142</v>
      </c>
      <c r="E273" s="111">
        <v>0.09</v>
      </c>
      <c r="F273" s="111">
        <f>基础材料!$H$8</f>
        <v>5.2</v>
      </c>
      <c r="G273" s="113">
        <f t="shared" si="28"/>
        <v>0.468</v>
      </c>
    </row>
    <row r="274" customHeight="1" spans="1:7">
      <c r="A274" s="100"/>
      <c r="B274" s="66" t="s">
        <v>1559</v>
      </c>
      <c r="C274" s="67"/>
      <c r="D274" s="103" t="s">
        <v>366</v>
      </c>
      <c r="E274" s="111">
        <v>0.03</v>
      </c>
      <c r="F274" s="111">
        <f>基础材料!$H$9</f>
        <v>10</v>
      </c>
      <c r="G274" s="113">
        <f t="shared" si="28"/>
        <v>0.3</v>
      </c>
    </row>
    <row r="275" customHeight="1" spans="1:7">
      <c r="A275" s="100"/>
      <c r="B275" s="112" t="s">
        <v>893</v>
      </c>
      <c r="C275" s="112"/>
      <c r="D275" s="103" t="s">
        <v>894</v>
      </c>
      <c r="E275" s="111">
        <f>SUM(G268:G274)</f>
        <v>11.1488196382001</v>
      </c>
      <c r="F275" s="115">
        <v>10</v>
      </c>
      <c r="G275" s="113">
        <f>E275*F275/100</f>
        <v>1.11488196382001</v>
      </c>
    </row>
    <row r="276" customHeight="1" spans="1:7">
      <c r="A276" s="100" t="s">
        <v>905</v>
      </c>
      <c r="B276" s="112" t="s">
        <v>514</v>
      </c>
      <c r="C276" s="112"/>
      <c r="D276" s="103"/>
      <c r="E276" s="116">
        <f>G262</f>
        <v>96.4497016020201</v>
      </c>
      <c r="F276" s="117">
        <f>费率表!$K$4</f>
        <v>0.055</v>
      </c>
      <c r="G276" s="113">
        <f t="shared" ref="G276:G280" si="29">E276*F276</f>
        <v>5.30473358811111</v>
      </c>
    </row>
    <row r="277" customHeight="1" spans="1:7">
      <c r="A277" s="100" t="s">
        <v>10</v>
      </c>
      <c r="B277" s="112" t="s">
        <v>770</v>
      </c>
      <c r="C277" s="112"/>
      <c r="D277" s="103"/>
      <c r="E277" s="111">
        <f>G261</f>
        <v>101.754435190131</v>
      </c>
      <c r="F277" s="118">
        <f>费率表!$K$5</f>
        <v>0.7</v>
      </c>
      <c r="G277" s="113">
        <f t="shared" si="29"/>
        <v>71.2281046330919</v>
      </c>
    </row>
    <row r="278" customHeight="1" spans="1:7">
      <c r="A278" s="100" t="s">
        <v>12</v>
      </c>
      <c r="B278" s="112" t="s">
        <v>771</v>
      </c>
      <c r="C278" s="112"/>
      <c r="D278" s="103"/>
      <c r="E278" s="111">
        <f>G261+G277</f>
        <v>172.982539823223</v>
      </c>
      <c r="F278" s="118">
        <f>费率表!$K$6</f>
        <v>0.07</v>
      </c>
      <c r="G278" s="113">
        <f t="shared" si="29"/>
        <v>12.1087777876256</v>
      </c>
    </row>
    <row r="279" customHeight="1" spans="1:7">
      <c r="A279" s="100" t="s">
        <v>15</v>
      </c>
      <c r="B279" s="112" t="s">
        <v>772</v>
      </c>
      <c r="C279" s="112"/>
      <c r="D279" s="103"/>
      <c r="E279" s="111">
        <f>G261+G277+G278</f>
        <v>185.091317610849</v>
      </c>
      <c r="F279" s="118">
        <f>费率表!$K$7</f>
        <v>0.09</v>
      </c>
      <c r="G279" s="113">
        <f t="shared" si="29"/>
        <v>16.6582185849764</v>
      </c>
    </row>
    <row r="280" customHeight="1" spans="1:7">
      <c r="A280" s="100"/>
      <c r="B280" s="112" t="s">
        <v>907</v>
      </c>
      <c r="C280" s="112"/>
      <c r="D280" s="103"/>
      <c r="E280" s="111">
        <f>G261+G277+G278+G279</f>
        <v>201.749536195825</v>
      </c>
      <c r="F280" s="118">
        <f>费率表!$B$19</f>
        <v>0.03</v>
      </c>
      <c r="G280" s="113">
        <f t="shared" si="29"/>
        <v>6.05248608587475</v>
      </c>
    </row>
    <row r="281" customHeight="1" spans="1:7">
      <c r="A281" s="119"/>
      <c r="B281" s="120" t="s">
        <v>39</v>
      </c>
      <c r="C281" s="120"/>
      <c r="D281" s="120"/>
      <c r="E281" s="121"/>
      <c r="F281" s="120"/>
      <c r="G281" s="122">
        <f>G261+G277+G278+G279+G280</f>
        <v>207.8020222817</v>
      </c>
    </row>
    <row r="282" customHeight="1" spans="1:7">
      <c r="A282" s="123"/>
      <c r="B282" s="123"/>
      <c r="C282" s="123"/>
      <c r="D282" s="123"/>
      <c r="E282" s="124"/>
      <c r="F282" s="123"/>
      <c r="G282" s="124"/>
    </row>
    <row r="283" customHeight="1" spans="1:7">
      <c r="A283" s="123"/>
      <c r="B283" s="123"/>
      <c r="C283" s="123"/>
      <c r="D283" s="123"/>
      <c r="E283" s="124"/>
      <c r="F283" s="123"/>
      <c r="G283" s="124"/>
    </row>
    <row r="284" customHeight="1" spans="1:7">
      <c r="A284" s="123"/>
      <c r="B284" s="123"/>
      <c r="C284" s="123"/>
      <c r="D284" s="123"/>
      <c r="E284" s="124"/>
      <c r="F284" s="123"/>
      <c r="G284" s="124"/>
    </row>
    <row r="285" customHeight="1" spans="1:7">
      <c r="A285" s="123"/>
      <c r="B285" s="123"/>
      <c r="C285" s="123"/>
      <c r="D285" s="123"/>
      <c r="E285" s="124"/>
      <c r="F285" s="123"/>
      <c r="G285" s="124"/>
    </row>
    <row r="286" customHeight="1" spans="1:7">
      <c r="A286" s="123"/>
      <c r="B286" s="123"/>
      <c r="C286" s="123"/>
      <c r="D286" s="123"/>
      <c r="E286" s="124"/>
      <c r="F286" s="123"/>
      <c r="G286" s="124"/>
    </row>
    <row r="287" customHeight="1" spans="1:7">
      <c r="A287" s="123"/>
      <c r="B287" s="123"/>
      <c r="C287" s="123"/>
      <c r="D287" s="123"/>
      <c r="E287" s="124"/>
      <c r="F287" s="123"/>
      <c r="G287" s="124"/>
    </row>
    <row r="288" customHeight="1" spans="1:7">
      <c r="A288" s="123"/>
      <c r="B288" s="123"/>
      <c r="C288" s="123"/>
      <c r="D288" s="123"/>
      <c r="E288" s="124"/>
      <c r="F288" s="123"/>
      <c r="G288" s="124"/>
    </row>
    <row r="289" customHeight="1" spans="1:7">
      <c r="A289" s="125" t="s">
        <v>868</v>
      </c>
      <c r="B289" s="125"/>
      <c r="C289" s="125"/>
      <c r="D289" s="125"/>
      <c r="E289" s="125"/>
      <c r="F289" s="125"/>
      <c r="G289" s="125"/>
    </row>
    <row r="290" customHeight="1" spans="1:7">
      <c r="A290" s="95" t="s">
        <v>869</v>
      </c>
      <c r="B290" s="96"/>
      <c r="C290" s="96"/>
      <c r="D290" s="96" t="s">
        <v>870</v>
      </c>
      <c r="E290" s="97" t="s">
        <v>1579</v>
      </c>
      <c r="F290" s="98"/>
      <c r="G290" s="99"/>
    </row>
    <row r="291" customHeight="1" spans="1:7">
      <c r="A291" s="100" t="s">
        <v>507</v>
      </c>
      <c r="B291" s="101"/>
      <c r="C291" s="102" t="s">
        <v>1580</v>
      </c>
      <c r="D291" s="102"/>
      <c r="E291" s="102"/>
      <c r="F291" s="103" t="s">
        <v>873</v>
      </c>
      <c r="G291" s="104" t="s">
        <v>622</v>
      </c>
    </row>
    <row r="292" customHeight="1" spans="1:7">
      <c r="A292" s="105" t="s">
        <v>875</v>
      </c>
      <c r="B292" s="102"/>
      <c r="C292" s="102"/>
      <c r="D292" s="102"/>
      <c r="E292" s="102"/>
      <c r="F292" s="102"/>
      <c r="G292" s="106"/>
    </row>
    <row r="293" customHeight="1" spans="1:7">
      <c r="A293" s="107" t="s">
        <v>912</v>
      </c>
      <c r="B293" s="108"/>
      <c r="C293" s="109"/>
      <c r="D293" s="109"/>
      <c r="E293" s="109"/>
      <c r="F293" s="109"/>
      <c r="G293" s="110"/>
    </row>
    <row r="294" customHeight="1" spans="1:7">
      <c r="A294" s="100" t="s">
        <v>34</v>
      </c>
      <c r="B294" s="103" t="s">
        <v>761</v>
      </c>
      <c r="C294" s="103"/>
      <c r="D294" s="103" t="s">
        <v>60</v>
      </c>
      <c r="E294" s="111" t="s">
        <v>877</v>
      </c>
      <c r="F294" s="103" t="s">
        <v>878</v>
      </c>
      <c r="G294" s="104" t="s">
        <v>879</v>
      </c>
    </row>
    <row r="295" customHeight="1" spans="1:7">
      <c r="A295" s="100" t="s">
        <v>8</v>
      </c>
      <c r="B295" s="112" t="s">
        <v>880</v>
      </c>
      <c r="C295" s="112"/>
      <c r="D295" s="103"/>
      <c r="E295" s="111"/>
      <c r="F295" s="111"/>
      <c r="G295" s="113">
        <f>G296+G308</f>
        <v>124.128920793103</v>
      </c>
    </row>
    <row r="296" customHeight="1" spans="1:7">
      <c r="A296" s="100" t="s">
        <v>881</v>
      </c>
      <c r="B296" s="112" t="s">
        <v>882</v>
      </c>
      <c r="C296" s="112"/>
      <c r="D296" s="103"/>
      <c r="E296" s="111"/>
      <c r="F296" s="111"/>
      <c r="G296" s="113">
        <f>G297+G300</f>
        <v>117.657744827586</v>
      </c>
    </row>
    <row r="297" customHeight="1" spans="1:7">
      <c r="A297" s="100" t="s">
        <v>17</v>
      </c>
      <c r="B297" s="112" t="s">
        <v>510</v>
      </c>
      <c r="C297" s="112"/>
      <c r="D297" s="103"/>
      <c r="E297" s="111"/>
      <c r="F297" s="111"/>
      <c r="G297" s="113">
        <f>SUM(G298:G299)</f>
        <v>91.608</v>
      </c>
    </row>
    <row r="298" customHeight="1" spans="1:7">
      <c r="A298" s="100"/>
      <c r="B298" s="112" t="s">
        <v>704</v>
      </c>
      <c r="C298" s="112"/>
      <c r="D298" s="103" t="s">
        <v>705</v>
      </c>
      <c r="E298" s="111">
        <v>9.6</v>
      </c>
      <c r="F298" s="111">
        <f>主要材料预算!$D$19</f>
        <v>8.1</v>
      </c>
      <c r="G298" s="113">
        <f>E298*F298</f>
        <v>77.76</v>
      </c>
    </row>
    <row r="299" customHeight="1" spans="1:7">
      <c r="A299" s="100"/>
      <c r="B299" s="112" t="s">
        <v>706</v>
      </c>
      <c r="C299" s="112"/>
      <c r="D299" s="103" t="s">
        <v>705</v>
      </c>
      <c r="E299" s="111">
        <v>2.4</v>
      </c>
      <c r="F299" s="111">
        <f>主要材料预算!$D$20</f>
        <v>5.77</v>
      </c>
      <c r="G299" s="113">
        <f>E299*F299</f>
        <v>13.848</v>
      </c>
    </row>
    <row r="300" customHeight="1" spans="1:7">
      <c r="A300" s="100" t="s">
        <v>19</v>
      </c>
      <c r="B300" s="66" t="s">
        <v>511</v>
      </c>
      <c r="C300" s="67"/>
      <c r="D300" s="103"/>
      <c r="E300" s="111"/>
      <c r="F300" s="111"/>
      <c r="G300" s="113">
        <f>SUM(G301:G307)</f>
        <v>26.0497448275862</v>
      </c>
    </row>
    <row r="301" customHeight="1" spans="1:7">
      <c r="A301" s="100"/>
      <c r="B301" s="66" t="s">
        <v>696</v>
      </c>
      <c r="C301" s="67"/>
      <c r="D301" s="103" t="s">
        <v>1142</v>
      </c>
      <c r="E301" s="111">
        <v>0.14</v>
      </c>
      <c r="F301" s="111">
        <f>基础材料!$H$6</f>
        <v>10.8827586206897</v>
      </c>
      <c r="G301" s="113">
        <f t="shared" ref="G301:G306" si="30">E301*F301</f>
        <v>1.52358620689655</v>
      </c>
    </row>
    <row r="302" customHeight="1" spans="1:7">
      <c r="A302" s="100"/>
      <c r="B302" s="66" t="s">
        <v>1558</v>
      </c>
      <c r="C302" s="67"/>
      <c r="D302" s="103" t="s">
        <v>1142</v>
      </c>
      <c r="E302" s="111">
        <v>0.05</v>
      </c>
      <c r="F302" s="111">
        <f>基础材料!$H$8</f>
        <v>5.2</v>
      </c>
      <c r="G302" s="113">
        <f t="shared" si="30"/>
        <v>0.26</v>
      </c>
    </row>
    <row r="303" customHeight="1" spans="1:7">
      <c r="A303" s="100"/>
      <c r="B303" s="66" t="s">
        <v>1581</v>
      </c>
      <c r="C303" s="67"/>
      <c r="D303" s="103" t="s">
        <v>1142</v>
      </c>
      <c r="E303" s="111">
        <v>0.27</v>
      </c>
      <c r="F303" s="111">
        <f>基础材料!$H$11</f>
        <v>45</v>
      </c>
      <c r="G303" s="113">
        <f t="shared" si="30"/>
        <v>12.15</v>
      </c>
    </row>
    <row r="304" customHeight="1" spans="1:7">
      <c r="A304" s="100"/>
      <c r="B304" s="66" t="s">
        <v>1556</v>
      </c>
      <c r="C304" s="67"/>
      <c r="D304" s="103" t="s">
        <v>1142</v>
      </c>
      <c r="E304" s="111">
        <v>0.55</v>
      </c>
      <c r="F304" s="111">
        <f>基础材料!$H$4</f>
        <v>13.86</v>
      </c>
      <c r="G304" s="113">
        <f t="shared" si="30"/>
        <v>7.623</v>
      </c>
    </row>
    <row r="305" customHeight="1" spans="1:7">
      <c r="A305" s="100"/>
      <c r="B305" s="66" t="s">
        <v>1559</v>
      </c>
      <c r="C305" s="67"/>
      <c r="D305" s="103" t="s">
        <v>366</v>
      </c>
      <c r="E305" s="111">
        <v>0.06</v>
      </c>
      <c r="F305" s="111">
        <f>基础材料!$H$9</f>
        <v>10</v>
      </c>
      <c r="G305" s="113">
        <f t="shared" si="30"/>
        <v>0.6</v>
      </c>
    </row>
    <row r="306" customHeight="1" spans="1:7">
      <c r="A306" s="100"/>
      <c r="B306" s="66" t="s">
        <v>1560</v>
      </c>
      <c r="C306" s="67"/>
      <c r="D306" s="103" t="s">
        <v>1142</v>
      </c>
      <c r="E306" s="111">
        <v>0.25</v>
      </c>
      <c r="F306" s="111">
        <f>基础材料!$H$10</f>
        <v>6.1</v>
      </c>
      <c r="G306" s="113">
        <f t="shared" si="30"/>
        <v>1.525</v>
      </c>
    </row>
    <row r="307" customHeight="1" spans="1:7">
      <c r="A307" s="100"/>
      <c r="B307" s="112" t="s">
        <v>893</v>
      </c>
      <c r="C307" s="112"/>
      <c r="D307" s="103" t="s">
        <v>894</v>
      </c>
      <c r="E307" s="111">
        <f>SUM(G301:G306)</f>
        <v>23.6815862068966</v>
      </c>
      <c r="F307" s="115">
        <v>10</v>
      </c>
      <c r="G307" s="113">
        <f>E307*F307/100</f>
        <v>2.36815862068965</v>
      </c>
    </row>
    <row r="308" customHeight="1" spans="1:7">
      <c r="A308" s="100" t="s">
        <v>905</v>
      </c>
      <c r="B308" s="112" t="s">
        <v>514</v>
      </c>
      <c r="C308" s="112"/>
      <c r="D308" s="103"/>
      <c r="E308" s="116">
        <f>G296</f>
        <v>117.657744827586</v>
      </c>
      <c r="F308" s="117">
        <f>费率表!$K$4</f>
        <v>0.055</v>
      </c>
      <c r="G308" s="113">
        <f t="shared" ref="G308:G312" si="31">E308*F308</f>
        <v>6.47117596551724</v>
      </c>
    </row>
    <row r="309" customHeight="1" spans="1:7">
      <c r="A309" s="100" t="s">
        <v>10</v>
      </c>
      <c r="B309" s="112" t="s">
        <v>770</v>
      </c>
      <c r="C309" s="112"/>
      <c r="D309" s="103"/>
      <c r="E309" s="111">
        <f>G295</f>
        <v>124.128920793103</v>
      </c>
      <c r="F309" s="118">
        <f>费率表!$K$5</f>
        <v>0.7</v>
      </c>
      <c r="G309" s="113">
        <f t="shared" si="31"/>
        <v>86.8902445551724</v>
      </c>
    </row>
    <row r="310" customHeight="1" spans="1:7">
      <c r="A310" s="100" t="s">
        <v>12</v>
      </c>
      <c r="B310" s="112" t="s">
        <v>771</v>
      </c>
      <c r="C310" s="112"/>
      <c r="D310" s="103"/>
      <c r="E310" s="111">
        <f>G295+G309</f>
        <v>211.019165348276</v>
      </c>
      <c r="F310" s="118">
        <f>费率表!$K$6</f>
        <v>0.07</v>
      </c>
      <c r="G310" s="113">
        <f t="shared" si="31"/>
        <v>14.7713415743793</v>
      </c>
    </row>
    <row r="311" customHeight="1" spans="1:7">
      <c r="A311" s="100" t="s">
        <v>15</v>
      </c>
      <c r="B311" s="112" t="s">
        <v>772</v>
      </c>
      <c r="C311" s="112"/>
      <c r="D311" s="103"/>
      <c r="E311" s="111">
        <f>G295+G309+G310</f>
        <v>225.790506922655</v>
      </c>
      <c r="F311" s="118">
        <f>费率表!$K$7</f>
        <v>0.09</v>
      </c>
      <c r="G311" s="113">
        <f t="shared" si="31"/>
        <v>20.321145623039</v>
      </c>
    </row>
    <row r="312" customHeight="1" spans="1:7">
      <c r="A312" s="100"/>
      <c r="B312" s="112" t="s">
        <v>907</v>
      </c>
      <c r="C312" s="112"/>
      <c r="D312" s="103"/>
      <c r="E312" s="111">
        <f>G295+G309+G310+G311</f>
        <v>246.111652545694</v>
      </c>
      <c r="F312" s="118">
        <f>费率表!$B$19</f>
        <v>0.03</v>
      </c>
      <c r="G312" s="113">
        <f t="shared" si="31"/>
        <v>7.38334957637082</v>
      </c>
    </row>
    <row r="313" customHeight="1" spans="1:7">
      <c r="A313" s="119"/>
      <c r="B313" s="120" t="s">
        <v>39</v>
      </c>
      <c r="C313" s="120"/>
      <c r="D313" s="120"/>
      <c r="E313" s="121"/>
      <c r="F313" s="120"/>
      <c r="G313" s="122">
        <f>G295+G309+G310+G311+G312</f>
        <v>253.495002122065</v>
      </c>
    </row>
    <row r="314" customHeight="1" spans="1:7">
      <c r="A314" s="123"/>
      <c r="B314" s="123"/>
      <c r="C314" s="123"/>
      <c r="D314" s="123"/>
      <c r="E314" s="124"/>
      <c r="F314" s="123"/>
      <c r="G314" s="124"/>
    </row>
    <row r="315" customHeight="1" spans="1:7">
      <c r="A315" s="94" t="s">
        <v>868</v>
      </c>
      <c r="B315" s="94"/>
      <c r="C315" s="94"/>
      <c r="D315" s="94"/>
      <c r="E315" s="94"/>
      <c r="F315" s="94"/>
      <c r="G315" s="94"/>
    </row>
    <row r="316" customHeight="1" spans="1:7">
      <c r="A316" s="95" t="s">
        <v>869</v>
      </c>
      <c r="B316" s="96"/>
      <c r="C316" s="96"/>
      <c r="D316" s="96" t="s">
        <v>870</v>
      </c>
      <c r="E316" s="97" t="s">
        <v>1582</v>
      </c>
      <c r="F316" s="98"/>
      <c r="G316" s="99"/>
    </row>
    <row r="317" customHeight="1" spans="1:7">
      <c r="A317" s="100" t="s">
        <v>507</v>
      </c>
      <c r="B317" s="101"/>
      <c r="C317" s="102" t="s">
        <v>1583</v>
      </c>
      <c r="D317" s="102"/>
      <c r="E317" s="102"/>
      <c r="F317" s="103" t="s">
        <v>873</v>
      </c>
      <c r="G317" s="104" t="s">
        <v>622</v>
      </c>
    </row>
    <row r="318" customHeight="1" spans="1:7">
      <c r="A318" s="105" t="s">
        <v>875</v>
      </c>
      <c r="B318" s="102"/>
      <c r="C318" s="102"/>
      <c r="D318" s="102"/>
      <c r="E318" s="102"/>
      <c r="F318" s="102"/>
      <c r="G318" s="106"/>
    </row>
    <row r="319" customHeight="1" spans="1:7">
      <c r="A319" s="107" t="s">
        <v>912</v>
      </c>
      <c r="B319" s="108"/>
      <c r="C319" s="109"/>
      <c r="D319" s="109"/>
      <c r="E319" s="109"/>
      <c r="F319" s="109"/>
      <c r="G319" s="110"/>
    </row>
    <row r="320" customHeight="1" spans="1:7">
      <c r="A320" s="100" t="s">
        <v>34</v>
      </c>
      <c r="B320" s="103" t="s">
        <v>761</v>
      </c>
      <c r="C320" s="103"/>
      <c r="D320" s="103" t="s">
        <v>60</v>
      </c>
      <c r="E320" s="111" t="s">
        <v>877</v>
      </c>
      <c r="F320" s="103" t="s">
        <v>878</v>
      </c>
      <c r="G320" s="104" t="s">
        <v>879</v>
      </c>
    </row>
    <row r="321" customHeight="1" spans="1:7">
      <c r="A321" s="100" t="s">
        <v>8</v>
      </c>
      <c r="B321" s="112" t="s">
        <v>880</v>
      </c>
      <c r="C321" s="112"/>
      <c r="D321" s="103"/>
      <c r="E321" s="111"/>
      <c r="F321" s="111"/>
      <c r="G321" s="113">
        <f>G322+G334</f>
        <v>154.117877134483</v>
      </c>
    </row>
    <row r="322" customHeight="1" spans="1:7">
      <c r="A322" s="100" t="s">
        <v>881</v>
      </c>
      <c r="B322" s="112" t="s">
        <v>882</v>
      </c>
      <c r="C322" s="112"/>
      <c r="D322" s="103"/>
      <c r="E322" s="111"/>
      <c r="F322" s="111"/>
      <c r="G322" s="113">
        <f>G323+G326</f>
        <v>146.083295862069</v>
      </c>
    </row>
    <row r="323" customHeight="1" spans="1:7">
      <c r="A323" s="100" t="s">
        <v>17</v>
      </c>
      <c r="B323" s="112" t="s">
        <v>510</v>
      </c>
      <c r="C323" s="112"/>
      <c r="D323" s="103"/>
      <c r="E323" s="111"/>
      <c r="F323" s="111"/>
      <c r="G323" s="113">
        <f>SUM(G324:G325)</f>
        <v>112.313</v>
      </c>
    </row>
    <row r="324" customHeight="1" spans="1:7">
      <c r="A324" s="100"/>
      <c r="B324" s="112" t="s">
        <v>704</v>
      </c>
      <c r="C324" s="112"/>
      <c r="D324" s="103" t="s">
        <v>705</v>
      </c>
      <c r="E324" s="111">
        <v>11.8</v>
      </c>
      <c r="F324" s="111">
        <f>主要材料预算!$D$19</f>
        <v>8.1</v>
      </c>
      <c r="G324" s="113">
        <f>E324*F324</f>
        <v>95.58</v>
      </c>
    </row>
    <row r="325" customHeight="1" spans="1:7">
      <c r="A325" s="100"/>
      <c r="B325" s="112" t="s">
        <v>706</v>
      </c>
      <c r="C325" s="112"/>
      <c r="D325" s="103" t="s">
        <v>705</v>
      </c>
      <c r="E325" s="111">
        <v>2.9</v>
      </c>
      <c r="F325" s="111">
        <f>主要材料预算!$D$20</f>
        <v>5.77</v>
      </c>
      <c r="G325" s="113">
        <f>E325*F325</f>
        <v>16.733</v>
      </c>
    </row>
    <row r="326" customHeight="1" spans="1:7">
      <c r="A326" s="100" t="s">
        <v>19</v>
      </c>
      <c r="B326" s="66" t="s">
        <v>511</v>
      </c>
      <c r="C326" s="67"/>
      <c r="D326" s="103"/>
      <c r="E326" s="111"/>
      <c r="F326" s="111"/>
      <c r="G326" s="113">
        <f>SUM(G327:G333)</f>
        <v>33.770295862069</v>
      </c>
    </row>
    <row r="327" customHeight="1" spans="1:7">
      <c r="A327" s="100"/>
      <c r="B327" s="66" t="s">
        <v>696</v>
      </c>
      <c r="C327" s="67"/>
      <c r="D327" s="103" t="s">
        <v>1142</v>
      </c>
      <c r="E327" s="111">
        <v>0.17</v>
      </c>
      <c r="F327" s="111">
        <f>基础材料!$H$6</f>
        <v>10.8827586206897</v>
      </c>
      <c r="G327" s="113">
        <f t="shared" ref="G327:G332" si="32">E327*F327</f>
        <v>1.85006896551724</v>
      </c>
    </row>
    <row r="328" customHeight="1" spans="1:7">
      <c r="A328" s="100"/>
      <c r="B328" s="66" t="s">
        <v>1558</v>
      </c>
      <c r="C328" s="67"/>
      <c r="D328" s="103" t="s">
        <v>1142</v>
      </c>
      <c r="E328" s="111">
        <v>0.07</v>
      </c>
      <c r="F328" s="111">
        <f>基础材料!$H$8</f>
        <v>5.2</v>
      </c>
      <c r="G328" s="113">
        <f t="shared" si="32"/>
        <v>0.364</v>
      </c>
    </row>
    <row r="329" customHeight="1" spans="1:7">
      <c r="A329" s="100"/>
      <c r="B329" s="66" t="s">
        <v>1581</v>
      </c>
      <c r="C329" s="67"/>
      <c r="D329" s="103" t="s">
        <v>1142</v>
      </c>
      <c r="E329" s="111">
        <v>0.33</v>
      </c>
      <c r="F329" s="111">
        <f>基础材料!$H$11</f>
        <v>45</v>
      </c>
      <c r="G329" s="113">
        <f t="shared" si="32"/>
        <v>14.85</v>
      </c>
    </row>
    <row r="330" customHeight="1" spans="1:7">
      <c r="A330" s="100"/>
      <c r="B330" s="66" t="s">
        <v>1556</v>
      </c>
      <c r="C330" s="67"/>
      <c r="D330" s="103" t="s">
        <v>1142</v>
      </c>
      <c r="E330" s="111">
        <v>0.67</v>
      </c>
      <c r="F330" s="111">
        <f>基础材料!$H$4</f>
        <v>13.86</v>
      </c>
      <c r="G330" s="113">
        <f t="shared" si="32"/>
        <v>9.2862</v>
      </c>
    </row>
    <row r="331" customHeight="1" spans="1:7">
      <c r="A331" s="100"/>
      <c r="B331" s="66" t="s">
        <v>1559</v>
      </c>
      <c r="C331" s="67"/>
      <c r="D331" s="103" t="s">
        <v>366</v>
      </c>
      <c r="E331" s="111">
        <v>0.13</v>
      </c>
      <c r="F331" s="111">
        <f>基础材料!$H$9</f>
        <v>10</v>
      </c>
      <c r="G331" s="113">
        <f t="shared" si="32"/>
        <v>1.3</v>
      </c>
    </row>
    <row r="332" customHeight="1" spans="1:7">
      <c r="A332" s="100"/>
      <c r="B332" s="66" t="s">
        <v>1560</v>
      </c>
      <c r="C332" s="67"/>
      <c r="D332" s="103" t="s">
        <v>1142</v>
      </c>
      <c r="E332" s="111">
        <v>0.5</v>
      </c>
      <c r="F332" s="111">
        <f>基础材料!$H$10</f>
        <v>6.1</v>
      </c>
      <c r="G332" s="113">
        <f t="shared" si="32"/>
        <v>3.05</v>
      </c>
    </row>
    <row r="333" customHeight="1" spans="1:7">
      <c r="A333" s="100"/>
      <c r="B333" s="112" t="s">
        <v>893</v>
      </c>
      <c r="C333" s="112"/>
      <c r="D333" s="103" t="s">
        <v>894</v>
      </c>
      <c r="E333" s="111">
        <f>SUM(G327:G332)</f>
        <v>30.7002689655172</v>
      </c>
      <c r="F333" s="115">
        <v>10</v>
      </c>
      <c r="G333" s="113">
        <f>E333*F333/100</f>
        <v>3.07002689655172</v>
      </c>
    </row>
    <row r="334" customHeight="1" spans="1:7">
      <c r="A334" s="100" t="s">
        <v>905</v>
      </c>
      <c r="B334" s="112" t="s">
        <v>514</v>
      </c>
      <c r="C334" s="112"/>
      <c r="D334" s="103"/>
      <c r="E334" s="116">
        <f>G322</f>
        <v>146.083295862069</v>
      </c>
      <c r="F334" s="117">
        <f>费率表!$K$4</f>
        <v>0.055</v>
      </c>
      <c r="G334" s="113">
        <f t="shared" ref="G334:G338" si="33">E334*F334</f>
        <v>8.03458127241379</v>
      </c>
    </row>
    <row r="335" customHeight="1" spans="1:7">
      <c r="A335" s="100" t="s">
        <v>10</v>
      </c>
      <c r="B335" s="112" t="s">
        <v>770</v>
      </c>
      <c r="C335" s="112"/>
      <c r="D335" s="103"/>
      <c r="E335" s="111">
        <f>G321</f>
        <v>154.117877134483</v>
      </c>
      <c r="F335" s="118">
        <f>费率表!$K$5</f>
        <v>0.7</v>
      </c>
      <c r="G335" s="113">
        <f t="shared" si="33"/>
        <v>107.882513994138</v>
      </c>
    </row>
    <row r="336" customHeight="1" spans="1:7">
      <c r="A336" s="100" t="s">
        <v>12</v>
      </c>
      <c r="B336" s="112" t="s">
        <v>771</v>
      </c>
      <c r="C336" s="112"/>
      <c r="D336" s="103"/>
      <c r="E336" s="111">
        <f>G321+G335</f>
        <v>262.000391128621</v>
      </c>
      <c r="F336" s="118">
        <f>费率表!$K$6</f>
        <v>0.07</v>
      </c>
      <c r="G336" s="113">
        <f t="shared" si="33"/>
        <v>18.3400273790034</v>
      </c>
    </row>
    <row r="337" customHeight="1" spans="1:7">
      <c r="A337" s="100" t="s">
        <v>15</v>
      </c>
      <c r="B337" s="112" t="s">
        <v>772</v>
      </c>
      <c r="C337" s="112"/>
      <c r="D337" s="103"/>
      <c r="E337" s="111">
        <f>G321+G335+G336</f>
        <v>280.340418507624</v>
      </c>
      <c r="F337" s="118">
        <f>费率表!$K$7</f>
        <v>0.09</v>
      </c>
      <c r="G337" s="113">
        <f t="shared" si="33"/>
        <v>25.2306376656862</v>
      </c>
    </row>
    <row r="338" customHeight="1" spans="1:7">
      <c r="A338" s="100"/>
      <c r="B338" s="112" t="s">
        <v>907</v>
      </c>
      <c r="C338" s="112"/>
      <c r="D338" s="103"/>
      <c r="E338" s="111">
        <f>G321+G335+G336+G337</f>
        <v>305.57105617331</v>
      </c>
      <c r="F338" s="118">
        <f>费率表!$B$19</f>
        <v>0.03</v>
      </c>
      <c r="G338" s="113">
        <f t="shared" si="33"/>
        <v>9.16713168519931</v>
      </c>
    </row>
    <row r="339" customHeight="1" spans="1:7">
      <c r="A339" s="119"/>
      <c r="B339" s="120" t="s">
        <v>39</v>
      </c>
      <c r="C339" s="120"/>
      <c r="D339" s="120"/>
      <c r="E339" s="121"/>
      <c r="F339" s="120"/>
      <c r="G339" s="122">
        <f>G321+G335+G336+G337+G338</f>
        <v>314.73818785851</v>
      </c>
    </row>
    <row r="340" customHeight="1" spans="1:7">
      <c r="A340" s="123"/>
      <c r="B340" s="123"/>
      <c r="C340" s="123"/>
      <c r="D340" s="123"/>
      <c r="E340" s="124"/>
      <c r="F340" s="123"/>
      <c r="G340" s="124"/>
    </row>
    <row r="341" customHeight="1" spans="1:7">
      <c r="A341" s="94" t="s">
        <v>868</v>
      </c>
      <c r="B341" s="94"/>
      <c r="C341" s="94"/>
      <c r="D341" s="94"/>
      <c r="E341" s="94"/>
      <c r="F341" s="94"/>
      <c r="G341" s="94"/>
    </row>
    <row r="342" customHeight="1" spans="1:7">
      <c r="A342" s="95" t="s">
        <v>869</v>
      </c>
      <c r="B342" s="96"/>
      <c r="C342" s="96"/>
      <c r="D342" s="96" t="s">
        <v>870</v>
      </c>
      <c r="E342" s="97" t="s">
        <v>1584</v>
      </c>
      <c r="F342" s="98"/>
      <c r="G342" s="99"/>
    </row>
    <row r="343" customHeight="1" spans="1:7">
      <c r="A343" s="100" t="s">
        <v>507</v>
      </c>
      <c r="B343" s="101"/>
      <c r="C343" s="102" t="s">
        <v>1585</v>
      </c>
      <c r="D343" s="102"/>
      <c r="E343" s="102"/>
      <c r="F343" s="103" t="s">
        <v>873</v>
      </c>
      <c r="G343" s="104" t="s">
        <v>622</v>
      </c>
    </row>
    <row r="344" customHeight="1" spans="1:7">
      <c r="A344" s="105" t="s">
        <v>875</v>
      </c>
      <c r="B344" s="102"/>
      <c r="C344" s="102"/>
      <c r="D344" s="102"/>
      <c r="E344" s="102"/>
      <c r="F344" s="102"/>
      <c r="G344" s="106"/>
    </row>
    <row r="345" customHeight="1" spans="1:7">
      <c r="A345" s="107" t="s">
        <v>912</v>
      </c>
      <c r="B345" s="108"/>
      <c r="C345" s="109"/>
      <c r="D345" s="109"/>
      <c r="E345" s="109"/>
      <c r="F345" s="109"/>
      <c r="G345" s="110"/>
    </row>
    <row r="346" customHeight="1" spans="1:7">
      <c r="A346" s="100" t="s">
        <v>34</v>
      </c>
      <c r="B346" s="103" t="s">
        <v>761</v>
      </c>
      <c r="C346" s="103"/>
      <c r="D346" s="103" t="s">
        <v>60</v>
      </c>
      <c r="E346" s="111" t="s">
        <v>877</v>
      </c>
      <c r="F346" s="103" t="s">
        <v>878</v>
      </c>
      <c r="G346" s="104" t="s">
        <v>879</v>
      </c>
    </row>
    <row r="347" customHeight="1" spans="1:7">
      <c r="A347" s="100" t="s">
        <v>8</v>
      </c>
      <c r="B347" s="112" t="s">
        <v>880</v>
      </c>
      <c r="C347" s="112"/>
      <c r="D347" s="103"/>
      <c r="E347" s="111"/>
      <c r="F347" s="111"/>
      <c r="G347" s="113">
        <f>G348+G360</f>
        <v>192.194358703448</v>
      </c>
    </row>
    <row r="348" customHeight="1" spans="1:7">
      <c r="A348" s="100" t="s">
        <v>881</v>
      </c>
      <c r="B348" s="112" t="s">
        <v>882</v>
      </c>
      <c r="C348" s="112"/>
      <c r="D348" s="103"/>
      <c r="E348" s="111"/>
      <c r="F348" s="111"/>
      <c r="G348" s="113">
        <f>G349+G352</f>
        <v>182.174747586207</v>
      </c>
    </row>
    <row r="349" customHeight="1" spans="1:7">
      <c r="A349" s="100" t="s">
        <v>17</v>
      </c>
      <c r="B349" s="112" t="s">
        <v>510</v>
      </c>
      <c r="C349" s="112"/>
      <c r="D349" s="103"/>
      <c r="E349" s="111"/>
      <c r="F349" s="111"/>
      <c r="G349" s="113">
        <f>SUM(G350:G351)</f>
        <v>137.412</v>
      </c>
    </row>
    <row r="350" customHeight="1" spans="1:7">
      <c r="A350" s="100"/>
      <c r="B350" s="112" t="s">
        <v>704</v>
      </c>
      <c r="C350" s="112"/>
      <c r="D350" s="103" t="s">
        <v>705</v>
      </c>
      <c r="E350" s="111">
        <v>14.4</v>
      </c>
      <c r="F350" s="111">
        <f>主要材料预算!$D$19</f>
        <v>8.1</v>
      </c>
      <c r="G350" s="113">
        <f>E350*F350</f>
        <v>116.64</v>
      </c>
    </row>
    <row r="351" customHeight="1" spans="1:7">
      <c r="A351" s="100"/>
      <c r="B351" s="112" t="s">
        <v>706</v>
      </c>
      <c r="C351" s="112"/>
      <c r="D351" s="103" t="s">
        <v>705</v>
      </c>
      <c r="E351" s="111">
        <v>3.6</v>
      </c>
      <c r="F351" s="111">
        <f>主要材料预算!$D$20</f>
        <v>5.77</v>
      </c>
      <c r="G351" s="113">
        <f>E351*F351</f>
        <v>20.772</v>
      </c>
    </row>
    <row r="352" customHeight="1" spans="1:7">
      <c r="A352" s="100" t="s">
        <v>19</v>
      </c>
      <c r="B352" s="66" t="s">
        <v>511</v>
      </c>
      <c r="C352" s="67"/>
      <c r="D352" s="103"/>
      <c r="E352" s="111"/>
      <c r="F352" s="111"/>
      <c r="G352" s="113">
        <f>SUM(G353:G359)</f>
        <v>44.7627475862069</v>
      </c>
    </row>
    <row r="353" customHeight="1" spans="1:7">
      <c r="A353" s="100"/>
      <c r="B353" s="66" t="s">
        <v>696</v>
      </c>
      <c r="C353" s="67"/>
      <c r="D353" s="103" t="s">
        <v>1142</v>
      </c>
      <c r="E353" s="111">
        <v>0.22</v>
      </c>
      <c r="F353" s="111">
        <f>基础材料!$H$6</f>
        <v>10.8827586206897</v>
      </c>
      <c r="G353" s="113">
        <f t="shared" ref="G353:G358" si="34">E353*F353</f>
        <v>2.39420689655172</v>
      </c>
    </row>
    <row r="354" customHeight="1" spans="1:7">
      <c r="A354" s="100"/>
      <c r="B354" s="66" t="s">
        <v>1558</v>
      </c>
      <c r="C354" s="67"/>
      <c r="D354" s="103" t="s">
        <v>1142</v>
      </c>
      <c r="E354" s="111">
        <v>0.08</v>
      </c>
      <c r="F354" s="111">
        <f>基础材料!$H$8</f>
        <v>5.2</v>
      </c>
      <c r="G354" s="113">
        <f t="shared" si="34"/>
        <v>0.416</v>
      </c>
    </row>
    <row r="355" customHeight="1" spans="1:7">
      <c r="A355" s="100"/>
      <c r="B355" s="66" t="s">
        <v>1581</v>
      </c>
      <c r="C355" s="67"/>
      <c r="D355" s="103" t="s">
        <v>1142</v>
      </c>
      <c r="E355" s="111">
        <v>0.43</v>
      </c>
      <c r="F355" s="111">
        <f>基础材料!$H$11</f>
        <v>45</v>
      </c>
      <c r="G355" s="113">
        <f t="shared" si="34"/>
        <v>19.35</v>
      </c>
    </row>
    <row r="356" customHeight="1" spans="1:7">
      <c r="A356" s="100"/>
      <c r="B356" s="66" t="s">
        <v>1556</v>
      </c>
      <c r="C356" s="67"/>
      <c r="D356" s="103" t="s">
        <v>1142</v>
      </c>
      <c r="E356" s="111">
        <v>0.87</v>
      </c>
      <c r="F356" s="111">
        <f>基础材料!$H$4</f>
        <v>13.86</v>
      </c>
      <c r="G356" s="113">
        <f t="shared" si="34"/>
        <v>12.0582</v>
      </c>
    </row>
    <row r="357" customHeight="1" spans="1:7">
      <c r="A357" s="100"/>
      <c r="B357" s="66" t="s">
        <v>1559</v>
      </c>
      <c r="C357" s="67"/>
      <c r="D357" s="103" t="s">
        <v>366</v>
      </c>
      <c r="E357" s="111">
        <v>0.19</v>
      </c>
      <c r="F357" s="111">
        <f>基础材料!$H$9</f>
        <v>10</v>
      </c>
      <c r="G357" s="113">
        <f t="shared" si="34"/>
        <v>1.9</v>
      </c>
    </row>
    <row r="358" customHeight="1" spans="1:7">
      <c r="A358" s="100"/>
      <c r="B358" s="66" t="s">
        <v>1560</v>
      </c>
      <c r="C358" s="67"/>
      <c r="D358" s="103" t="s">
        <v>1142</v>
      </c>
      <c r="E358" s="111">
        <v>0.75</v>
      </c>
      <c r="F358" s="111">
        <f>基础材料!$H$10</f>
        <v>6.1</v>
      </c>
      <c r="G358" s="113">
        <f t="shared" si="34"/>
        <v>4.575</v>
      </c>
    </row>
    <row r="359" customHeight="1" spans="1:7">
      <c r="A359" s="100"/>
      <c r="B359" s="112" t="s">
        <v>893</v>
      </c>
      <c r="C359" s="112"/>
      <c r="D359" s="103" t="s">
        <v>894</v>
      </c>
      <c r="E359" s="111">
        <f>SUM(G353:G358)</f>
        <v>40.6934068965517</v>
      </c>
      <c r="F359" s="115">
        <v>10</v>
      </c>
      <c r="G359" s="113">
        <f>E359*F359/100</f>
        <v>4.06934068965517</v>
      </c>
    </row>
    <row r="360" customHeight="1" spans="1:7">
      <c r="A360" s="100" t="s">
        <v>905</v>
      </c>
      <c r="B360" s="112" t="s">
        <v>514</v>
      </c>
      <c r="C360" s="112"/>
      <c r="D360" s="103"/>
      <c r="E360" s="116">
        <f>G348</f>
        <v>182.174747586207</v>
      </c>
      <c r="F360" s="117">
        <f>费率表!$K$4</f>
        <v>0.055</v>
      </c>
      <c r="G360" s="113">
        <f t="shared" ref="G360:G364" si="35">E360*F360</f>
        <v>10.0196111172414</v>
      </c>
    </row>
    <row r="361" customHeight="1" spans="1:7">
      <c r="A361" s="100" t="s">
        <v>10</v>
      </c>
      <c r="B361" s="112" t="s">
        <v>770</v>
      </c>
      <c r="C361" s="112"/>
      <c r="D361" s="103"/>
      <c r="E361" s="111">
        <f>G347</f>
        <v>192.194358703448</v>
      </c>
      <c r="F361" s="118">
        <f>费率表!$K$5</f>
        <v>0.7</v>
      </c>
      <c r="G361" s="113">
        <f t="shared" si="35"/>
        <v>134.536051092414</v>
      </c>
    </row>
    <row r="362" customHeight="1" spans="1:7">
      <c r="A362" s="100" t="s">
        <v>12</v>
      </c>
      <c r="B362" s="112" t="s">
        <v>771</v>
      </c>
      <c r="C362" s="112"/>
      <c r="D362" s="103"/>
      <c r="E362" s="111">
        <f>G347+G361</f>
        <v>326.730409795862</v>
      </c>
      <c r="F362" s="118">
        <f>费率表!$K$6</f>
        <v>0.07</v>
      </c>
      <c r="G362" s="113">
        <f t="shared" si="35"/>
        <v>22.8711286857103</v>
      </c>
    </row>
    <row r="363" customHeight="1" spans="1:7">
      <c r="A363" s="100" t="s">
        <v>15</v>
      </c>
      <c r="B363" s="112" t="s">
        <v>772</v>
      </c>
      <c r="C363" s="112"/>
      <c r="D363" s="103"/>
      <c r="E363" s="111">
        <f>G347+G361+G362</f>
        <v>349.601538481572</v>
      </c>
      <c r="F363" s="118">
        <f>费率表!$K$7</f>
        <v>0.09</v>
      </c>
      <c r="G363" s="113">
        <f t="shared" si="35"/>
        <v>31.4641384633415</v>
      </c>
    </row>
    <row r="364" customHeight="1" spans="1:7">
      <c r="A364" s="100"/>
      <c r="B364" s="112" t="s">
        <v>907</v>
      </c>
      <c r="C364" s="112"/>
      <c r="D364" s="103"/>
      <c r="E364" s="111">
        <f>G347+G361+G362+G363</f>
        <v>381.065676944914</v>
      </c>
      <c r="F364" s="118">
        <f>费率表!$B$19</f>
        <v>0.03</v>
      </c>
      <c r="G364" s="113">
        <f t="shared" si="35"/>
        <v>11.4319703083474</v>
      </c>
    </row>
    <row r="365" customHeight="1" spans="1:7">
      <c r="A365" s="119"/>
      <c r="B365" s="120" t="s">
        <v>39</v>
      </c>
      <c r="C365" s="120"/>
      <c r="D365" s="120"/>
      <c r="E365" s="121"/>
      <c r="F365" s="120"/>
      <c r="G365" s="122">
        <f>G347+G361+G362+G363+G364</f>
        <v>392.497647253261</v>
      </c>
    </row>
    <row r="366" customHeight="1" spans="1:7">
      <c r="A366" s="123"/>
      <c r="B366" s="123"/>
      <c r="C366" s="123"/>
      <c r="D366" s="123"/>
      <c r="E366" s="124"/>
      <c r="F366" s="123"/>
      <c r="G366" s="124"/>
    </row>
    <row r="367" customHeight="1" spans="1:7">
      <c r="A367" s="94" t="s">
        <v>868</v>
      </c>
      <c r="B367" s="94"/>
      <c r="C367" s="94"/>
      <c r="D367" s="94"/>
      <c r="E367" s="94"/>
      <c r="F367" s="94"/>
      <c r="G367" s="94"/>
    </row>
    <row r="368" customHeight="1" spans="1:7">
      <c r="A368" s="95" t="s">
        <v>869</v>
      </c>
      <c r="B368" s="96"/>
      <c r="C368" s="96"/>
      <c r="D368" s="96" t="s">
        <v>870</v>
      </c>
      <c r="E368" s="97" t="s">
        <v>1586</v>
      </c>
      <c r="F368" s="98"/>
      <c r="G368" s="99"/>
    </row>
    <row r="369" customHeight="1" spans="1:7">
      <c r="A369" s="100" t="s">
        <v>507</v>
      </c>
      <c r="B369" s="101"/>
      <c r="C369" s="102" t="s">
        <v>1587</v>
      </c>
      <c r="D369" s="102"/>
      <c r="E369" s="102"/>
      <c r="F369" s="103" t="s">
        <v>873</v>
      </c>
      <c r="G369" s="104" t="s">
        <v>622</v>
      </c>
    </row>
    <row r="370" customHeight="1" spans="1:7">
      <c r="A370" s="105" t="s">
        <v>875</v>
      </c>
      <c r="B370" s="102"/>
      <c r="C370" s="102"/>
      <c r="D370" s="102"/>
      <c r="E370" s="102"/>
      <c r="F370" s="102"/>
      <c r="G370" s="106"/>
    </row>
    <row r="371" customHeight="1" spans="1:7">
      <c r="A371" s="107" t="s">
        <v>912</v>
      </c>
      <c r="B371" s="108"/>
      <c r="C371" s="109"/>
      <c r="D371" s="109"/>
      <c r="E371" s="109"/>
      <c r="F371" s="109"/>
      <c r="G371" s="110"/>
    </row>
    <row r="372" customHeight="1" spans="1:7">
      <c r="A372" s="100" t="s">
        <v>34</v>
      </c>
      <c r="B372" s="103" t="s">
        <v>761</v>
      </c>
      <c r="C372" s="103"/>
      <c r="D372" s="103" t="s">
        <v>60</v>
      </c>
      <c r="E372" s="111" t="s">
        <v>877</v>
      </c>
      <c r="F372" s="103" t="s">
        <v>878</v>
      </c>
      <c r="G372" s="104" t="s">
        <v>879</v>
      </c>
    </row>
    <row r="373" customHeight="1" spans="1:7">
      <c r="A373" s="100" t="s">
        <v>8</v>
      </c>
      <c r="B373" s="112" t="s">
        <v>880</v>
      </c>
      <c r="C373" s="112"/>
      <c r="D373" s="103"/>
      <c r="E373" s="111"/>
      <c r="F373" s="111"/>
      <c r="G373" s="113">
        <f>G374+G385</f>
        <v>25.4679764827586</v>
      </c>
    </row>
    <row r="374" customHeight="1" spans="1:7">
      <c r="A374" s="100" t="s">
        <v>881</v>
      </c>
      <c r="B374" s="112" t="s">
        <v>882</v>
      </c>
      <c r="C374" s="112"/>
      <c r="D374" s="103"/>
      <c r="E374" s="111"/>
      <c r="F374" s="111"/>
      <c r="G374" s="113">
        <f>G375+G378</f>
        <v>24.1402620689655</v>
      </c>
    </row>
    <row r="375" customHeight="1" spans="1:7">
      <c r="A375" s="100" t="s">
        <v>17</v>
      </c>
      <c r="B375" s="112" t="s">
        <v>510</v>
      </c>
      <c r="C375" s="112"/>
      <c r="D375" s="103"/>
      <c r="E375" s="111"/>
      <c r="F375" s="111"/>
      <c r="G375" s="113">
        <f>SUM(G376:G377)</f>
        <v>20.705</v>
      </c>
    </row>
    <row r="376" customHeight="1" spans="1:7">
      <c r="A376" s="100"/>
      <c r="B376" s="112" t="s">
        <v>704</v>
      </c>
      <c r="C376" s="112"/>
      <c r="D376" s="103" t="s">
        <v>705</v>
      </c>
      <c r="E376" s="111">
        <v>2.2</v>
      </c>
      <c r="F376" s="111">
        <f>主要材料预算!$D$19</f>
        <v>8.1</v>
      </c>
      <c r="G376" s="113">
        <f t="shared" ref="G376:G383" si="36">E376*F376</f>
        <v>17.82</v>
      </c>
    </row>
    <row r="377" customHeight="1" spans="1:7">
      <c r="A377" s="100"/>
      <c r="B377" s="112" t="s">
        <v>706</v>
      </c>
      <c r="C377" s="112"/>
      <c r="D377" s="103" t="s">
        <v>705</v>
      </c>
      <c r="E377" s="111">
        <v>0.5</v>
      </c>
      <c r="F377" s="111">
        <f>主要材料预算!$D$20</f>
        <v>5.77</v>
      </c>
      <c r="G377" s="113">
        <f t="shared" si="36"/>
        <v>2.885</v>
      </c>
    </row>
    <row r="378" customHeight="1" spans="1:7">
      <c r="A378" s="100" t="s">
        <v>19</v>
      </c>
      <c r="B378" s="66" t="s">
        <v>511</v>
      </c>
      <c r="C378" s="67"/>
      <c r="D378" s="103"/>
      <c r="E378" s="111"/>
      <c r="F378" s="111"/>
      <c r="G378" s="113">
        <f>SUM(G379:G384)</f>
        <v>3.43526206896552</v>
      </c>
    </row>
    <row r="379" customHeight="1" spans="1:7">
      <c r="A379" s="100"/>
      <c r="B379" s="66" t="s">
        <v>696</v>
      </c>
      <c r="C379" s="67"/>
      <c r="D379" s="103" t="s">
        <v>1142</v>
      </c>
      <c r="E379" s="111">
        <v>0.06</v>
      </c>
      <c r="F379" s="111">
        <f>基础材料!$H$6</f>
        <v>10.8827586206897</v>
      </c>
      <c r="G379" s="113">
        <f t="shared" si="36"/>
        <v>0.652965517241379</v>
      </c>
    </row>
    <row r="380" customHeight="1" spans="1:7">
      <c r="A380" s="100"/>
      <c r="B380" s="66" t="s">
        <v>1558</v>
      </c>
      <c r="C380" s="67"/>
      <c r="D380" s="103" t="s">
        <v>1142</v>
      </c>
      <c r="E380" s="111">
        <v>0.04</v>
      </c>
      <c r="F380" s="111">
        <f>基础材料!$H$8</f>
        <v>5.2</v>
      </c>
      <c r="G380" s="113">
        <f t="shared" si="36"/>
        <v>0.208</v>
      </c>
    </row>
    <row r="381" customHeight="1" spans="1:7">
      <c r="A381" s="100"/>
      <c r="B381" s="66" t="s">
        <v>1588</v>
      </c>
      <c r="C381" s="67"/>
      <c r="D381" s="103" t="s">
        <v>1142</v>
      </c>
      <c r="E381" s="111">
        <v>0.12</v>
      </c>
      <c r="F381" s="111">
        <f>基础材料!$H$12</f>
        <v>17</v>
      </c>
      <c r="G381" s="113">
        <f t="shared" si="36"/>
        <v>2.04</v>
      </c>
    </row>
    <row r="382" customHeight="1" spans="1:7">
      <c r="A382" s="100"/>
      <c r="B382" s="66" t="s">
        <v>1559</v>
      </c>
      <c r="C382" s="67"/>
      <c r="D382" s="103" t="s">
        <v>366</v>
      </c>
      <c r="E382" s="111">
        <v>0.01</v>
      </c>
      <c r="F382" s="111">
        <f>基础材料!$H$9</f>
        <v>10</v>
      </c>
      <c r="G382" s="113">
        <f t="shared" si="36"/>
        <v>0.1</v>
      </c>
    </row>
    <row r="383" customHeight="1" spans="1:7">
      <c r="A383" s="100"/>
      <c r="B383" s="66" t="s">
        <v>1560</v>
      </c>
      <c r="C383" s="67"/>
      <c r="D383" s="103" t="s">
        <v>1142</v>
      </c>
      <c r="E383" s="111">
        <v>0.02</v>
      </c>
      <c r="F383" s="111">
        <f>基础材料!$H$10</f>
        <v>6.1</v>
      </c>
      <c r="G383" s="113">
        <f t="shared" si="36"/>
        <v>0.122</v>
      </c>
    </row>
    <row r="384" customHeight="1" spans="1:7">
      <c r="A384" s="100"/>
      <c r="B384" s="112" t="s">
        <v>893</v>
      </c>
      <c r="C384" s="112"/>
      <c r="D384" s="103" t="s">
        <v>894</v>
      </c>
      <c r="E384" s="111">
        <f>SUM(G379:G383)</f>
        <v>3.12296551724138</v>
      </c>
      <c r="F384" s="115">
        <v>10</v>
      </c>
      <c r="G384" s="113">
        <f>E384*F384/100</f>
        <v>0.312296551724138</v>
      </c>
    </row>
    <row r="385" customHeight="1" spans="1:7">
      <c r="A385" s="100" t="s">
        <v>905</v>
      </c>
      <c r="B385" s="112" t="s">
        <v>514</v>
      </c>
      <c r="C385" s="112"/>
      <c r="D385" s="103"/>
      <c r="E385" s="116">
        <f>G374</f>
        <v>24.1402620689655</v>
      </c>
      <c r="F385" s="117">
        <f>费率表!$K$4</f>
        <v>0.055</v>
      </c>
      <c r="G385" s="113">
        <f t="shared" ref="G385:G389" si="37">E385*F385</f>
        <v>1.3277144137931</v>
      </c>
    </row>
    <row r="386" customHeight="1" spans="1:7">
      <c r="A386" s="100" t="s">
        <v>10</v>
      </c>
      <c r="B386" s="112" t="s">
        <v>770</v>
      </c>
      <c r="C386" s="112"/>
      <c r="D386" s="103"/>
      <c r="E386" s="111">
        <f>G373</f>
        <v>25.4679764827586</v>
      </c>
      <c r="F386" s="118">
        <f>费率表!$K$5</f>
        <v>0.7</v>
      </c>
      <c r="G386" s="113">
        <f t="shared" si="37"/>
        <v>17.827583537931</v>
      </c>
    </row>
    <row r="387" customHeight="1" spans="1:7">
      <c r="A387" s="100" t="s">
        <v>12</v>
      </c>
      <c r="B387" s="112" t="s">
        <v>771</v>
      </c>
      <c r="C387" s="112"/>
      <c r="D387" s="103"/>
      <c r="E387" s="111">
        <f>G373+G386</f>
        <v>43.2955600206896</v>
      </c>
      <c r="F387" s="118">
        <f>费率表!$K$6</f>
        <v>0.07</v>
      </c>
      <c r="G387" s="113">
        <f t="shared" si="37"/>
        <v>3.03068920144828</v>
      </c>
    </row>
    <row r="388" customHeight="1" spans="1:7">
      <c r="A388" s="100" t="s">
        <v>15</v>
      </c>
      <c r="B388" s="112" t="s">
        <v>772</v>
      </c>
      <c r="C388" s="112"/>
      <c r="D388" s="103"/>
      <c r="E388" s="111">
        <f>G373+G386+G387</f>
        <v>46.3262492221379</v>
      </c>
      <c r="F388" s="118">
        <f>费率表!$K$7</f>
        <v>0.09</v>
      </c>
      <c r="G388" s="113">
        <f t="shared" si="37"/>
        <v>4.16936242999241</v>
      </c>
    </row>
    <row r="389" customHeight="1" spans="1:7">
      <c r="A389" s="100"/>
      <c r="B389" s="112" t="s">
        <v>907</v>
      </c>
      <c r="C389" s="112"/>
      <c r="D389" s="103"/>
      <c r="E389" s="111">
        <f>G373+G386+G387+G388</f>
        <v>50.4956116521303</v>
      </c>
      <c r="F389" s="118">
        <f>费率表!$B$19</f>
        <v>0.03</v>
      </c>
      <c r="G389" s="113">
        <f t="shared" si="37"/>
        <v>1.51486834956391</v>
      </c>
    </row>
    <row r="390" customHeight="1" spans="1:7">
      <c r="A390" s="119"/>
      <c r="B390" s="120" t="s">
        <v>39</v>
      </c>
      <c r="C390" s="120"/>
      <c r="D390" s="120"/>
      <c r="E390" s="121"/>
      <c r="F390" s="120"/>
      <c r="G390" s="122">
        <f>G373+G386+G387+G388+G389</f>
        <v>52.0104800016942</v>
      </c>
    </row>
    <row r="391" customHeight="1" spans="1:7">
      <c r="A391" s="123"/>
      <c r="B391" s="123"/>
      <c r="C391" s="123"/>
      <c r="D391" s="123"/>
      <c r="E391" s="124"/>
      <c r="F391" s="123"/>
      <c r="G391" s="124"/>
    </row>
    <row r="392" customHeight="1" spans="1:7">
      <c r="A392" s="94" t="s">
        <v>868</v>
      </c>
      <c r="B392" s="94"/>
      <c r="C392" s="94"/>
      <c r="D392" s="94"/>
      <c r="E392" s="94"/>
      <c r="F392" s="94"/>
      <c r="G392" s="94"/>
    </row>
    <row r="393" customHeight="1" spans="1:7">
      <c r="A393" s="95" t="s">
        <v>869</v>
      </c>
      <c r="B393" s="96"/>
      <c r="C393" s="96"/>
      <c r="D393" s="96" t="s">
        <v>870</v>
      </c>
      <c r="E393" s="97" t="s">
        <v>1589</v>
      </c>
      <c r="F393" s="98"/>
      <c r="G393" s="99"/>
    </row>
    <row r="394" customHeight="1" spans="1:7">
      <c r="A394" s="100" t="s">
        <v>507</v>
      </c>
      <c r="B394" s="101"/>
      <c r="C394" s="102" t="s">
        <v>1590</v>
      </c>
      <c r="D394" s="102"/>
      <c r="E394" s="102"/>
      <c r="F394" s="103" t="s">
        <v>873</v>
      </c>
      <c r="G394" s="104" t="s">
        <v>622</v>
      </c>
    </row>
    <row r="395" customHeight="1" spans="1:7">
      <c r="A395" s="105" t="s">
        <v>875</v>
      </c>
      <c r="B395" s="102"/>
      <c r="C395" s="102"/>
      <c r="D395" s="102"/>
      <c r="E395" s="102"/>
      <c r="F395" s="102"/>
      <c r="G395" s="106"/>
    </row>
    <row r="396" customHeight="1" spans="1:7">
      <c r="A396" s="107" t="s">
        <v>912</v>
      </c>
      <c r="B396" s="108"/>
      <c r="C396" s="109"/>
      <c r="D396" s="109"/>
      <c r="E396" s="109"/>
      <c r="F396" s="109"/>
      <c r="G396" s="110"/>
    </row>
    <row r="397" customHeight="1" spans="1:7">
      <c r="A397" s="100" t="s">
        <v>34</v>
      </c>
      <c r="B397" s="103" t="s">
        <v>761</v>
      </c>
      <c r="C397" s="103"/>
      <c r="D397" s="103" t="s">
        <v>60</v>
      </c>
      <c r="E397" s="111" t="s">
        <v>877</v>
      </c>
      <c r="F397" s="103" t="s">
        <v>878</v>
      </c>
      <c r="G397" s="104" t="s">
        <v>879</v>
      </c>
    </row>
    <row r="398" customHeight="1" spans="1:7">
      <c r="A398" s="100" t="s">
        <v>8</v>
      </c>
      <c r="B398" s="112" t="s">
        <v>880</v>
      </c>
      <c r="C398" s="112"/>
      <c r="D398" s="103"/>
      <c r="E398" s="111"/>
      <c r="F398" s="111"/>
      <c r="G398" s="113">
        <f>G399+G410</f>
        <v>55.252569137931</v>
      </c>
    </row>
    <row r="399" customHeight="1" spans="1:7">
      <c r="A399" s="100" t="s">
        <v>881</v>
      </c>
      <c r="B399" s="112" t="s">
        <v>882</v>
      </c>
      <c r="C399" s="112"/>
      <c r="D399" s="103"/>
      <c r="E399" s="111"/>
      <c r="F399" s="111"/>
      <c r="G399" s="113">
        <f>G400+G403</f>
        <v>52.3721034482759</v>
      </c>
    </row>
    <row r="400" customHeight="1" spans="1:7">
      <c r="A400" s="100" t="s">
        <v>17</v>
      </c>
      <c r="B400" s="112" t="s">
        <v>510</v>
      </c>
      <c r="C400" s="112"/>
      <c r="D400" s="103"/>
      <c r="E400" s="111"/>
      <c r="F400" s="111"/>
      <c r="G400" s="113">
        <f>SUM(G401:G402)</f>
        <v>43.607</v>
      </c>
    </row>
    <row r="401" customHeight="1" spans="1:7">
      <c r="A401" s="100"/>
      <c r="B401" s="112" t="s">
        <v>704</v>
      </c>
      <c r="C401" s="112"/>
      <c r="D401" s="103" t="s">
        <v>705</v>
      </c>
      <c r="E401" s="111">
        <v>4.6</v>
      </c>
      <c r="F401" s="111">
        <f>主要材料预算!$D$19</f>
        <v>8.1</v>
      </c>
      <c r="G401" s="113">
        <f t="shared" ref="G401:G408" si="38">E401*F401</f>
        <v>37.26</v>
      </c>
    </row>
    <row r="402" customHeight="1" spans="1:7">
      <c r="A402" s="100"/>
      <c r="B402" s="112" t="s">
        <v>706</v>
      </c>
      <c r="C402" s="112"/>
      <c r="D402" s="103" t="s">
        <v>705</v>
      </c>
      <c r="E402" s="111">
        <v>1.1</v>
      </c>
      <c r="F402" s="111">
        <f>主要材料预算!$D$20</f>
        <v>5.77</v>
      </c>
      <c r="G402" s="113">
        <f t="shared" si="38"/>
        <v>6.347</v>
      </c>
    </row>
    <row r="403" customHeight="1" spans="1:7">
      <c r="A403" s="100" t="s">
        <v>19</v>
      </c>
      <c r="B403" s="66" t="s">
        <v>511</v>
      </c>
      <c r="C403" s="67"/>
      <c r="D403" s="103"/>
      <c r="E403" s="111"/>
      <c r="F403" s="111"/>
      <c r="G403" s="113">
        <f>SUM(G404:G409)</f>
        <v>8.76510344827586</v>
      </c>
    </row>
    <row r="404" customHeight="1" spans="1:7">
      <c r="A404" s="100"/>
      <c r="B404" s="66" t="s">
        <v>696</v>
      </c>
      <c r="C404" s="67"/>
      <c r="D404" s="103" t="s">
        <v>1142</v>
      </c>
      <c r="E404" s="111">
        <v>0.1</v>
      </c>
      <c r="F404" s="111">
        <f>基础材料!$H$6</f>
        <v>10.8827586206897</v>
      </c>
      <c r="G404" s="113">
        <f t="shared" si="38"/>
        <v>1.08827586206897</v>
      </c>
    </row>
    <row r="405" customHeight="1" spans="1:7">
      <c r="A405" s="100"/>
      <c r="B405" s="66" t="s">
        <v>1558</v>
      </c>
      <c r="C405" s="67"/>
      <c r="D405" s="103" t="s">
        <v>1142</v>
      </c>
      <c r="E405" s="111">
        <v>0.07</v>
      </c>
      <c r="F405" s="111">
        <f>基础材料!$H$8</f>
        <v>5.2</v>
      </c>
      <c r="G405" s="113">
        <f t="shared" si="38"/>
        <v>0.364</v>
      </c>
    </row>
    <row r="406" customHeight="1" spans="1:7">
      <c r="A406" s="100"/>
      <c r="B406" s="66" t="s">
        <v>1588</v>
      </c>
      <c r="C406" s="67"/>
      <c r="D406" s="103" t="s">
        <v>1142</v>
      </c>
      <c r="E406" s="111">
        <v>0.35</v>
      </c>
      <c r="F406" s="111">
        <f>基础材料!$H$12</f>
        <v>17</v>
      </c>
      <c r="G406" s="113">
        <f t="shared" si="38"/>
        <v>5.95</v>
      </c>
    </row>
    <row r="407" customHeight="1" spans="1:7">
      <c r="A407" s="100"/>
      <c r="B407" s="66" t="s">
        <v>1559</v>
      </c>
      <c r="C407" s="67"/>
      <c r="D407" s="103" t="s">
        <v>366</v>
      </c>
      <c r="E407" s="111">
        <v>0.02</v>
      </c>
      <c r="F407" s="111">
        <f>基础材料!$H$9</f>
        <v>10</v>
      </c>
      <c r="G407" s="113">
        <f t="shared" si="38"/>
        <v>0.2</v>
      </c>
    </row>
    <row r="408" customHeight="1" spans="1:7">
      <c r="A408" s="100"/>
      <c r="B408" s="66" t="s">
        <v>1560</v>
      </c>
      <c r="C408" s="67"/>
      <c r="D408" s="103" t="s">
        <v>1142</v>
      </c>
      <c r="E408" s="111">
        <v>0.06</v>
      </c>
      <c r="F408" s="111">
        <f>基础材料!$H$10</f>
        <v>6.1</v>
      </c>
      <c r="G408" s="113">
        <f t="shared" si="38"/>
        <v>0.366</v>
      </c>
    </row>
    <row r="409" customHeight="1" spans="1:7">
      <c r="A409" s="100"/>
      <c r="B409" s="112" t="s">
        <v>893</v>
      </c>
      <c r="C409" s="112"/>
      <c r="D409" s="103" t="s">
        <v>894</v>
      </c>
      <c r="E409" s="111">
        <f>SUM(G404:G408)</f>
        <v>7.96827586206896</v>
      </c>
      <c r="F409" s="115">
        <v>10</v>
      </c>
      <c r="G409" s="113">
        <f>E409*F409/100</f>
        <v>0.796827586206897</v>
      </c>
    </row>
    <row r="410" customHeight="1" spans="1:7">
      <c r="A410" s="100" t="s">
        <v>905</v>
      </c>
      <c r="B410" s="112" t="s">
        <v>514</v>
      </c>
      <c r="C410" s="112"/>
      <c r="D410" s="103"/>
      <c r="E410" s="116">
        <f>G399</f>
        <v>52.3721034482759</v>
      </c>
      <c r="F410" s="117">
        <f>费率表!$K$4</f>
        <v>0.055</v>
      </c>
      <c r="G410" s="113">
        <f t="shared" ref="G410:G414" si="39">E410*F410</f>
        <v>2.88046568965517</v>
      </c>
    </row>
    <row r="411" customHeight="1" spans="1:7">
      <c r="A411" s="100" t="s">
        <v>10</v>
      </c>
      <c r="B411" s="112" t="s">
        <v>770</v>
      </c>
      <c r="C411" s="112"/>
      <c r="D411" s="103"/>
      <c r="E411" s="111">
        <f>G398</f>
        <v>55.252569137931</v>
      </c>
      <c r="F411" s="118">
        <f>费率表!$K$5</f>
        <v>0.7</v>
      </c>
      <c r="G411" s="113">
        <f t="shared" si="39"/>
        <v>38.6767983965517</v>
      </c>
    </row>
    <row r="412" customHeight="1" spans="1:7">
      <c r="A412" s="100" t="s">
        <v>12</v>
      </c>
      <c r="B412" s="112" t="s">
        <v>771</v>
      </c>
      <c r="C412" s="112"/>
      <c r="D412" s="103"/>
      <c r="E412" s="111">
        <f>G398+G411</f>
        <v>93.9293675344828</v>
      </c>
      <c r="F412" s="118">
        <f>费率表!$K$6</f>
        <v>0.07</v>
      </c>
      <c r="G412" s="113">
        <f t="shared" si="39"/>
        <v>6.57505572741379</v>
      </c>
    </row>
    <row r="413" customHeight="1" spans="1:7">
      <c r="A413" s="100" t="s">
        <v>15</v>
      </c>
      <c r="B413" s="112" t="s">
        <v>772</v>
      </c>
      <c r="C413" s="112"/>
      <c r="D413" s="103"/>
      <c r="E413" s="111">
        <f>G398+G411+G412</f>
        <v>100.504423261897</v>
      </c>
      <c r="F413" s="118">
        <f>费率表!$K$7</f>
        <v>0.09</v>
      </c>
      <c r="G413" s="113">
        <f t="shared" si="39"/>
        <v>9.04539809357069</v>
      </c>
    </row>
    <row r="414" customHeight="1" spans="1:7">
      <c r="A414" s="100"/>
      <c r="B414" s="112" t="s">
        <v>907</v>
      </c>
      <c r="C414" s="112"/>
      <c r="D414" s="103"/>
      <c r="E414" s="111">
        <f>G398+G411+G412+G413</f>
        <v>109.549821355467</v>
      </c>
      <c r="F414" s="118">
        <f>费率表!$B$19</f>
        <v>0.03</v>
      </c>
      <c r="G414" s="113">
        <f t="shared" si="39"/>
        <v>3.28649464066402</v>
      </c>
    </row>
    <row r="415" customHeight="1" spans="1:7">
      <c r="A415" s="119"/>
      <c r="B415" s="120" t="s">
        <v>39</v>
      </c>
      <c r="C415" s="120"/>
      <c r="D415" s="120"/>
      <c r="E415" s="121"/>
      <c r="F415" s="120"/>
      <c r="G415" s="122">
        <f>G398+G411+G412+G413+G414</f>
        <v>112.836315996131</v>
      </c>
    </row>
    <row r="416" customHeight="1" spans="1:7">
      <c r="A416" s="123"/>
      <c r="B416" s="123"/>
      <c r="C416" s="123"/>
      <c r="D416" s="123"/>
      <c r="E416" s="124"/>
      <c r="F416" s="123"/>
      <c r="G416" s="124"/>
    </row>
    <row r="417" customHeight="1" spans="1:7">
      <c r="A417" s="94" t="s">
        <v>868</v>
      </c>
      <c r="B417" s="94"/>
      <c r="C417" s="94"/>
      <c r="D417" s="94"/>
      <c r="E417" s="94"/>
      <c r="F417" s="94"/>
      <c r="G417" s="94"/>
    </row>
    <row r="418" customHeight="1" spans="1:7">
      <c r="A418" s="95" t="s">
        <v>869</v>
      </c>
      <c r="B418" s="96"/>
      <c r="C418" s="96"/>
      <c r="D418" s="96" t="s">
        <v>870</v>
      </c>
      <c r="E418" s="97" t="s">
        <v>1591</v>
      </c>
      <c r="F418" s="98"/>
      <c r="G418" s="99"/>
    </row>
    <row r="419" customHeight="1" spans="1:7">
      <c r="A419" s="100" t="s">
        <v>507</v>
      </c>
      <c r="B419" s="101"/>
      <c r="C419" s="102" t="s">
        <v>1592</v>
      </c>
      <c r="D419" s="102"/>
      <c r="E419" s="102"/>
      <c r="F419" s="103" t="s">
        <v>873</v>
      </c>
      <c r="G419" s="104" t="s">
        <v>622</v>
      </c>
    </row>
    <row r="420" customHeight="1" spans="1:7">
      <c r="A420" s="105" t="s">
        <v>875</v>
      </c>
      <c r="B420" s="102"/>
      <c r="C420" s="102"/>
      <c r="D420" s="102"/>
      <c r="E420" s="102"/>
      <c r="F420" s="102"/>
      <c r="G420" s="106"/>
    </row>
    <row r="421" customHeight="1" spans="1:7">
      <c r="A421" s="107" t="s">
        <v>912</v>
      </c>
      <c r="B421" s="108"/>
      <c r="C421" s="109"/>
      <c r="D421" s="109"/>
      <c r="E421" s="109"/>
      <c r="F421" s="109"/>
      <c r="G421" s="110"/>
    </row>
    <row r="422" customHeight="1" spans="1:7">
      <c r="A422" s="100" t="s">
        <v>34</v>
      </c>
      <c r="B422" s="103" t="s">
        <v>761</v>
      </c>
      <c r="C422" s="103"/>
      <c r="D422" s="103" t="s">
        <v>60</v>
      </c>
      <c r="E422" s="111" t="s">
        <v>877</v>
      </c>
      <c r="F422" s="103" t="s">
        <v>878</v>
      </c>
      <c r="G422" s="104" t="s">
        <v>879</v>
      </c>
    </row>
    <row r="423" customHeight="1" spans="1:7">
      <c r="A423" s="100" t="s">
        <v>8</v>
      </c>
      <c r="B423" s="112" t="s">
        <v>880</v>
      </c>
      <c r="C423" s="112"/>
      <c r="D423" s="103"/>
      <c r="E423" s="111"/>
      <c r="F423" s="111"/>
      <c r="G423" s="113">
        <f>G424+G435</f>
        <v>74.9116719655172</v>
      </c>
    </row>
    <row r="424" customHeight="1" spans="1:7">
      <c r="A424" s="100" t="s">
        <v>881</v>
      </c>
      <c r="B424" s="112" t="s">
        <v>882</v>
      </c>
      <c r="C424" s="112"/>
      <c r="D424" s="103"/>
      <c r="E424" s="111"/>
      <c r="F424" s="111"/>
      <c r="G424" s="113">
        <f>G425+G428</f>
        <v>71.006324137931</v>
      </c>
    </row>
    <row r="425" customHeight="1" spans="1:7">
      <c r="A425" s="100" t="s">
        <v>17</v>
      </c>
      <c r="B425" s="112" t="s">
        <v>510</v>
      </c>
      <c r="C425" s="112"/>
      <c r="D425" s="103"/>
      <c r="E425" s="111"/>
      <c r="F425" s="111"/>
      <c r="G425" s="113">
        <f>SUM(G426:G427)</f>
        <v>59.452</v>
      </c>
    </row>
    <row r="426" customHeight="1" spans="1:7">
      <c r="A426" s="100"/>
      <c r="B426" s="112" t="s">
        <v>704</v>
      </c>
      <c r="C426" s="112"/>
      <c r="D426" s="103" t="s">
        <v>705</v>
      </c>
      <c r="E426" s="111">
        <v>6.2</v>
      </c>
      <c r="F426" s="111">
        <f>主要材料预算!$D$19</f>
        <v>8.1</v>
      </c>
      <c r="G426" s="113">
        <f t="shared" ref="G426:G433" si="40">E426*F426</f>
        <v>50.22</v>
      </c>
    </row>
    <row r="427" customHeight="1" spans="1:7">
      <c r="A427" s="100"/>
      <c r="B427" s="112" t="s">
        <v>706</v>
      </c>
      <c r="C427" s="112"/>
      <c r="D427" s="103" t="s">
        <v>705</v>
      </c>
      <c r="E427" s="111">
        <v>1.6</v>
      </c>
      <c r="F427" s="111">
        <f>主要材料预算!$D$20</f>
        <v>5.77</v>
      </c>
      <c r="G427" s="113">
        <f t="shared" si="40"/>
        <v>9.232</v>
      </c>
    </row>
    <row r="428" customHeight="1" spans="1:7">
      <c r="A428" s="100" t="s">
        <v>19</v>
      </c>
      <c r="B428" s="66" t="s">
        <v>511</v>
      </c>
      <c r="C428" s="67"/>
      <c r="D428" s="103"/>
      <c r="E428" s="111"/>
      <c r="F428" s="111"/>
      <c r="G428" s="113">
        <f>SUM(G429:G434)</f>
        <v>11.554324137931</v>
      </c>
    </row>
    <row r="429" customHeight="1" spans="1:7">
      <c r="A429" s="100"/>
      <c r="B429" s="66" t="s">
        <v>696</v>
      </c>
      <c r="C429" s="67"/>
      <c r="D429" s="103" t="s">
        <v>1142</v>
      </c>
      <c r="E429" s="111">
        <v>0.12</v>
      </c>
      <c r="F429" s="111">
        <f>基础材料!$H$6</f>
        <v>10.8827586206897</v>
      </c>
      <c r="G429" s="113">
        <f t="shared" si="40"/>
        <v>1.30593103448276</v>
      </c>
    </row>
    <row r="430" customHeight="1" spans="1:7">
      <c r="A430" s="100"/>
      <c r="B430" s="66" t="s">
        <v>1558</v>
      </c>
      <c r="C430" s="67"/>
      <c r="D430" s="103" t="s">
        <v>1142</v>
      </c>
      <c r="E430" s="111">
        <v>0.1</v>
      </c>
      <c r="F430" s="111">
        <f>基础材料!$H$8</f>
        <v>5.2</v>
      </c>
      <c r="G430" s="113">
        <f t="shared" si="40"/>
        <v>0.52</v>
      </c>
    </row>
    <row r="431" customHeight="1" spans="1:7">
      <c r="A431" s="100"/>
      <c r="B431" s="66" t="s">
        <v>1588</v>
      </c>
      <c r="C431" s="67"/>
      <c r="D431" s="103" t="s">
        <v>1142</v>
      </c>
      <c r="E431" s="111">
        <v>0.47</v>
      </c>
      <c r="F431" s="111">
        <f>基础材料!$H$12</f>
        <v>17</v>
      </c>
      <c r="G431" s="113">
        <f t="shared" si="40"/>
        <v>7.99</v>
      </c>
    </row>
    <row r="432" customHeight="1" spans="1:7">
      <c r="A432" s="100"/>
      <c r="B432" s="66" t="s">
        <v>1559</v>
      </c>
      <c r="C432" s="67"/>
      <c r="D432" s="103" t="s">
        <v>366</v>
      </c>
      <c r="E432" s="111">
        <v>0.02</v>
      </c>
      <c r="F432" s="111">
        <f>基础材料!$H$9</f>
        <v>10</v>
      </c>
      <c r="G432" s="113">
        <f t="shared" si="40"/>
        <v>0.2</v>
      </c>
    </row>
    <row r="433" customHeight="1" spans="1:7">
      <c r="A433" s="100"/>
      <c r="B433" s="66" t="s">
        <v>1560</v>
      </c>
      <c r="C433" s="67"/>
      <c r="D433" s="103" t="s">
        <v>1142</v>
      </c>
      <c r="E433" s="111">
        <v>0.08</v>
      </c>
      <c r="F433" s="111">
        <f>基础材料!$H$10</f>
        <v>6.1</v>
      </c>
      <c r="G433" s="113">
        <f t="shared" si="40"/>
        <v>0.488</v>
      </c>
    </row>
    <row r="434" customHeight="1" spans="1:7">
      <c r="A434" s="100"/>
      <c r="B434" s="112" t="s">
        <v>893</v>
      </c>
      <c r="C434" s="112"/>
      <c r="D434" s="103" t="s">
        <v>894</v>
      </c>
      <c r="E434" s="111">
        <f>SUM(G429:G433)</f>
        <v>10.5039310344828</v>
      </c>
      <c r="F434" s="115">
        <v>10</v>
      </c>
      <c r="G434" s="113">
        <f>E434*F434/100</f>
        <v>1.05039310344828</v>
      </c>
    </row>
    <row r="435" customHeight="1" spans="1:7">
      <c r="A435" s="100" t="s">
        <v>905</v>
      </c>
      <c r="B435" s="112" t="s">
        <v>514</v>
      </c>
      <c r="C435" s="112"/>
      <c r="D435" s="103"/>
      <c r="E435" s="116">
        <f>G424</f>
        <v>71.006324137931</v>
      </c>
      <c r="F435" s="117">
        <f>费率表!$K$4</f>
        <v>0.055</v>
      </c>
      <c r="G435" s="113">
        <f t="shared" ref="G435:G439" si="41">E435*F435</f>
        <v>3.90534782758621</v>
      </c>
    </row>
    <row r="436" customHeight="1" spans="1:7">
      <c r="A436" s="100" t="s">
        <v>10</v>
      </c>
      <c r="B436" s="112" t="s">
        <v>770</v>
      </c>
      <c r="C436" s="112"/>
      <c r="D436" s="103"/>
      <c r="E436" s="111">
        <f>G423</f>
        <v>74.9116719655172</v>
      </c>
      <c r="F436" s="118">
        <f>费率表!$K$5</f>
        <v>0.7</v>
      </c>
      <c r="G436" s="113">
        <f t="shared" si="41"/>
        <v>52.4381703758621</v>
      </c>
    </row>
    <row r="437" customHeight="1" spans="1:7">
      <c r="A437" s="100" t="s">
        <v>12</v>
      </c>
      <c r="B437" s="112" t="s">
        <v>771</v>
      </c>
      <c r="C437" s="112"/>
      <c r="D437" s="103"/>
      <c r="E437" s="111">
        <f>G423+G436</f>
        <v>127.349842341379</v>
      </c>
      <c r="F437" s="118">
        <f>费率表!$K$6</f>
        <v>0.07</v>
      </c>
      <c r="G437" s="113">
        <f t="shared" si="41"/>
        <v>8.91448896389655</v>
      </c>
    </row>
    <row r="438" customHeight="1" spans="1:7">
      <c r="A438" s="100" t="s">
        <v>15</v>
      </c>
      <c r="B438" s="112" t="s">
        <v>772</v>
      </c>
      <c r="C438" s="112"/>
      <c r="D438" s="103"/>
      <c r="E438" s="111">
        <f>G423+G436+G437</f>
        <v>136.264331305276</v>
      </c>
      <c r="F438" s="118">
        <f>费率表!$K$7</f>
        <v>0.09</v>
      </c>
      <c r="G438" s="113">
        <f t="shared" si="41"/>
        <v>12.2637898174748</v>
      </c>
    </row>
    <row r="439" customHeight="1" spans="1:7">
      <c r="A439" s="100"/>
      <c r="B439" s="112" t="s">
        <v>907</v>
      </c>
      <c r="C439" s="112"/>
      <c r="D439" s="103"/>
      <c r="E439" s="111">
        <f>G423+G436+G437+G438</f>
        <v>148.528121122751</v>
      </c>
      <c r="F439" s="118">
        <f>费率表!$B$19</f>
        <v>0.03</v>
      </c>
      <c r="G439" s="113">
        <f t="shared" si="41"/>
        <v>4.45584363368252</v>
      </c>
    </row>
    <row r="440" customHeight="1" spans="1:7">
      <c r="A440" s="119"/>
      <c r="B440" s="120" t="s">
        <v>39</v>
      </c>
      <c r="C440" s="120"/>
      <c r="D440" s="120"/>
      <c r="E440" s="121"/>
      <c r="F440" s="120"/>
      <c r="G440" s="122">
        <f>G423+G436+G437+G438+G439</f>
        <v>152.983964756433</v>
      </c>
    </row>
    <row r="441" customHeight="1" spans="1:7">
      <c r="A441" s="123"/>
      <c r="B441" s="123"/>
      <c r="C441" s="123"/>
      <c r="D441" s="123"/>
      <c r="E441" s="124"/>
      <c r="F441" s="123"/>
      <c r="G441" s="124"/>
    </row>
    <row r="442" customHeight="1" spans="1:7">
      <c r="A442" s="94" t="s">
        <v>868</v>
      </c>
      <c r="B442" s="94"/>
      <c r="C442" s="94"/>
      <c r="D442" s="94"/>
      <c r="E442" s="94"/>
      <c r="F442" s="94"/>
      <c r="G442" s="94"/>
    </row>
    <row r="443" customHeight="1" spans="1:7">
      <c r="A443" s="95" t="s">
        <v>869</v>
      </c>
      <c r="B443" s="96"/>
      <c r="C443" s="96"/>
      <c r="D443" s="96" t="s">
        <v>870</v>
      </c>
      <c r="E443" s="97" t="s">
        <v>1593</v>
      </c>
      <c r="F443" s="98"/>
      <c r="G443" s="99"/>
    </row>
    <row r="444" customHeight="1" spans="1:7">
      <c r="A444" s="100" t="s">
        <v>507</v>
      </c>
      <c r="B444" s="101"/>
      <c r="C444" s="102" t="s">
        <v>1594</v>
      </c>
      <c r="D444" s="102"/>
      <c r="E444" s="102"/>
      <c r="F444" s="103" t="s">
        <v>873</v>
      </c>
      <c r="G444" s="104" t="s">
        <v>622</v>
      </c>
    </row>
    <row r="445" customHeight="1" spans="1:7">
      <c r="A445" s="105" t="s">
        <v>875</v>
      </c>
      <c r="B445" s="102"/>
      <c r="C445" s="102"/>
      <c r="D445" s="102"/>
      <c r="E445" s="102"/>
      <c r="F445" s="102"/>
      <c r="G445" s="106"/>
    </row>
    <row r="446" customHeight="1" spans="1:7">
      <c r="A446" s="107" t="s">
        <v>912</v>
      </c>
      <c r="B446" s="108"/>
      <c r="C446" s="109"/>
      <c r="D446" s="109"/>
      <c r="E446" s="109"/>
      <c r="F446" s="109"/>
      <c r="G446" s="110"/>
    </row>
    <row r="447" customHeight="1" spans="1:7">
      <c r="A447" s="100" t="s">
        <v>34</v>
      </c>
      <c r="B447" s="103" t="s">
        <v>761</v>
      </c>
      <c r="C447" s="103"/>
      <c r="D447" s="103" t="s">
        <v>60</v>
      </c>
      <c r="E447" s="111" t="s">
        <v>877</v>
      </c>
      <c r="F447" s="103" t="s">
        <v>878</v>
      </c>
      <c r="G447" s="104" t="s">
        <v>879</v>
      </c>
    </row>
    <row r="448" customHeight="1" spans="1:7">
      <c r="A448" s="100" t="s">
        <v>8</v>
      </c>
      <c r="B448" s="112" t="s">
        <v>880</v>
      </c>
      <c r="C448" s="112"/>
      <c r="D448" s="103"/>
      <c r="E448" s="111"/>
      <c r="F448" s="111"/>
      <c r="G448" s="113">
        <f>G449+G460</f>
        <v>118.42582362069</v>
      </c>
    </row>
    <row r="449" customHeight="1" spans="1:7">
      <c r="A449" s="100" t="s">
        <v>881</v>
      </c>
      <c r="B449" s="112" t="s">
        <v>882</v>
      </c>
      <c r="C449" s="112"/>
      <c r="D449" s="103"/>
      <c r="E449" s="111"/>
      <c r="F449" s="111"/>
      <c r="G449" s="113">
        <f>G450+G453</f>
        <v>112.251965517241</v>
      </c>
    </row>
    <row r="450" customHeight="1" spans="1:7">
      <c r="A450" s="100" t="s">
        <v>17</v>
      </c>
      <c r="B450" s="112" t="s">
        <v>510</v>
      </c>
      <c r="C450" s="112"/>
      <c r="D450" s="103"/>
      <c r="E450" s="111"/>
      <c r="F450" s="111"/>
      <c r="G450" s="113">
        <f>SUM(G451:G452)</f>
        <v>95.425</v>
      </c>
    </row>
    <row r="451" customHeight="1" spans="1:7">
      <c r="A451" s="100"/>
      <c r="B451" s="112" t="s">
        <v>704</v>
      </c>
      <c r="C451" s="112"/>
      <c r="D451" s="103" t="s">
        <v>705</v>
      </c>
      <c r="E451" s="111">
        <v>10</v>
      </c>
      <c r="F451" s="111">
        <f>主要材料预算!$D$19</f>
        <v>8.1</v>
      </c>
      <c r="G451" s="113">
        <f t="shared" ref="G451:G458" si="42">E451*F451</f>
        <v>81</v>
      </c>
    </row>
    <row r="452" customHeight="1" spans="1:7">
      <c r="A452" s="100"/>
      <c r="B452" s="112" t="s">
        <v>706</v>
      </c>
      <c r="C452" s="112"/>
      <c r="D452" s="103" t="s">
        <v>705</v>
      </c>
      <c r="E452" s="111">
        <v>2.5</v>
      </c>
      <c r="F452" s="111">
        <f>主要材料预算!$D$20</f>
        <v>5.77</v>
      </c>
      <c r="G452" s="113">
        <f t="shared" si="42"/>
        <v>14.425</v>
      </c>
    </row>
    <row r="453" customHeight="1" spans="1:7">
      <c r="A453" s="100" t="s">
        <v>19</v>
      </c>
      <c r="B453" s="66" t="s">
        <v>511</v>
      </c>
      <c r="C453" s="67"/>
      <c r="D453" s="103"/>
      <c r="E453" s="111"/>
      <c r="F453" s="111"/>
      <c r="G453" s="113">
        <f>SUM(G454:G459)</f>
        <v>16.8269655172414</v>
      </c>
    </row>
    <row r="454" customHeight="1" spans="1:7">
      <c r="A454" s="100"/>
      <c r="B454" s="66" t="s">
        <v>696</v>
      </c>
      <c r="C454" s="67"/>
      <c r="D454" s="103" t="s">
        <v>1142</v>
      </c>
      <c r="E454" s="111">
        <v>0.16</v>
      </c>
      <c r="F454" s="111">
        <f>基础材料!$H$6</f>
        <v>10.8827586206897</v>
      </c>
      <c r="G454" s="113">
        <f t="shared" si="42"/>
        <v>1.74124137931034</v>
      </c>
    </row>
    <row r="455" customHeight="1" spans="1:7">
      <c r="A455" s="100"/>
      <c r="B455" s="66" t="s">
        <v>1558</v>
      </c>
      <c r="C455" s="67"/>
      <c r="D455" s="103" t="s">
        <v>1142</v>
      </c>
      <c r="E455" s="111">
        <v>0.12</v>
      </c>
      <c r="F455" s="111">
        <f>基础材料!$H$8</f>
        <v>5.2</v>
      </c>
      <c r="G455" s="113">
        <f t="shared" si="42"/>
        <v>0.624</v>
      </c>
    </row>
    <row r="456" customHeight="1" spans="1:7">
      <c r="A456" s="100"/>
      <c r="B456" s="66" t="s">
        <v>1588</v>
      </c>
      <c r="C456" s="67"/>
      <c r="D456" s="103" t="s">
        <v>1142</v>
      </c>
      <c r="E456" s="111">
        <v>0.7</v>
      </c>
      <c r="F456" s="111">
        <f>基础材料!$H$12</f>
        <v>17</v>
      </c>
      <c r="G456" s="113">
        <f t="shared" si="42"/>
        <v>11.9</v>
      </c>
    </row>
    <row r="457" customHeight="1" spans="1:7">
      <c r="A457" s="100"/>
      <c r="B457" s="66" t="s">
        <v>1559</v>
      </c>
      <c r="C457" s="67"/>
      <c r="D457" s="103" t="s">
        <v>366</v>
      </c>
      <c r="E457" s="111">
        <v>0.03</v>
      </c>
      <c r="F457" s="111">
        <f>基础材料!$H$9</f>
        <v>10</v>
      </c>
      <c r="G457" s="113">
        <f t="shared" si="42"/>
        <v>0.3</v>
      </c>
    </row>
    <row r="458" customHeight="1" spans="1:7">
      <c r="A458" s="100"/>
      <c r="B458" s="66" t="s">
        <v>1560</v>
      </c>
      <c r="C458" s="67"/>
      <c r="D458" s="103" t="s">
        <v>1142</v>
      </c>
      <c r="E458" s="111">
        <v>0.12</v>
      </c>
      <c r="F458" s="111">
        <f>基础材料!$H$10</f>
        <v>6.1</v>
      </c>
      <c r="G458" s="113">
        <f t="shared" si="42"/>
        <v>0.732</v>
      </c>
    </row>
    <row r="459" customHeight="1" spans="1:7">
      <c r="A459" s="100"/>
      <c r="B459" s="112" t="s">
        <v>893</v>
      </c>
      <c r="C459" s="112"/>
      <c r="D459" s="103" t="s">
        <v>894</v>
      </c>
      <c r="E459" s="111">
        <f>SUM(G454:G458)</f>
        <v>15.2972413793103</v>
      </c>
      <c r="F459" s="115">
        <v>10</v>
      </c>
      <c r="G459" s="113">
        <f>E459*F459/100</f>
        <v>1.52972413793103</v>
      </c>
    </row>
    <row r="460" customHeight="1" spans="1:7">
      <c r="A460" s="100" t="s">
        <v>905</v>
      </c>
      <c r="B460" s="112" t="s">
        <v>514</v>
      </c>
      <c r="C460" s="112"/>
      <c r="D460" s="103"/>
      <c r="E460" s="116">
        <f>G449</f>
        <v>112.251965517241</v>
      </c>
      <c r="F460" s="117">
        <f>费率表!$K$4</f>
        <v>0.055</v>
      </c>
      <c r="G460" s="113">
        <f t="shared" ref="G460:G464" si="43">E460*F460</f>
        <v>6.17385810344828</v>
      </c>
    </row>
    <row r="461" customHeight="1" spans="1:7">
      <c r="A461" s="100" t="s">
        <v>10</v>
      </c>
      <c r="B461" s="112" t="s">
        <v>770</v>
      </c>
      <c r="C461" s="112"/>
      <c r="D461" s="103"/>
      <c r="E461" s="111">
        <f>G448</f>
        <v>118.42582362069</v>
      </c>
      <c r="F461" s="118">
        <f>费率表!$K$5</f>
        <v>0.7</v>
      </c>
      <c r="G461" s="113">
        <f t="shared" si="43"/>
        <v>82.8980765344828</v>
      </c>
    </row>
    <row r="462" customHeight="1" spans="1:7">
      <c r="A462" s="100" t="s">
        <v>12</v>
      </c>
      <c r="B462" s="112" t="s">
        <v>771</v>
      </c>
      <c r="C462" s="112"/>
      <c r="D462" s="103"/>
      <c r="E462" s="111">
        <f>G448+G461</f>
        <v>201.323900155172</v>
      </c>
      <c r="F462" s="118">
        <f>费率表!$K$6</f>
        <v>0.07</v>
      </c>
      <c r="G462" s="113">
        <f t="shared" si="43"/>
        <v>14.0926730108621</v>
      </c>
    </row>
    <row r="463" customHeight="1" spans="1:7">
      <c r="A463" s="100" t="s">
        <v>15</v>
      </c>
      <c r="B463" s="112" t="s">
        <v>772</v>
      </c>
      <c r="C463" s="112"/>
      <c r="D463" s="103"/>
      <c r="E463" s="111">
        <f>G448+G461+G462</f>
        <v>215.416573166034</v>
      </c>
      <c r="F463" s="118">
        <f>费率表!$K$7</f>
        <v>0.09</v>
      </c>
      <c r="G463" s="113">
        <f t="shared" si="43"/>
        <v>19.3874915849431</v>
      </c>
    </row>
    <row r="464" customHeight="1" spans="1:7">
      <c r="A464" s="100"/>
      <c r="B464" s="112" t="s">
        <v>907</v>
      </c>
      <c r="C464" s="112"/>
      <c r="D464" s="103"/>
      <c r="E464" s="111">
        <f>G448+G461+G462+G463</f>
        <v>234.804064750978</v>
      </c>
      <c r="F464" s="118">
        <f>费率表!$B$19</f>
        <v>0.03</v>
      </c>
      <c r="G464" s="113">
        <f t="shared" si="43"/>
        <v>7.04412194252933</v>
      </c>
    </row>
    <row r="465" customHeight="1" spans="1:7">
      <c r="A465" s="119"/>
      <c r="B465" s="120" t="s">
        <v>39</v>
      </c>
      <c r="C465" s="120"/>
      <c r="D465" s="120"/>
      <c r="E465" s="121"/>
      <c r="F465" s="120"/>
      <c r="G465" s="122">
        <f>G448+G461+G462+G463+G464</f>
        <v>241.848186693507</v>
      </c>
    </row>
    <row r="466" customHeight="1" spans="1:7">
      <c r="A466" s="123"/>
      <c r="B466" s="123"/>
      <c r="C466" s="123"/>
      <c r="D466" s="123"/>
      <c r="E466" s="124"/>
      <c r="F466" s="123"/>
      <c r="G466" s="124"/>
    </row>
    <row r="467" customHeight="1" spans="1:7">
      <c r="A467" s="123"/>
      <c r="B467" s="123"/>
      <c r="C467" s="123"/>
      <c r="D467" s="123"/>
      <c r="E467" s="124"/>
      <c r="F467" s="123"/>
      <c r="G467" s="124"/>
    </row>
    <row r="468" customHeight="1" spans="1:7">
      <c r="A468" s="94" t="s">
        <v>868</v>
      </c>
      <c r="B468" s="94"/>
      <c r="C468" s="94"/>
      <c r="D468" s="94"/>
      <c r="E468" s="94"/>
      <c r="F468" s="94"/>
      <c r="G468" s="94"/>
    </row>
    <row r="469" customHeight="1" spans="1:7">
      <c r="A469" s="95" t="s">
        <v>869</v>
      </c>
      <c r="B469" s="96"/>
      <c r="C469" s="96"/>
      <c r="D469" s="96" t="s">
        <v>870</v>
      </c>
      <c r="E469" s="97" t="s">
        <v>1595</v>
      </c>
      <c r="F469" s="98"/>
      <c r="G469" s="99"/>
    </row>
    <row r="470" customHeight="1" spans="1:7">
      <c r="A470" s="100" t="s">
        <v>507</v>
      </c>
      <c r="B470" s="101"/>
      <c r="C470" s="102" t="s">
        <v>1596</v>
      </c>
      <c r="D470" s="102"/>
      <c r="E470" s="102"/>
      <c r="F470" s="103" t="s">
        <v>873</v>
      </c>
      <c r="G470" s="104" t="s">
        <v>622</v>
      </c>
    </row>
    <row r="471" customHeight="1" spans="1:7">
      <c r="A471" s="105" t="s">
        <v>875</v>
      </c>
      <c r="B471" s="102"/>
      <c r="C471" s="102"/>
      <c r="D471" s="102"/>
      <c r="E471" s="102"/>
      <c r="F471" s="102"/>
      <c r="G471" s="106"/>
    </row>
    <row r="472" customHeight="1" spans="1:7">
      <c r="A472" s="107" t="s">
        <v>912</v>
      </c>
      <c r="B472" s="108"/>
      <c r="C472" s="109"/>
      <c r="D472" s="109"/>
      <c r="E472" s="109"/>
      <c r="F472" s="109"/>
      <c r="G472" s="110"/>
    </row>
    <row r="473" customHeight="1" spans="1:7">
      <c r="A473" s="100" t="s">
        <v>34</v>
      </c>
      <c r="B473" s="103" t="s">
        <v>761</v>
      </c>
      <c r="C473" s="103"/>
      <c r="D473" s="103" t="s">
        <v>60</v>
      </c>
      <c r="E473" s="111" t="s">
        <v>877</v>
      </c>
      <c r="F473" s="103" t="s">
        <v>878</v>
      </c>
      <c r="G473" s="104" t="s">
        <v>879</v>
      </c>
    </row>
    <row r="474" customHeight="1" spans="1:7">
      <c r="A474" s="100" t="s">
        <v>8</v>
      </c>
      <c r="B474" s="112" t="s">
        <v>880</v>
      </c>
      <c r="C474" s="112"/>
      <c r="D474" s="103"/>
      <c r="E474" s="111"/>
      <c r="F474" s="111"/>
      <c r="G474" s="113">
        <f>G475+G486</f>
        <v>156.697796689655</v>
      </c>
    </row>
    <row r="475" customHeight="1" spans="1:7">
      <c r="A475" s="100" t="s">
        <v>881</v>
      </c>
      <c r="B475" s="112" t="s">
        <v>882</v>
      </c>
      <c r="C475" s="112"/>
      <c r="D475" s="103"/>
      <c r="E475" s="111"/>
      <c r="F475" s="111"/>
      <c r="G475" s="113">
        <f>G476+G479</f>
        <v>148.528717241379</v>
      </c>
    </row>
    <row r="476" customHeight="1" spans="1:7">
      <c r="A476" s="100" t="s">
        <v>17</v>
      </c>
      <c r="B476" s="112" t="s">
        <v>510</v>
      </c>
      <c r="C476" s="112"/>
      <c r="D476" s="103"/>
      <c r="E476" s="111"/>
      <c r="F476" s="111"/>
      <c r="G476" s="113">
        <f>SUM(G477:G478)</f>
        <v>123.764</v>
      </c>
    </row>
    <row r="477" customHeight="1" spans="1:7">
      <c r="A477" s="100"/>
      <c r="B477" s="112" t="s">
        <v>704</v>
      </c>
      <c r="C477" s="112"/>
      <c r="D477" s="103" t="s">
        <v>705</v>
      </c>
      <c r="E477" s="111">
        <v>13</v>
      </c>
      <c r="F477" s="111">
        <f>主要材料预算!$D$19</f>
        <v>8.1</v>
      </c>
      <c r="G477" s="113">
        <f t="shared" ref="G477:G484" si="44">E477*F477</f>
        <v>105.3</v>
      </c>
    </row>
    <row r="478" customHeight="1" spans="1:7">
      <c r="A478" s="100"/>
      <c r="B478" s="112" t="s">
        <v>706</v>
      </c>
      <c r="C478" s="112"/>
      <c r="D478" s="103" t="s">
        <v>705</v>
      </c>
      <c r="E478" s="111">
        <v>3.2</v>
      </c>
      <c r="F478" s="111">
        <f>主要材料预算!$D$20</f>
        <v>5.77</v>
      </c>
      <c r="G478" s="113">
        <f t="shared" si="44"/>
        <v>18.464</v>
      </c>
    </row>
    <row r="479" customHeight="1" spans="1:7">
      <c r="A479" s="100" t="s">
        <v>19</v>
      </c>
      <c r="B479" s="66" t="s">
        <v>511</v>
      </c>
      <c r="C479" s="67"/>
      <c r="D479" s="103"/>
      <c r="E479" s="111"/>
      <c r="F479" s="111"/>
      <c r="G479" s="113">
        <f>SUM(G480:G485)</f>
        <v>24.7647172413793</v>
      </c>
    </row>
    <row r="480" customHeight="1" spans="1:7">
      <c r="A480" s="100"/>
      <c r="B480" s="66" t="s">
        <v>696</v>
      </c>
      <c r="C480" s="67"/>
      <c r="D480" s="103" t="s">
        <v>1142</v>
      </c>
      <c r="E480" s="111">
        <v>0.21</v>
      </c>
      <c r="F480" s="111">
        <f>基础材料!$H$6</f>
        <v>10.8827586206897</v>
      </c>
      <c r="G480" s="113">
        <f t="shared" si="44"/>
        <v>2.28537931034483</v>
      </c>
    </row>
    <row r="481" customHeight="1" spans="1:7">
      <c r="A481" s="100"/>
      <c r="B481" s="66" t="s">
        <v>1558</v>
      </c>
      <c r="C481" s="67"/>
      <c r="D481" s="103" t="s">
        <v>1142</v>
      </c>
      <c r="E481" s="111">
        <v>0.15</v>
      </c>
      <c r="F481" s="111">
        <f>基础材料!$H$8</f>
        <v>5.2</v>
      </c>
      <c r="G481" s="113">
        <f t="shared" si="44"/>
        <v>0.78</v>
      </c>
    </row>
    <row r="482" customHeight="1" spans="1:7">
      <c r="A482" s="100"/>
      <c r="B482" s="66" t="s">
        <v>1588</v>
      </c>
      <c r="C482" s="67"/>
      <c r="D482" s="103" t="s">
        <v>1142</v>
      </c>
      <c r="E482" s="111">
        <v>1.05</v>
      </c>
      <c r="F482" s="111">
        <f>基础材料!$H$12</f>
        <v>17</v>
      </c>
      <c r="G482" s="113">
        <f t="shared" si="44"/>
        <v>17.85</v>
      </c>
    </row>
    <row r="483" customHeight="1" spans="1:7">
      <c r="A483" s="100"/>
      <c r="B483" s="66" t="s">
        <v>1559</v>
      </c>
      <c r="C483" s="67"/>
      <c r="D483" s="103" t="s">
        <v>366</v>
      </c>
      <c r="E483" s="111">
        <v>0.05</v>
      </c>
      <c r="F483" s="111">
        <f>基础材料!$H$9</f>
        <v>10</v>
      </c>
      <c r="G483" s="113">
        <f t="shared" si="44"/>
        <v>0.5</v>
      </c>
    </row>
    <row r="484" customHeight="1" spans="1:7">
      <c r="A484" s="100"/>
      <c r="B484" s="66" t="s">
        <v>1560</v>
      </c>
      <c r="C484" s="67"/>
      <c r="D484" s="103" t="s">
        <v>1142</v>
      </c>
      <c r="E484" s="111">
        <v>0.18</v>
      </c>
      <c r="F484" s="111">
        <f>基础材料!$H$10</f>
        <v>6.1</v>
      </c>
      <c r="G484" s="113">
        <f t="shared" si="44"/>
        <v>1.098</v>
      </c>
    </row>
    <row r="485" customHeight="1" spans="1:7">
      <c r="A485" s="100"/>
      <c r="B485" s="112" t="s">
        <v>893</v>
      </c>
      <c r="C485" s="112"/>
      <c r="D485" s="103" t="s">
        <v>894</v>
      </c>
      <c r="E485" s="111">
        <f>SUM(G480:G484)</f>
        <v>22.5133793103448</v>
      </c>
      <c r="F485" s="115">
        <v>10</v>
      </c>
      <c r="G485" s="113">
        <f>E485*F485/100</f>
        <v>2.25133793103448</v>
      </c>
    </row>
    <row r="486" customHeight="1" spans="1:7">
      <c r="A486" s="100" t="s">
        <v>905</v>
      </c>
      <c r="B486" s="112" t="s">
        <v>514</v>
      </c>
      <c r="C486" s="112"/>
      <c r="D486" s="103"/>
      <c r="E486" s="116">
        <f>G475</f>
        <v>148.528717241379</v>
      </c>
      <c r="F486" s="117">
        <f>费率表!$K$4</f>
        <v>0.055</v>
      </c>
      <c r="G486" s="113">
        <f t="shared" ref="G486:G490" si="45">E486*F486</f>
        <v>8.16907944827586</v>
      </c>
    </row>
    <row r="487" customHeight="1" spans="1:7">
      <c r="A487" s="100" t="s">
        <v>10</v>
      </c>
      <c r="B487" s="112" t="s">
        <v>770</v>
      </c>
      <c r="C487" s="112"/>
      <c r="D487" s="103"/>
      <c r="E487" s="111">
        <f>G474</f>
        <v>156.697796689655</v>
      </c>
      <c r="F487" s="118">
        <f>费率表!$K$5</f>
        <v>0.7</v>
      </c>
      <c r="G487" s="113">
        <f t="shared" si="45"/>
        <v>109.688457682759</v>
      </c>
    </row>
    <row r="488" customHeight="1" spans="1:7">
      <c r="A488" s="100" t="s">
        <v>12</v>
      </c>
      <c r="B488" s="112" t="s">
        <v>771</v>
      </c>
      <c r="C488" s="112"/>
      <c r="D488" s="103"/>
      <c r="E488" s="111">
        <f>G474+G487</f>
        <v>266.386254372414</v>
      </c>
      <c r="F488" s="118">
        <f>费率表!$K$6</f>
        <v>0.07</v>
      </c>
      <c r="G488" s="113">
        <f t="shared" si="45"/>
        <v>18.647037806069</v>
      </c>
    </row>
    <row r="489" customHeight="1" spans="1:7">
      <c r="A489" s="100" t="s">
        <v>15</v>
      </c>
      <c r="B489" s="112" t="s">
        <v>772</v>
      </c>
      <c r="C489" s="112"/>
      <c r="D489" s="103"/>
      <c r="E489" s="111">
        <f>G474+G487+G488</f>
        <v>285.033292178483</v>
      </c>
      <c r="F489" s="118">
        <f>费率表!$K$7</f>
        <v>0.09</v>
      </c>
      <c r="G489" s="113">
        <f t="shared" si="45"/>
        <v>25.6529962960634</v>
      </c>
    </row>
    <row r="490" customHeight="1" spans="1:7">
      <c r="A490" s="100"/>
      <c r="B490" s="112" t="s">
        <v>907</v>
      </c>
      <c r="C490" s="112"/>
      <c r="D490" s="103"/>
      <c r="E490" s="111">
        <f>G474+G487+G488+G489</f>
        <v>310.686288474546</v>
      </c>
      <c r="F490" s="118">
        <f>费率表!$B$19</f>
        <v>0.03</v>
      </c>
      <c r="G490" s="113">
        <f t="shared" si="45"/>
        <v>9.32058865423638</v>
      </c>
    </row>
    <row r="491" customHeight="1" spans="1:7">
      <c r="A491" s="119"/>
      <c r="B491" s="120" t="s">
        <v>39</v>
      </c>
      <c r="C491" s="120"/>
      <c r="D491" s="120"/>
      <c r="E491" s="121"/>
      <c r="F491" s="120"/>
      <c r="G491" s="122">
        <f>G474+G487+G488+G489+G490</f>
        <v>320.006877128783</v>
      </c>
    </row>
    <row r="492" customHeight="1" spans="1:7">
      <c r="A492" s="123"/>
      <c r="B492" s="123"/>
      <c r="C492" s="123"/>
      <c r="D492" s="123"/>
      <c r="E492" s="124"/>
      <c r="F492" s="123"/>
      <c r="G492" s="124"/>
    </row>
    <row r="493" customHeight="1" spans="1:7">
      <c r="A493" s="94" t="s">
        <v>868</v>
      </c>
      <c r="B493" s="94"/>
      <c r="C493" s="94"/>
      <c r="D493" s="94"/>
      <c r="E493" s="94"/>
      <c r="F493" s="94"/>
      <c r="G493" s="94"/>
    </row>
    <row r="494" customHeight="1" spans="1:7">
      <c r="A494" s="95" t="s">
        <v>869</v>
      </c>
      <c r="B494" s="96"/>
      <c r="C494" s="96"/>
      <c r="D494" s="96" t="s">
        <v>870</v>
      </c>
      <c r="E494" s="97" t="s">
        <v>1597</v>
      </c>
      <c r="F494" s="98"/>
      <c r="G494" s="99"/>
    </row>
    <row r="495" customHeight="1" spans="1:7">
      <c r="A495" s="100" t="s">
        <v>507</v>
      </c>
      <c r="B495" s="101"/>
      <c r="C495" s="102" t="s">
        <v>1598</v>
      </c>
      <c r="D495" s="102"/>
      <c r="E495" s="102"/>
      <c r="F495" s="103" t="s">
        <v>873</v>
      </c>
      <c r="G495" s="104" t="s">
        <v>622</v>
      </c>
    </row>
    <row r="496" customHeight="1" spans="1:7">
      <c r="A496" s="105" t="s">
        <v>875</v>
      </c>
      <c r="B496" s="102"/>
      <c r="C496" s="102"/>
      <c r="D496" s="102"/>
      <c r="E496" s="102"/>
      <c r="F496" s="102"/>
      <c r="G496" s="106"/>
    </row>
    <row r="497" customHeight="1" spans="1:7">
      <c r="A497" s="107" t="s">
        <v>912</v>
      </c>
      <c r="B497" s="108"/>
      <c r="C497" s="109"/>
      <c r="D497" s="109"/>
      <c r="E497" s="109"/>
      <c r="F497" s="109"/>
      <c r="G497" s="110"/>
    </row>
    <row r="498" customHeight="1" spans="1:7">
      <c r="A498" s="100" t="s">
        <v>34</v>
      </c>
      <c r="B498" s="103" t="s">
        <v>761</v>
      </c>
      <c r="C498" s="103"/>
      <c r="D498" s="103" t="s">
        <v>60</v>
      </c>
      <c r="E498" s="111" t="s">
        <v>877</v>
      </c>
      <c r="F498" s="103" t="s">
        <v>878</v>
      </c>
      <c r="G498" s="104" t="s">
        <v>879</v>
      </c>
    </row>
    <row r="499" customHeight="1" spans="1:7">
      <c r="A499" s="100" t="s">
        <v>8</v>
      </c>
      <c r="B499" s="112" t="s">
        <v>880</v>
      </c>
      <c r="C499" s="112"/>
      <c r="D499" s="103"/>
      <c r="E499" s="111"/>
      <c r="F499" s="111"/>
      <c r="G499" s="113">
        <f>G500+G511</f>
        <v>189.668016413793</v>
      </c>
    </row>
    <row r="500" customHeight="1" spans="1:7">
      <c r="A500" s="100" t="s">
        <v>881</v>
      </c>
      <c r="B500" s="112" t="s">
        <v>882</v>
      </c>
      <c r="C500" s="112"/>
      <c r="D500" s="103"/>
      <c r="E500" s="111"/>
      <c r="F500" s="111"/>
      <c r="G500" s="113">
        <f>G501+G504</f>
        <v>179.780110344828</v>
      </c>
    </row>
    <row r="501" customHeight="1" spans="1:7">
      <c r="A501" s="100" t="s">
        <v>17</v>
      </c>
      <c r="B501" s="112" t="s">
        <v>510</v>
      </c>
      <c r="C501" s="112"/>
      <c r="D501" s="103"/>
      <c r="E501" s="111"/>
      <c r="F501" s="111"/>
      <c r="G501" s="113">
        <f>SUM(G502:G503)</f>
        <v>144.236</v>
      </c>
    </row>
    <row r="502" customHeight="1" spans="1:7">
      <c r="A502" s="100"/>
      <c r="B502" s="112" t="s">
        <v>704</v>
      </c>
      <c r="C502" s="112"/>
      <c r="D502" s="103" t="s">
        <v>705</v>
      </c>
      <c r="E502" s="111">
        <v>15.1</v>
      </c>
      <c r="F502" s="111">
        <f>主要材料预算!$D$19</f>
        <v>8.1</v>
      </c>
      <c r="G502" s="113">
        <f t="shared" ref="G502:G509" si="46">E502*F502</f>
        <v>122.31</v>
      </c>
    </row>
    <row r="503" customHeight="1" spans="1:7">
      <c r="A503" s="100"/>
      <c r="B503" s="112" t="s">
        <v>706</v>
      </c>
      <c r="C503" s="112"/>
      <c r="D503" s="103" t="s">
        <v>705</v>
      </c>
      <c r="E503" s="111">
        <v>3.8</v>
      </c>
      <c r="F503" s="111">
        <f>主要材料预算!$D$20</f>
        <v>5.77</v>
      </c>
      <c r="G503" s="113">
        <f t="shared" si="46"/>
        <v>21.926</v>
      </c>
    </row>
    <row r="504" customHeight="1" spans="1:7">
      <c r="A504" s="100" t="s">
        <v>19</v>
      </c>
      <c r="B504" s="66" t="s">
        <v>511</v>
      </c>
      <c r="C504" s="67"/>
      <c r="D504" s="103"/>
      <c r="E504" s="111"/>
      <c r="F504" s="111"/>
      <c r="G504" s="113">
        <f>SUM(G505:G510)</f>
        <v>35.5441103448276</v>
      </c>
    </row>
    <row r="505" customHeight="1" spans="1:7">
      <c r="A505" s="100"/>
      <c r="B505" s="66" t="s">
        <v>696</v>
      </c>
      <c r="C505" s="67"/>
      <c r="D505" s="103" t="s">
        <v>1142</v>
      </c>
      <c r="E505" s="111">
        <v>0.3</v>
      </c>
      <c r="F505" s="111">
        <f>基础材料!$H$6</f>
        <v>10.8827586206897</v>
      </c>
      <c r="G505" s="113">
        <f t="shared" si="46"/>
        <v>3.2648275862069</v>
      </c>
    </row>
    <row r="506" customHeight="1" spans="1:7">
      <c r="A506" s="100"/>
      <c r="B506" s="66" t="s">
        <v>1558</v>
      </c>
      <c r="C506" s="67"/>
      <c r="D506" s="103" t="s">
        <v>1142</v>
      </c>
      <c r="E506" s="111">
        <v>0.21</v>
      </c>
      <c r="F506" s="111">
        <f>基础材料!$H$8</f>
        <v>5.2</v>
      </c>
      <c r="G506" s="113">
        <f t="shared" si="46"/>
        <v>1.092</v>
      </c>
    </row>
    <row r="507" customHeight="1" spans="1:7">
      <c r="A507" s="100"/>
      <c r="B507" s="66" t="s">
        <v>1588</v>
      </c>
      <c r="C507" s="67"/>
      <c r="D507" s="103" t="s">
        <v>1142</v>
      </c>
      <c r="E507" s="111">
        <v>1.51</v>
      </c>
      <c r="F507" s="111">
        <f>基础材料!$H$12</f>
        <v>17</v>
      </c>
      <c r="G507" s="113">
        <f t="shared" si="46"/>
        <v>25.67</v>
      </c>
    </row>
    <row r="508" customHeight="1" spans="1:7">
      <c r="A508" s="100"/>
      <c r="B508" s="66" t="s">
        <v>1559</v>
      </c>
      <c r="C508" s="67"/>
      <c r="D508" s="103" t="s">
        <v>366</v>
      </c>
      <c r="E508" s="111">
        <v>0.07</v>
      </c>
      <c r="F508" s="111">
        <f>基础材料!$H$9</f>
        <v>10</v>
      </c>
      <c r="G508" s="113">
        <f t="shared" si="46"/>
        <v>0.7</v>
      </c>
    </row>
    <row r="509" customHeight="1" spans="1:7">
      <c r="A509" s="100"/>
      <c r="B509" s="66" t="s">
        <v>1560</v>
      </c>
      <c r="C509" s="67"/>
      <c r="D509" s="103" t="s">
        <v>1142</v>
      </c>
      <c r="E509" s="111">
        <v>0.26</v>
      </c>
      <c r="F509" s="111">
        <f>基础材料!$H$10</f>
        <v>6.1</v>
      </c>
      <c r="G509" s="113">
        <f t="shared" si="46"/>
        <v>1.586</v>
      </c>
    </row>
    <row r="510" customHeight="1" spans="1:7">
      <c r="A510" s="100"/>
      <c r="B510" s="112" t="s">
        <v>893</v>
      </c>
      <c r="C510" s="112"/>
      <c r="D510" s="103" t="s">
        <v>894</v>
      </c>
      <c r="E510" s="111">
        <f>SUM(G505:G509)</f>
        <v>32.3128275862069</v>
      </c>
      <c r="F510" s="115">
        <v>10</v>
      </c>
      <c r="G510" s="113">
        <f>E510*F510/100</f>
        <v>3.23128275862069</v>
      </c>
    </row>
    <row r="511" customHeight="1" spans="1:7">
      <c r="A511" s="100" t="s">
        <v>905</v>
      </c>
      <c r="B511" s="112" t="s">
        <v>514</v>
      </c>
      <c r="C511" s="112"/>
      <c r="D511" s="103"/>
      <c r="E511" s="116">
        <f>G500</f>
        <v>179.780110344828</v>
      </c>
      <c r="F511" s="117">
        <f>费率表!$K$4</f>
        <v>0.055</v>
      </c>
      <c r="G511" s="113">
        <f t="shared" ref="G511:G515" si="47">E511*F511</f>
        <v>9.88790606896552</v>
      </c>
    </row>
    <row r="512" customHeight="1" spans="1:7">
      <c r="A512" s="100" t="s">
        <v>10</v>
      </c>
      <c r="B512" s="112" t="s">
        <v>770</v>
      </c>
      <c r="C512" s="112"/>
      <c r="D512" s="103"/>
      <c r="E512" s="111">
        <f>G499</f>
        <v>189.668016413793</v>
      </c>
      <c r="F512" s="118">
        <f>费率表!$K$5</f>
        <v>0.7</v>
      </c>
      <c r="G512" s="113">
        <f t="shared" si="47"/>
        <v>132.767611489655</v>
      </c>
    </row>
    <row r="513" customHeight="1" spans="1:7">
      <c r="A513" s="100" t="s">
        <v>12</v>
      </c>
      <c r="B513" s="112" t="s">
        <v>771</v>
      </c>
      <c r="C513" s="112"/>
      <c r="D513" s="103"/>
      <c r="E513" s="111">
        <f>G499+G512</f>
        <v>322.435627903448</v>
      </c>
      <c r="F513" s="118">
        <f>费率表!$K$6</f>
        <v>0.07</v>
      </c>
      <c r="G513" s="113">
        <f t="shared" si="47"/>
        <v>22.5704939532414</v>
      </c>
    </row>
    <row r="514" customHeight="1" spans="1:7">
      <c r="A514" s="100" t="s">
        <v>15</v>
      </c>
      <c r="B514" s="112" t="s">
        <v>772</v>
      </c>
      <c r="C514" s="112"/>
      <c r="D514" s="103"/>
      <c r="E514" s="111">
        <f>G499+G512+G513</f>
        <v>345.00612185669</v>
      </c>
      <c r="F514" s="118">
        <f>费率表!$K$7</f>
        <v>0.09</v>
      </c>
      <c r="G514" s="113">
        <f t="shared" si="47"/>
        <v>31.0505509671021</v>
      </c>
    </row>
    <row r="515" customHeight="1" spans="1:7">
      <c r="A515" s="100"/>
      <c r="B515" s="112" t="s">
        <v>907</v>
      </c>
      <c r="C515" s="112"/>
      <c r="D515" s="103"/>
      <c r="E515" s="111">
        <f>G499+G512+G513+G514</f>
        <v>376.056672823792</v>
      </c>
      <c r="F515" s="118">
        <f>费率表!$B$19</f>
        <v>0.03</v>
      </c>
      <c r="G515" s="113">
        <f t="shared" si="47"/>
        <v>11.2817001847138</v>
      </c>
    </row>
    <row r="516" customHeight="1" spans="1:7">
      <c r="A516" s="119"/>
      <c r="B516" s="120" t="s">
        <v>39</v>
      </c>
      <c r="C516" s="120"/>
      <c r="D516" s="120"/>
      <c r="E516" s="121"/>
      <c r="F516" s="120"/>
      <c r="G516" s="122">
        <f>G499+G512+G513+G514+G515</f>
        <v>387.338373008505</v>
      </c>
    </row>
    <row r="517" customHeight="1" spans="1:7">
      <c r="A517" s="94" t="s">
        <v>868</v>
      </c>
      <c r="B517" s="94"/>
      <c r="C517" s="94"/>
      <c r="D517" s="94"/>
      <c r="E517" s="94"/>
      <c r="F517" s="94"/>
      <c r="G517" s="94"/>
    </row>
    <row r="518" customHeight="1" spans="1:7">
      <c r="A518" s="95" t="s">
        <v>869</v>
      </c>
      <c r="B518" s="96"/>
      <c r="C518" s="96"/>
      <c r="D518" s="96" t="s">
        <v>870</v>
      </c>
      <c r="E518" s="97" t="s">
        <v>1599</v>
      </c>
      <c r="F518" s="98"/>
      <c r="G518" s="99"/>
    </row>
    <row r="519" customHeight="1" spans="1:7">
      <c r="A519" s="100" t="s">
        <v>507</v>
      </c>
      <c r="B519" s="101"/>
      <c r="C519" s="102" t="s">
        <v>1600</v>
      </c>
      <c r="D519" s="102"/>
      <c r="E519" s="102"/>
      <c r="F519" s="103" t="s">
        <v>873</v>
      </c>
      <c r="G519" s="104" t="s">
        <v>1601</v>
      </c>
    </row>
    <row r="520" customHeight="1" spans="1:7">
      <c r="A520" s="105" t="s">
        <v>875</v>
      </c>
      <c r="B520" s="102"/>
      <c r="C520" s="102"/>
      <c r="D520" s="102"/>
      <c r="E520" s="102"/>
      <c r="F520" s="102"/>
      <c r="G520" s="106"/>
    </row>
    <row r="521" customHeight="1" spans="1:7">
      <c r="A521" s="107" t="s">
        <v>912</v>
      </c>
      <c r="B521" s="108"/>
      <c r="C521" s="109"/>
      <c r="D521" s="109"/>
      <c r="E521" s="109"/>
      <c r="F521" s="109"/>
      <c r="G521" s="110"/>
    </row>
    <row r="522" customHeight="1" spans="1:7">
      <c r="A522" s="100" t="s">
        <v>34</v>
      </c>
      <c r="B522" s="103" t="s">
        <v>761</v>
      </c>
      <c r="C522" s="103"/>
      <c r="D522" s="103" t="s">
        <v>60</v>
      </c>
      <c r="E522" s="111" t="s">
        <v>877</v>
      </c>
      <c r="F522" s="103" t="s">
        <v>878</v>
      </c>
      <c r="G522" s="104" t="s">
        <v>879</v>
      </c>
    </row>
    <row r="523" customHeight="1" spans="1:7">
      <c r="A523" s="100" t="s">
        <v>8</v>
      </c>
      <c r="B523" s="112" t="s">
        <v>880</v>
      </c>
      <c r="C523" s="112"/>
      <c r="D523" s="103"/>
      <c r="E523" s="111"/>
      <c r="F523" s="111"/>
      <c r="G523" s="113">
        <f>G524+G534</f>
        <v>110.268370762305</v>
      </c>
    </row>
    <row r="524" customHeight="1" spans="1:7">
      <c r="A524" s="100" t="s">
        <v>881</v>
      </c>
      <c r="B524" s="112" t="s">
        <v>882</v>
      </c>
      <c r="C524" s="112"/>
      <c r="D524" s="103"/>
      <c r="E524" s="111"/>
      <c r="F524" s="111"/>
      <c r="G524" s="113">
        <f>G525+G528</f>
        <v>104.519782713085</v>
      </c>
    </row>
    <row r="525" customHeight="1" spans="1:7">
      <c r="A525" s="100" t="s">
        <v>17</v>
      </c>
      <c r="B525" s="112" t="s">
        <v>510</v>
      </c>
      <c r="C525" s="112"/>
      <c r="D525" s="103"/>
      <c r="E525" s="111"/>
      <c r="F525" s="111"/>
      <c r="G525" s="113">
        <f>SUM(G526:G527)</f>
        <v>50.431</v>
      </c>
    </row>
    <row r="526" customHeight="1" spans="1:7">
      <c r="A526" s="100"/>
      <c r="B526" s="112" t="s">
        <v>704</v>
      </c>
      <c r="C526" s="112"/>
      <c r="D526" s="103" t="s">
        <v>705</v>
      </c>
      <c r="E526" s="111">
        <v>5.3</v>
      </c>
      <c r="F526" s="111">
        <f>主要材料预算!$D$19</f>
        <v>8.1</v>
      </c>
      <c r="G526" s="113">
        <f t="shared" ref="G526:G532" si="48">E526*F526</f>
        <v>42.93</v>
      </c>
    </row>
    <row r="527" customHeight="1" spans="1:7">
      <c r="A527" s="100"/>
      <c r="B527" s="112" t="s">
        <v>706</v>
      </c>
      <c r="C527" s="112"/>
      <c r="D527" s="103" t="s">
        <v>705</v>
      </c>
      <c r="E527" s="111">
        <v>1.3</v>
      </c>
      <c r="F527" s="111">
        <f>主要材料预算!$D$20</f>
        <v>5.77</v>
      </c>
      <c r="G527" s="113">
        <f t="shared" si="48"/>
        <v>7.501</v>
      </c>
    </row>
    <row r="528" customHeight="1" spans="1:7">
      <c r="A528" s="100" t="s">
        <v>19</v>
      </c>
      <c r="B528" s="66" t="s">
        <v>511</v>
      </c>
      <c r="C528" s="67"/>
      <c r="D528" s="103"/>
      <c r="E528" s="111"/>
      <c r="F528" s="111"/>
      <c r="G528" s="113">
        <f>SUM(G529:G533)</f>
        <v>54.0887827130852</v>
      </c>
    </row>
    <row r="529" customHeight="1" spans="1:7">
      <c r="A529" s="100"/>
      <c r="B529" s="66" t="s">
        <v>694</v>
      </c>
      <c r="C529" s="67"/>
      <c r="D529" s="103" t="s">
        <v>1142</v>
      </c>
      <c r="E529" s="111">
        <v>1</v>
      </c>
      <c r="F529" s="111">
        <f>基础材料!$H$7</f>
        <v>9.0516206482593</v>
      </c>
      <c r="G529" s="113">
        <f t="shared" si="48"/>
        <v>9.0516206482593</v>
      </c>
    </row>
    <row r="530" customHeight="1" spans="1:7">
      <c r="A530" s="100"/>
      <c r="B530" s="66" t="s">
        <v>1559</v>
      </c>
      <c r="C530" s="67"/>
      <c r="D530" s="103" t="s">
        <v>366</v>
      </c>
      <c r="E530" s="111">
        <v>2.5</v>
      </c>
      <c r="F530" s="111">
        <f>基础材料!$H$9</f>
        <v>10</v>
      </c>
      <c r="G530" s="113">
        <f t="shared" si="48"/>
        <v>25</v>
      </c>
    </row>
    <row r="531" customHeight="1" spans="1:7">
      <c r="A531" s="100"/>
      <c r="B531" s="66" t="s">
        <v>1560</v>
      </c>
      <c r="C531" s="67"/>
      <c r="D531" s="103" t="s">
        <v>1142</v>
      </c>
      <c r="E531" s="111">
        <v>1.2</v>
      </c>
      <c r="F531" s="111">
        <f>基础材料!$H$10</f>
        <v>6.1</v>
      </c>
      <c r="G531" s="113">
        <f t="shared" si="48"/>
        <v>7.32</v>
      </c>
    </row>
    <row r="532" customHeight="1" spans="1:7">
      <c r="A532" s="100"/>
      <c r="B532" s="66" t="s">
        <v>1558</v>
      </c>
      <c r="C532" s="67"/>
      <c r="D532" s="103" t="s">
        <v>1142</v>
      </c>
      <c r="E532" s="111">
        <v>1.5</v>
      </c>
      <c r="F532" s="111">
        <f>基础材料!$H$8</f>
        <v>5.2</v>
      </c>
      <c r="G532" s="113">
        <f t="shared" si="48"/>
        <v>7.8</v>
      </c>
    </row>
    <row r="533" customHeight="1" spans="1:7">
      <c r="A533" s="100"/>
      <c r="B533" s="112" t="s">
        <v>893</v>
      </c>
      <c r="C533" s="112"/>
      <c r="D533" s="103" t="s">
        <v>894</v>
      </c>
      <c r="E533" s="111">
        <f>SUM(G529:G532)</f>
        <v>49.1716206482593</v>
      </c>
      <c r="F533" s="115">
        <v>10</v>
      </c>
      <c r="G533" s="113">
        <f>E533*F533/100</f>
        <v>4.91716206482593</v>
      </c>
    </row>
    <row r="534" customHeight="1" spans="1:7">
      <c r="A534" s="100" t="s">
        <v>905</v>
      </c>
      <c r="B534" s="112" t="s">
        <v>514</v>
      </c>
      <c r="C534" s="112"/>
      <c r="D534" s="103"/>
      <c r="E534" s="116">
        <f>G524</f>
        <v>104.519782713085</v>
      </c>
      <c r="F534" s="117">
        <f>费率表!$K$4</f>
        <v>0.055</v>
      </c>
      <c r="G534" s="113">
        <f t="shared" ref="G534:G538" si="49">E534*F534</f>
        <v>5.74858804921969</v>
      </c>
    </row>
    <row r="535" customHeight="1" spans="1:7">
      <c r="A535" s="100" t="s">
        <v>10</v>
      </c>
      <c r="B535" s="112" t="s">
        <v>770</v>
      </c>
      <c r="C535" s="112"/>
      <c r="D535" s="103"/>
      <c r="E535" s="111">
        <f>G523</f>
        <v>110.268370762305</v>
      </c>
      <c r="F535" s="118">
        <f>费率表!$K$5</f>
        <v>0.7</v>
      </c>
      <c r="G535" s="113">
        <f t="shared" si="49"/>
        <v>77.1878595336134</v>
      </c>
    </row>
    <row r="536" customHeight="1" spans="1:7">
      <c r="A536" s="100" t="s">
        <v>12</v>
      </c>
      <c r="B536" s="112" t="s">
        <v>771</v>
      </c>
      <c r="C536" s="112"/>
      <c r="D536" s="103"/>
      <c r="E536" s="111">
        <f>G523+G535</f>
        <v>187.456230295918</v>
      </c>
      <c r="F536" s="118">
        <f>费率表!$K$6</f>
        <v>0.07</v>
      </c>
      <c r="G536" s="113">
        <f t="shared" si="49"/>
        <v>13.1219361207143</v>
      </c>
    </row>
    <row r="537" customHeight="1" spans="1:7">
      <c r="A537" s="100" t="s">
        <v>15</v>
      </c>
      <c r="B537" s="112" t="s">
        <v>772</v>
      </c>
      <c r="C537" s="112"/>
      <c r="D537" s="103"/>
      <c r="E537" s="111">
        <f>G523+G535+G536</f>
        <v>200.578166416633</v>
      </c>
      <c r="F537" s="118">
        <f>费率表!$K$7</f>
        <v>0.09</v>
      </c>
      <c r="G537" s="113">
        <f t="shared" si="49"/>
        <v>18.0520349774969</v>
      </c>
    </row>
    <row r="538" customHeight="1" spans="1:7">
      <c r="A538" s="100"/>
      <c r="B538" s="112" t="s">
        <v>907</v>
      </c>
      <c r="C538" s="112"/>
      <c r="D538" s="103"/>
      <c r="E538" s="111">
        <f>G523+G535+G536+G537</f>
        <v>218.63020139413</v>
      </c>
      <c r="F538" s="118">
        <f>费率表!$B$19</f>
        <v>0.03</v>
      </c>
      <c r="G538" s="113">
        <f t="shared" si="49"/>
        <v>6.55890604182389</v>
      </c>
    </row>
    <row r="539" customHeight="1" spans="1:7">
      <c r="A539" s="119"/>
      <c r="B539" s="120" t="s">
        <v>39</v>
      </c>
      <c r="C539" s="120"/>
      <c r="D539" s="120"/>
      <c r="E539" s="121"/>
      <c r="F539" s="120"/>
      <c r="G539" s="122">
        <f>G523+G535+G536+G537+G538</f>
        <v>225.189107435953</v>
      </c>
    </row>
    <row r="540" customHeight="1" spans="1:7">
      <c r="A540" s="123"/>
      <c r="B540" s="123"/>
      <c r="C540" s="123"/>
      <c r="D540" s="123"/>
      <c r="E540" s="124"/>
      <c r="F540" s="123"/>
      <c r="G540" s="124"/>
    </row>
    <row r="541" customHeight="1" spans="1:7">
      <c r="A541" s="94" t="s">
        <v>868</v>
      </c>
      <c r="B541" s="94"/>
      <c r="C541" s="94"/>
      <c r="D541" s="94"/>
      <c r="E541" s="94"/>
      <c r="F541" s="94"/>
      <c r="G541" s="94"/>
    </row>
    <row r="542" customHeight="1" spans="1:7">
      <c r="A542" s="95" t="s">
        <v>869</v>
      </c>
      <c r="B542" s="96"/>
      <c r="C542" s="96"/>
      <c r="D542" s="96" t="s">
        <v>870</v>
      </c>
      <c r="E542" s="97" t="s">
        <v>1602</v>
      </c>
      <c r="F542" s="98"/>
      <c r="G542" s="99"/>
    </row>
    <row r="543" customHeight="1" spans="1:7">
      <c r="A543" s="100" t="s">
        <v>507</v>
      </c>
      <c r="B543" s="101"/>
      <c r="C543" s="102" t="s">
        <v>1603</v>
      </c>
      <c r="D543" s="102"/>
      <c r="E543" s="102"/>
      <c r="F543" s="103" t="s">
        <v>873</v>
      </c>
      <c r="G543" s="104" t="s">
        <v>1601</v>
      </c>
    </row>
    <row r="544" customHeight="1" spans="1:7">
      <c r="A544" s="105" t="s">
        <v>875</v>
      </c>
      <c r="B544" s="102"/>
      <c r="C544" s="102"/>
      <c r="D544" s="102"/>
      <c r="E544" s="102"/>
      <c r="F544" s="102"/>
      <c r="G544" s="106"/>
    </row>
    <row r="545" customHeight="1" spans="1:7">
      <c r="A545" s="107" t="s">
        <v>912</v>
      </c>
      <c r="B545" s="108"/>
      <c r="C545" s="109"/>
      <c r="D545" s="109"/>
      <c r="E545" s="109"/>
      <c r="F545" s="109"/>
      <c r="G545" s="110"/>
    </row>
    <row r="546" customHeight="1" spans="1:7">
      <c r="A546" s="100" t="s">
        <v>34</v>
      </c>
      <c r="B546" s="103" t="s">
        <v>761</v>
      </c>
      <c r="C546" s="103"/>
      <c r="D546" s="103" t="s">
        <v>60</v>
      </c>
      <c r="E546" s="111" t="s">
        <v>877</v>
      </c>
      <c r="F546" s="103" t="s">
        <v>878</v>
      </c>
      <c r="G546" s="104" t="s">
        <v>879</v>
      </c>
    </row>
    <row r="547" customHeight="1" spans="1:7">
      <c r="A547" s="100" t="s">
        <v>8</v>
      </c>
      <c r="B547" s="112" t="s">
        <v>880</v>
      </c>
      <c r="C547" s="112"/>
      <c r="D547" s="103"/>
      <c r="E547" s="111"/>
      <c r="F547" s="111"/>
      <c r="G547" s="113">
        <f>G548+G558</f>
        <v>131.814186152461</v>
      </c>
    </row>
    <row r="548" customHeight="1" spans="1:7">
      <c r="A548" s="100" t="s">
        <v>881</v>
      </c>
      <c r="B548" s="112" t="s">
        <v>882</v>
      </c>
      <c r="C548" s="112"/>
      <c r="D548" s="103"/>
      <c r="E548" s="111"/>
      <c r="F548" s="111"/>
      <c r="G548" s="113">
        <f>G549+G552</f>
        <v>124.942356542617</v>
      </c>
    </row>
    <row r="549" customHeight="1" spans="1:7">
      <c r="A549" s="100" t="s">
        <v>17</v>
      </c>
      <c r="B549" s="112" t="s">
        <v>510</v>
      </c>
      <c r="C549" s="112"/>
      <c r="D549" s="103"/>
      <c r="E549" s="111"/>
      <c r="F549" s="111"/>
      <c r="G549" s="113">
        <f>SUM(G550:G551)</f>
        <v>111.016</v>
      </c>
    </row>
    <row r="550" customHeight="1" spans="1:7">
      <c r="A550" s="100"/>
      <c r="B550" s="112" t="s">
        <v>704</v>
      </c>
      <c r="C550" s="112"/>
      <c r="D550" s="103" t="s">
        <v>705</v>
      </c>
      <c r="E550" s="111">
        <v>5.3</v>
      </c>
      <c r="F550" s="111">
        <f>主要材料预算!$D$19</f>
        <v>8.1</v>
      </c>
      <c r="G550" s="113">
        <f t="shared" ref="G550:G556" si="50">E550*F550</f>
        <v>42.93</v>
      </c>
    </row>
    <row r="551" customHeight="1" spans="1:7">
      <c r="A551" s="100"/>
      <c r="B551" s="112" t="s">
        <v>706</v>
      </c>
      <c r="C551" s="112"/>
      <c r="D551" s="103" t="s">
        <v>705</v>
      </c>
      <c r="E551" s="111">
        <v>11.8</v>
      </c>
      <c r="F551" s="111">
        <f>主要材料预算!$D$20</f>
        <v>5.77</v>
      </c>
      <c r="G551" s="113">
        <f t="shared" si="50"/>
        <v>68.086</v>
      </c>
    </row>
    <row r="552" customHeight="1" spans="1:7">
      <c r="A552" s="100" t="s">
        <v>19</v>
      </c>
      <c r="B552" s="66" t="s">
        <v>511</v>
      </c>
      <c r="C552" s="67"/>
      <c r="D552" s="103"/>
      <c r="E552" s="111"/>
      <c r="F552" s="111"/>
      <c r="G552" s="113">
        <f>SUM(G553:G557)</f>
        <v>13.926356542617</v>
      </c>
    </row>
    <row r="553" customHeight="1" spans="1:7">
      <c r="A553" s="100"/>
      <c r="B553" s="66" t="s">
        <v>694</v>
      </c>
      <c r="C553" s="67"/>
      <c r="D553" s="103" t="s">
        <v>1142</v>
      </c>
      <c r="E553" s="111">
        <v>0.2</v>
      </c>
      <c r="F553" s="111">
        <f>基础材料!$H$7</f>
        <v>9.0516206482593</v>
      </c>
      <c r="G553" s="113">
        <f t="shared" si="50"/>
        <v>1.81032412965186</v>
      </c>
    </row>
    <row r="554" customHeight="1" spans="1:7">
      <c r="A554" s="100"/>
      <c r="B554" s="66" t="s">
        <v>1604</v>
      </c>
      <c r="C554" s="67"/>
      <c r="D554" s="103" t="s">
        <v>1142</v>
      </c>
      <c r="E554" s="111"/>
      <c r="F554" s="111"/>
      <c r="G554" s="113">
        <f t="shared" si="50"/>
        <v>0</v>
      </c>
    </row>
    <row r="555" customHeight="1" spans="1:7">
      <c r="A555" s="100"/>
      <c r="B555" s="66" t="s">
        <v>1560</v>
      </c>
      <c r="C555" s="67"/>
      <c r="D555" s="103" t="s">
        <v>1142</v>
      </c>
      <c r="E555" s="111">
        <v>0.5</v>
      </c>
      <c r="F555" s="111">
        <f>基础材料!$H$10</f>
        <v>6.1</v>
      </c>
      <c r="G555" s="113">
        <f t="shared" si="50"/>
        <v>3.05</v>
      </c>
    </row>
    <row r="556" customHeight="1" spans="1:7">
      <c r="A556" s="100"/>
      <c r="B556" s="66" t="s">
        <v>1558</v>
      </c>
      <c r="C556" s="67"/>
      <c r="D556" s="103" t="s">
        <v>1142</v>
      </c>
      <c r="E556" s="111">
        <v>1.5</v>
      </c>
      <c r="F556" s="111">
        <f>基础材料!$H$8</f>
        <v>5.2</v>
      </c>
      <c r="G556" s="113">
        <f t="shared" si="50"/>
        <v>7.8</v>
      </c>
    </row>
    <row r="557" customHeight="1" spans="1:7">
      <c r="A557" s="100"/>
      <c r="B557" s="112" t="s">
        <v>893</v>
      </c>
      <c r="C557" s="112"/>
      <c r="D557" s="103" t="s">
        <v>894</v>
      </c>
      <c r="E557" s="111">
        <f>SUM(G553:G556)</f>
        <v>12.6603241296519</v>
      </c>
      <c r="F557" s="115">
        <v>10</v>
      </c>
      <c r="G557" s="113">
        <f>E557*F557/100</f>
        <v>1.26603241296519</v>
      </c>
    </row>
    <row r="558" customHeight="1" spans="1:7">
      <c r="A558" s="100" t="s">
        <v>905</v>
      </c>
      <c r="B558" s="112" t="s">
        <v>514</v>
      </c>
      <c r="C558" s="112"/>
      <c r="D558" s="103"/>
      <c r="E558" s="116">
        <f>G548</f>
        <v>124.942356542617</v>
      </c>
      <c r="F558" s="117">
        <f>费率表!$K$4</f>
        <v>0.055</v>
      </c>
      <c r="G558" s="113">
        <f t="shared" ref="G558:G562" si="51">E558*F558</f>
        <v>6.87182960984394</v>
      </c>
    </row>
    <row r="559" customHeight="1" spans="1:7">
      <c r="A559" s="100" t="s">
        <v>10</v>
      </c>
      <c r="B559" s="112" t="s">
        <v>770</v>
      </c>
      <c r="C559" s="112"/>
      <c r="D559" s="103"/>
      <c r="E559" s="111">
        <f>G547</f>
        <v>131.814186152461</v>
      </c>
      <c r="F559" s="118">
        <f>费率表!$K$5</f>
        <v>0.7</v>
      </c>
      <c r="G559" s="113">
        <f t="shared" si="51"/>
        <v>92.2699303067227</v>
      </c>
    </row>
    <row r="560" customHeight="1" spans="1:7">
      <c r="A560" s="100" t="s">
        <v>12</v>
      </c>
      <c r="B560" s="112" t="s">
        <v>771</v>
      </c>
      <c r="C560" s="112"/>
      <c r="D560" s="103"/>
      <c r="E560" s="111">
        <f>G547+G559</f>
        <v>224.084116459184</v>
      </c>
      <c r="F560" s="118">
        <f>费率表!$K$6</f>
        <v>0.07</v>
      </c>
      <c r="G560" s="113">
        <f t="shared" si="51"/>
        <v>15.6858881521429</v>
      </c>
    </row>
    <row r="561" customHeight="1" spans="1:7">
      <c r="A561" s="100" t="s">
        <v>15</v>
      </c>
      <c r="B561" s="112" t="s">
        <v>772</v>
      </c>
      <c r="C561" s="112"/>
      <c r="D561" s="103"/>
      <c r="E561" s="111">
        <f>G547+G559+G560</f>
        <v>239.770004611326</v>
      </c>
      <c r="F561" s="118">
        <f>费率表!$K$7</f>
        <v>0.09</v>
      </c>
      <c r="G561" s="113">
        <f t="shared" si="51"/>
        <v>21.5793004150194</v>
      </c>
    </row>
    <row r="562" customHeight="1" spans="1:7">
      <c r="A562" s="100"/>
      <c r="B562" s="112" t="s">
        <v>907</v>
      </c>
      <c r="C562" s="112"/>
      <c r="D562" s="103"/>
      <c r="E562" s="111">
        <f>G547+G559+G560+G561</f>
        <v>261.349305026346</v>
      </c>
      <c r="F562" s="118">
        <f>费率表!$B$19</f>
        <v>0.03</v>
      </c>
      <c r="G562" s="113">
        <f t="shared" si="51"/>
        <v>7.84047915079038</v>
      </c>
    </row>
    <row r="563" customHeight="1" spans="1:7">
      <c r="A563" s="119"/>
      <c r="B563" s="120" t="s">
        <v>39</v>
      </c>
      <c r="C563" s="120"/>
      <c r="D563" s="120"/>
      <c r="E563" s="121"/>
      <c r="F563" s="120"/>
      <c r="G563" s="122">
        <f>G547+G559+G560+G561+G562</f>
        <v>269.189784177136</v>
      </c>
    </row>
    <row r="564" customHeight="1" spans="1:7">
      <c r="A564" s="123"/>
      <c r="B564" s="123"/>
      <c r="C564" s="123"/>
      <c r="D564" s="123"/>
      <c r="E564" s="124"/>
      <c r="F564" s="123"/>
      <c r="G564" s="124"/>
    </row>
    <row r="565" customHeight="1" spans="1:7">
      <c r="A565" s="123"/>
      <c r="B565" s="123"/>
      <c r="C565" s="123"/>
      <c r="D565" s="123"/>
      <c r="E565" s="124"/>
      <c r="F565" s="123"/>
      <c r="G565" s="124"/>
    </row>
    <row r="566" customHeight="1" spans="1:7">
      <c r="A566" s="123"/>
      <c r="B566" s="123"/>
      <c r="C566" s="123"/>
      <c r="D566" s="123"/>
      <c r="E566" s="124"/>
      <c r="F566" s="123"/>
      <c r="G566" s="124"/>
    </row>
    <row r="567" customHeight="1" spans="1:7">
      <c r="A567" s="123"/>
      <c r="B567" s="123"/>
      <c r="C567" s="123"/>
      <c r="D567" s="123"/>
      <c r="E567" s="124"/>
      <c r="F567" s="123"/>
      <c r="G567" s="124"/>
    </row>
    <row r="568" customHeight="1" spans="1:7">
      <c r="A568" s="123"/>
      <c r="B568" s="123"/>
      <c r="C568" s="123"/>
      <c r="D568" s="123"/>
      <c r="E568" s="124"/>
      <c r="F568" s="123"/>
      <c r="G568" s="124"/>
    </row>
    <row r="569" customHeight="1" spans="1:7">
      <c r="A569" s="123"/>
      <c r="B569" s="123"/>
      <c r="C569" s="123"/>
      <c r="D569" s="123"/>
      <c r="E569" s="124"/>
      <c r="F569" s="123"/>
      <c r="G569" s="124"/>
    </row>
    <row r="570" customHeight="1" spans="1:7">
      <c r="A570" s="123"/>
      <c r="B570" s="123"/>
      <c r="C570" s="123"/>
      <c r="D570" s="123"/>
      <c r="E570" s="124"/>
      <c r="F570" s="123"/>
      <c r="G570" s="124"/>
    </row>
    <row r="571" customHeight="1" spans="1:7">
      <c r="A571" s="123"/>
      <c r="B571" s="123"/>
      <c r="C571" s="123"/>
      <c r="D571" s="123"/>
      <c r="E571" s="124"/>
      <c r="F571" s="123"/>
      <c r="G571" s="124"/>
    </row>
    <row r="572" customHeight="1" spans="1:7">
      <c r="A572" s="123"/>
      <c r="B572" s="123"/>
      <c r="C572" s="123"/>
      <c r="D572" s="123"/>
      <c r="E572" s="124"/>
      <c r="F572" s="123"/>
      <c r="G572" s="124"/>
    </row>
    <row r="573" customHeight="1" spans="1:7">
      <c r="A573" s="123"/>
      <c r="B573" s="123"/>
      <c r="C573" s="123"/>
      <c r="D573" s="123"/>
      <c r="E573" s="124"/>
      <c r="F573" s="123"/>
      <c r="G573" s="124"/>
    </row>
    <row r="574" customHeight="1" spans="1:7">
      <c r="A574" s="123"/>
      <c r="B574" s="123"/>
      <c r="C574" s="123"/>
      <c r="D574" s="123"/>
      <c r="E574" s="124"/>
      <c r="F574" s="123"/>
      <c r="G574" s="124"/>
    </row>
    <row r="575" customHeight="1" spans="1:7">
      <c r="A575" s="123"/>
      <c r="B575" s="123"/>
      <c r="C575" s="123"/>
      <c r="D575" s="123"/>
      <c r="E575" s="124"/>
      <c r="F575" s="123"/>
      <c r="G575" s="124"/>
    </row>
    <row r="576" customHeight="1" spans="1:7">
      <c r="A576" s="123"/>
      <c r="B576" s="123"/>
      <c r="C576" s="123"/>
      <c r="D576" s="123"/>
      <c r="E576" s="124"/>
      <c r="F576" s="123"/>
      <c r="G576" s="124"/>
    </row>
    <row r="577" customHeight="1" spans="1:7">
      <c r="A577" s="123"/>
      <c r="B577" s="123"/>
      <c r="C577" s="123"/>
      <c r="D577" s="123"/>
      <c r="E577" s="124"/>
      <c r="F577" s="123"/>
      <c r="G577" s="124"/>
    </row>
    <row r="578" customHeight="1" spans="1:7">
      <c r="A578" s="123"/>
      <c r="B578" s="123"/>
      <c r="C578" s="123"/>
      <c r="D578" s="123"/>
      <c r="E578" s="124"/>
      <c r="F578" s="123"/>
      <c r="G578" s="124"/>
    </row>
    <row r="579" customHeight="1" spans="1:7">
      <c r="A579" s="123"/>
      <c r="B579" s="123"/>
      <c r="C579" s="123"/>
      <c r="D579" s="123"/>
      <c r="E579" s="124"/>
      <c r="F579" s="123"/>
      <c r="G579" s="124"/>
    </row>
    <row r="580" customHeight="1" spans="1:7">
      <c r="A580" s="123"/>
      <c r="B580" s="123"/>
      <c r="C580" s="123"/>
      <c r="D580" s="123"/>
      <c r="E580" s="124"/>
      <c r="F580" s="123"/>
      <c r="G580" s="124"/>
    </row>
    <row r="581" customHeight="1" spans="1:7">
      <c r="A581" s="123"/>
      <c r="B581" s="123"/>
      <c r="C581" s="123"/>
      <c r="D581" s="123"/>
      <c r="E581" s="124"/>
      <c r="F581" s="123"/>
      <c r="G581" s="124"/>
    </row>
    <row r="582" customHeight="1" spans="1:7">
      <c r="A582" s="123"/>
      <c r="B582" s="123"/>
      <c r="C582" s="123"/>
      <c r="D582" s="123"/>
      <c r="E582" s="124"/>
      <c r="F582" s="123"/>
      <c r="G582" s="124"/>
    </row>
    <row r="583" customHeight="1" spans="1:7">
      <c r="A583" s="123"/>
      <c r="B583" s="123"/>
      <c r="C583" s="123"/>
      <c r="D583" s="123"/>
      <c r="E583" s="124"/>
      <c r="F583" s="123"/>
      <c r="G583" s="124"/>
    </row>
    <row r="584" customHeight="1" spans="1:7">
      <c r="A584" s="123"/>
      <c r="B584" s="123"/>
      <c r="C584" s="123"/>
      <c r="D584" s="123"/>
      <c r="E584" s="124"/>
      <c r="F584" s="123"/>
      <c r="G584" s="124"/>
    </row>
    <row r="585" customHeight="1" spans="1:7">
      <c r="A585" s="123"/>
      <c r="B585" s="123"/>
      <c r="C585" s="123"/>
      <c r="D585" s="123"/>
      <c r="E585" s="124"/>
      <c r="F585" s="123"/>
      <c r="G585" s="124"/>
    </row>
    <row r="586" customHeight="1" spans="1:7">
      <c r="A586" s="123"/>
      <c r="B586" s="123"/>
      <c r="C586" s="123"/>
      <c r="D586" s="123"/>
      <c r="E586" s="124"/>
      <c r="F586" s="123"/>
      <c r="G586" s="124"/>
    </row>
    <row r="587" customHeight="1" spans="1:7">
      <c r="A587" s="123"/>
      <c r="B587" s="123"/>
      <c r="C587" s="123"/>
      <c r="D587" s="123"/>
      <c r="E587" s="124"/>
      <c r="F587" s="123"/>
      <c r="G587" s="124"/>
    </row>
    <row r="588" customHeight="1" spans="1:7">
      <c r="A588" s="123"/>
      <c r="B588" s="123"/>
      <c r="C588" s="123"/>
      <c r="D588" s="123"/>
      <c r="E588" s="124"/>
      <c r="F588" s="123"/>
      <c r="G588" s="124"/>
    </row>
    <row r="589" customHeight="1" spans="1:7">
      <c r="A589" s="123"/>
      <c r="B589" s="123"/>
      <c r="C589" s="123"/>
      <c r="D589" s="123"/>
      <c r="E589" s="124"/>
      <c r="F589" s="123"/>
      <c r="G589" s="124"/>
    </row>
    <row r="590" customHeight="1" spans="1:7">
      <c r="A590" s="123"/>
      <c r="B590" s="123"/>
      <c r="C590" s="123"/>
      <c r="D590" s="123"/>
      <c r="E590" s="124"/>
      <c r="F590" s="123"/>
      <c r="G590" s="124"/>
    </row>
    <row r="591" customHeight="1" spans="1:7">
      <c r="A591" s="123"/>
      <c r="B591" s="123"/>
      <c r="C591" s="123"/>
      <c r="D591" s="123"/>
      <c r="E591" s="124"/>
      <c r="F591" s="123"/>
      <c r="G591" s="124"/>
    </row>
    <row r="592" customHeight="1" spans="1:7">
      <c r="A592" s="123"/>
      <c r="B592" s="123"/>
      <c r="C592" s="123"/>
      <c r="D592" s="123"/>
      <c r="E592" s="124"/>
      <c r="F592" s="123"/>
      <c r="G592" s="124"/>
    </row>
    <row r="593" customHeight="1" spans="1:7">
      <c r="A593" s="123"/>
      <c r="B593" s="123"/>
      <c r="C593" s="123"/>
      <c r="D593" s="123"/>
      <c r="E593" s="124"/>
      <c r="F593" s="123"/>
      <c r="G593" s="124"/>
    </row>
    <row r="594" customHeight="1" spans="1:7">
      <c r="A594" s="123"/>
      <c r="B594" s="123"/>
      <c r="C594" s="123"/>
      <c r="D594" s="123"/>
      <c r="E594" s="124"/>
      <c r="F594" s="123"/>
      <c r="G594" s="124"/>
    </row>
    <row r="595" customHeight="1" spans="1:7">
      <c r="A595" s="123"/>
      <c r="B595" s="123"/>
      <c r="C595" s="123"/>
      <c r="D595" s="123"/>
      <c r="E595" s="124"/>
      <c r="F595" s="123"/>
      <c r="G595" s="124"/>
    </row>
    <row r="596" customHeight="1" spans="1:7">
      <c r="A596" s="123"/>
      <c r="B596" s="123"/>
      <c r="C596" s="123"/>
      <c r="D596" s="123"/>
      <c r="E596" s="124"/>
      <c r="F596" s="123"/>
      <c r="G596" s="124"/>
    </row>
    <row r="597" customHeight="1" spans="1:7">
      <c r="A597" s="123"/>
      <c r="B597" s="123"/>
      <c r="C597" s="123"/>
      <c r="D597" s="123"/>
      <c r="E597" s="124"/>
      <c r="F597" s="123"/>
      <c r="G597" s="124"/>
    </row>
    <row r="598" customHeight="1" spans="1:7">
      <c r="A598" s="123"/>
      <c r="B598" s="123"/>
      <c r="C598" s="123"/>
      <c r="D598" s="123"/>
      <c r="E598" s="124"/>
      <c r="F598" s="123"/>
      <c r="G598" s="124"/>
    </row>
    <row r="599" customHeight="1" spans="1:7">
      <c r="A599" s="123"/>
      <c r="B599" s="123"/>
      <c r="C599" s="123"/>
      <c r="D599" s="123"/>
      <c r="E599" s="124"/>
      <c r="F599" s="123"/>
      <c r="G599" s="124"/>
    </row>
    <row r="600" customHeight="1" spans="1:7">
      <c r="A600" s="123"/>
      <c r="B600" s="123"/>
      <c r="C600" s="123"/>
      <c r="D600" s="123"/>
      <c r="E600" s="124"/>
      <c r="F600" s="123"/>
      <c r="G600" s="124"/>
    </row>
    <row r="601" customHeight="1" spans="1:7">
      <c r="A601" s="123"/>
      <c r="B601" s="123"/>
      <c r="C601" s="123"/>
      <c r="D601" s="123"/>
      <c r="E601" s="124"/>
      <c r="F601" s="123"/>
      <c r="G601" s="124"/>
    </row>
    <row r="602" customHeight="1" spans="1:7">
      <c r="A602" s="123"/>
      <c r="B602" s="123"/>
      <c r="C602" s="123"/>
      <c r="D602" s="123"/>
      <c r="E602" s="124"/>
      <c r="F602" s="123"/>
      <c r="G602" s="124"/>
    </row>
    <row r="603" customHeight="1" spans="1:7">
      <c r="A603" s="123"/>
      <c r="B603" s="123"/>
      <c r="C603" s="123"/>
      <c r="D603" s="123"/>
      <c r="E603" s="124"/>
      <c r="F603" s="123"/>
      <c r="G603" s="124"/>
    </row>
    <row r="604" customHeight="1" spans="1:7">
      <c r="A604" s="123"/>
      <c r="B604" s="123"/>
      <c r="C604" s="123"/>
      <c r="D604" s="123"/>
      <c r="E604" s="124"/>
      <c r="F604" s="123"/>
      <c r="G604" s="124"/>
    </row>
    <row r="605" customHeight="1" spans="1:7">
      <c r="A605" s="123"/>
      <c r="B605" s="123"/>
      <c r="C605" s="123"/>
      <c r="D605" s="123"/>
      <c r="E605" s="124"/>
      <c r="F605" s="123"/>
      <c r="G605" s="124"/>
    </row>
    <row r="606" customHeight="1" spans="1:7">
      <c r="A606" s="123"/>
      <c r="B606" s="123"/>
      <c r="C606" s="123"/>
      <c r="D606" s="123"/>
      <c r="E606" s="124"/>
      <c r="F606" s="123"/>
      <c r="G606" s="124"/>
    </row>
    <row r="607" customHeight="1" spans="1:7">
      <c r="A607" s="123"/>
      <c r="B607" s="123"/>
      <c r="C607" s="123"/>
      <c r="D607" s="123"/>
      <c r="E607" s="124"/>
      <c r="F607" s="123"/>
      <c r="G607" s="124"/>
    </row>
    <row r="608" customHeight="1" spans="1:7">
      <c r="A608" s="123"/>
      <c r="B608" s="123"/>
      <c r="C608" s="123"/>
      <c r="D608" s="123"/>
      <c r="E608" s="124"/>
      <c r="F608" s="123"/>
      <c r="G608" s="124"/>
    </row>
    <row r="609" customHeight="1" spans="1:7">
      <c r="A609" s="123"/>
      <c r="B609" s="123"/>
      <c r="C609" s="123"/>
      <c r="D609" s="123"/>
      <c r="E609" s="124"/>
      <c r="F609" s="123"/>
      <c r="G609" s="124"/>
    </row>
    <row r="610" customHeight="1" spans="1:7">
      <c r="A610" s="123"/>
      <c r="B610" s="123"/>
      <c r="C610" s="123"/>
      <c r="D610" s="123"/>
      <c r="E610" s="124"/>
      <c r="F610" s="123"/>
      <c r="G610" s="124"/>
    </row>
    <row r="611" customHeight="1" spans="1:7">
      <c r="A611" s="123"/>
      <c r="B611" s="123"/>
      <c r="C611" s="123"/>
      <c r="D611" s="123"/>
      <c r="E611" s="124"/>
      <c r="F611" s="123"/>
      <c r="G611" s="124"/>
    </row>
    <row r="612" customHeight="1" spans="1:7">
      <c r="A612" s="123"/>
      <c r="B612" s="123"/>
      <c r="C612" s="123"/>
      <c r="D612" s="123"/>
      <c r="E612" s="124"/>
      <c r="F612" s="123"/>
      <c r="G612" s="124"/>
    </row>
    <row r="613" customHeight="1" spans="1:7">
      <c r="A613" s="123"/>
      <c r="B613" s="123"/>
      <c r="C613" s="123"/>
      <c r="D613" s="123"/>
      <c r="E613" s="124"/>
      <c r="F613" s="123"/>
      <c r="G613" s="124"/>
    </row>
    <row r="614" customHeight="1" spans="1:7">
      <c r="A614" s="123"/>
      <c r="B614" s="123"/>
      <c r="C614" s="123"/>
      <c r="D614" s="123"/>
      <c r="E614" s="124"/>
      <c r="F614" s="123"/>
      <c r="G614" s="124"/>
    </row>
    <row r="615" customHeight="1" spans="1:7">
      <c r="A615" s="123"/>
      <c r="B615" s="123"/>
      <c r="C615" s="123"/>
      <c r="D615" s="123"/>
      <c r="E615" s="124"/>
      <c r="F615" s="123"/>
      <c r="G615" s="124"/>
    </row>
    <row r="616" customHeight="1" spans="1:7">
      <c r="A616" s="123"/>
      <c r="B616" s="123"/>
      <c r="C616" s="123"/>
      <c r="D616" s="123"/>
      <c r="E616" s="124"/>
      <c r="F616" s="123"/>
      <c r="G616" s="124"/>
    </row>
    <row r="617" customHeight="1" spans="1:7">
      <c r="A617" s="123"/>
      <c r="B617" s="123"/>
      <c r="C617" s="123"/>
      <c r="D617" s="123"/>
      <c r="E617" s="124"/>
      <c r="F617" s="123"/>
      <c r="G617" s="124"/>
    </row>
    <row r="618" customHeight="1" spans="1:7">
      <c r="A618" s="123"/>
      <c r="B618" s="123"/>
      <c r="C618" s="123"/>
      <c r="D618" s="123"/>
      <c r="E618" s="124"/>
      <c r="F618" s="123"/>
      <c r="G618" s="124"/>
    </row>
    <row r="619" customHeight="1" spans="1:7">
      <c r="A619" s="123"/>
      <c r="B619" s="123"/>
      <c r="C619" s="123"/>
      <c r="D619" s="123"/>
      <c r="E619" s="124"/>
      <c r="F619" s="123"/>
      <c r="G619" s="124"/>
    </row>
    <row r="620" customHeight="1" spans="1:7">
      <c r="A620" s="123"/>
      <c r="B620" s="123"/>
      <c r="C620" s="123"/>
      <c r="D620" s="123"/>
      <c r="E620" s="124"/>
      <c r="F620" s="123"/>
      <c r="G620" s="124"/>
    </row>
    <row r="621" customHeight="1" spans="1:7">
      <c r="A621" s="123"/>
      <c r="B621" s="123"/>
      <c r="C621" s="123"/>
      <c r="D621" s="123"/>
      <c r="E621" s="124"/>
      <c r="F621" s="123"/>
      <c r="G621" s="124"/>
    </row>
    <row r="622" customHeight="1" spans="1:7">
      <c r="A622" s="123"/>
      <c r="B622" s="123"/>
      <c r="C622" s="123"/>
      <c r="D622" s="123"/>
      <c r="E622" s="124"/>
      <c r="F622" s="123"/>
      <c r="G622" s="124"/>
    </row>
    <row r="623" customHeight="1" spans="1:7">
      <c r="A623" s="123"/>
      <c r="B623" s="123"/>
      <c r="C623" s="123"/>
      <c r="D623" s="123"/>
      <c r="E623" s="124"/>
      <c r="F623" s="123"/>
      <c r="G623" s="124"/>
    </row>
    <row r="624" customHeight="1" spans="1:7">
      <c r="A624" s="123"/>
      <c r="B624" s="123"/>
      <c r="C624" s="123"/>
      <c r="D624" s="123"/>
      <c r="E624" s="124"/>
      <c r="F624" s="123"/>
      <c r="G624" s="124"/>
    </row>
    <row r="625" customHeight="1" spans="1:7">
      <c r="A625" s="123"/>
      <c r="B625" s="123"/>
      <c r="C625" s="123"/>
      <c r="D625" s="123"/>
      <c r="E625" s="124"/>
      <c r="F625" s="123"/>
      <c r="G625" s="124"/>
    </row>
    <row r="626" customHeight="1" spans="1:7">
      <c r="A626" s="123"/>
      <c r="B626" s="123"/>
      <c r="C626" s="123"/>
      <c r="D626" s="123"/>
      <c r="E626" s="124"/>
      <c r="F626" s="123"/>
      <c r="G626" s="124"/>
    </row>
    <row r="627" customHeight="1" spans="1:7">
      <c r="A627" s="123"/>
      <c r="B627" s="123"/>
      <c r="C627" s="123"/>
      <c r="D627" s="123"/>
      <c r="E627" s="124"/>
      <c r="F627" s="123"/>
      <c r="G627" s="124"/>
    </row>
    <row r="628" customHeight="1" spans="1:7">
      <c r="A628" s="123"/>
      <c r="B628" s="123"/>
      <c r="C628" s="123"/>
      <c r="D628" s="123"/>
      <c r="E628" s="124"/>
      <c r="F628" s="123"/>
      <c r="G628" s="124"/>
    </row>
    <row r="629" customHeight="1" spans="1:7">
      <c r="A629" s="123"/>
      <c r="B629" s="123"/>
      <c r="C629" s="123"/>
      <c r="D629" s="123"/>
      <c r="E629" s="124"/>
      <c r="F629" s="123"/>
      <c r="G629" s="124"/>
    </row>
    <row r="630" customHeight="1" spans="1:7">
      <c r="A630" s="123"/>
      <c r="B630" s="123"/>
      <c r="C630" s="123"/>
      <c r="D630" s="123"/>
      <c r="E630" s="124"/>
      <c r="F630" s="123"/>
      <c r="G630" s="124"/>
    </row>
    <row r="631" customHeight="1" spans="1:7">
      <c r="A631" s="123"/>
      <c r="B631" s="123"/>
      <c r="C631" s="123"/>
      <c r="D631" s="123"/>
      <c r="E631" s="124"/>
      <c r="F631" s="123"/>
      <c r="G631" s="124"/>
    </row>
    <row r="632" customHeight="1" spans="1:7">
      <c r="A632" s="123"/>
      <c r="B632" s="123"/>
      <c r="C632" s="123"/>
      <c r="D632" s="123"/>
      <c r="E632" s="124"/>
      <c r="F632" s="123"/>
      <c r="G632" s="124"/>
    </row>
    <row r="633" customHeight="1" spans="1:7">
      <c r="A633" s="123"/>
      <c r="B633" s="123"/>
      <c r="C633" s="123"/>
      <c r="D633" s="123"/>
      <c r="E633" s="124"/>
      <c r="F633" s="123"/>
      <c r="G633" s="124"/>
    </row>
    <row r="634" customHeight="1" spans="1:7">
      <c r="A634" s="123"/>
      <c r="B634" s="123"/>
      <c r="C634" s="123"/>
      <c r="D634" s="123"/>
      <c r="E634" s="124"/>
      <c r="F634" s="123"/>
      <c r="G634" s="124"/>
    </row>
    <row r="635" customHeight="1" spans="1:7">
      <c r="A635" s="123"/>
      <c r="B635" s="123"/>
      <c r="C635" s="123"/>
      <c r="D635" s="123"/>
      <c r="E635" s="124"/>
      <c r="F635" s="123"/>
      <c r="G635" s="124"/>
    </row>
    <row r="636" customHeight="1" spans="1:7">
      <c r="A636" s="123"/>
      <c r="B636" s="123"/>
      <c r="C636" s="123"/>
      <c r="D636" s="123"/>
      <c r="E636" s="124"/>
      <c r="F636" s="123"/>
      <c r="G636" s="124"/>
    </row>
    <row r="637" customHeight="1" spans="1:7">
      <c r="A637" s="123"/>
      <c r="B637" s="123"/>
      <c r="C637" s="123"/>
      <c r="D637" s="123"/>
      <c r="E637" s="124"/>
      <c r="F637" s="123"/>
      <c r="G637" s="124"/>
    </row>
    <row r="638" customHeight="1" spans="1:7">
      <c r="A638" s="123"/>
      <c r="B638" s="123"/>
      <c r="C638" s="123"/>
      <c r="D638" s="123"/>
      <c r="E638" s="124"/>
      <c r="F638" s="123"/>
      <c r="G638" s="124"/>
    </row>
    <row r="639" customHeight="1" spans="1:7">
      <c r="A639" s="123"/>
      <c r="B639" s="123"/>
      <c r="C639" s="123"/>
      <c r="D639" s="123"/>
      <c r="E639" s="124"/>
      <c r="F639" s="123"/>
      <c r="G639" s="124"/>
    </row>
    <row r="640" customHeight="1" spans="1:7">
      <c r="A640" s="123"/>
      <c r="B640" s="123"/>
      <c r="C640" s="123"/>
      <c r="D640" s="123"/>
      <c r="E640" s="124"/>
      <c r="F640" s="123"/>
      <c r="G640" s="124"/>
    </row>
    <row r="641" customHeight="1" spans="1:7">
      <c r="A641" s="123"/>
      <c r="B641" s="123"/>
      <c r="C641" s="123"/>
      <c r="D641" s="123"/>
      <c r="E641" s="124"/>
      <c r="F641" s="123"/>
      <c r="G641" s="124"/>
    </row>
    <row r="642" customHeight="1" spans="1:7">
      <c r="A642" s="123"/>
      <c r="B642" s="123"/>
      <c r="C642" s="123"/>
      <c r="D642" s="123"/>
      <c r="E642" s="124"/>
      <c r="F642" s="123"/>
      <c r="G642" s="124"/>
    </row>
    <row r="643" customHeight="1" spans="1:7">
      <c r="A643" s="123"/>
      <c r="B643" s="123"/>
      <c r="C643" s="123"/>
      <c r="D643" s="123"/>
      <c r="E643" s="124"/>
      <c r="F643" s="123"/>
      <c r="G643" s="124"/>
    </row>
    <row r="644" customHeight="1" spans="1:7">
      <c r="A644" s="123"/>
      <c r="B644" s="123"/>
      <c r="C644" s="123"/>
      <c r="D644" s="123"/>
      <c r="E644" s="124"/>
      <c r="F644" s="123"/>
      <c r="G644" s="124"/>
    </row>
    <row r="645" customHeight="1" spans="1:7">
      <c r="A645" s="123"/>
      <c r="B645" s="123"/>
      <c r="C645" s="123"/>
      <c r="D645" s="123"/>
      <c r="E645" s="124"/>
      <c r="F645" s="123"/>
      <c r="G645" s="124"/>
    </row>
    <row r="646" customHeight="1" spans="1:7">
      <c r="A646" s="123"/>
      <c r="B646" s="123"/>
      <c r="C646" s="123"/>
      <c r="D646" s="123"/>
      <c r="E646" s="124"/>
      <c r="F646" s="123"/>
      <c r="G646" s="124"/>
    </row>
    <row r="647" customHeight="1" spans="1:7">
      <c r="A647" s="123"/>
      <c r="B647" s="123"/>
      <c r="C647" s="123"/>
      <c r="D647" s="123"/>
      <c r="E647" s="124"/>
      <c r="F647" s="123"/>
      <c r="G647" s="124"/>
    </row>
    <row r="648" customHeight="1" spans="1:7">
      <c r="A648" s="123"/>
      <c r="B648" s="123"/>
      <c r="C648" s="123"/>
      <c r="D648" s="123"/>
      <c r="E648" s="124"/>
      <c r="F648" s="123"/>
      <c r="G648" s="124"/>
    </row>
    <row r="649" customHeight="1" spans="1:7">
      <c r="A649" s="123"/>
      <c r="B649" s="123"/>
      <c r="C649" s="123"/>
      <c r="D649" s="123"/>
      <c r="E649" s="124"/>
      <c r="F649" s="123"/>
      <c r="G649" s="124"/>
    </row>
    <row r="650" customHeight="1" spans="1:7">
      <c r="A650" s="123"/>
      <c r="B650" s="123"/>
      <c r="C650" s="123"/>
      <c r="D650" s="123"/>
      <c r="E650" s="124"/>
      <c r="F650" s="123"/>
      <c r="G650" s="124"/>
    </row>
    <row r="651" customHeight="1" spans="1:7">
      <c r="A651" s="123"/>
      <c r="B651" s="123"/>
      <c r="C651" s="123"/>
      <c r="D651" s="123"/>
      <c r="E651" s="124"/>
      <c r="F651" s="123"/>
      <c r="G651" s="124"/>
    </row>
    <row r="652" customHeight="1" spans="1:7">
      <c r="A652" s="123"/>
      <c r="B652" s="123"/>
      <c r="C652" s="123"/>
      <c r="D652" s="123"/>
      <c r="E652" s="124"/>
      <c r="F652" s="123"/>
      <c r="G652" s="124"/>
    </row>
    <row r="653" customHeight="1" spans="1:7">
      <c r="A653" s="123"/>
      <c r="B653" s="123"/>
      <c r="C653" s="123"/>
      <c r="D653" s="123"/>
      <c r="E653" s="124"/>
      <c r="F653" s="123"/>
      <c r="G653" s="124"/>
    </row>
    <row r="654" customHeight="1" spans="1:7">
      <c r="A654" s="123"/>
      <c r="B654" s="123"/>
      <c r="C654" s="123"/>
      <c r="D654" s="123"/>
      <c r="E654" s="124"/>
      <c r="F654" s="123"/>
      <c r="G654" s="124"/>
    </row>
    <row r="655" customHeight="1" spans="1:7">
      <c r="A655" s="123"/>
      <c r="B655" s="123"/>
      <c r="C655" s="123"/>
      <c r="D655" s="123"/>
      <c r="E655" s="124"/>
      <c r="F655" s="123"/>
      <c r="G655" s="124"/>
    </row>
    <row r="656" customHeight="1" spans="1:7">
      <c r="A656" s="123"/>
      <c r="B656" s="123"/>
      <c r="C656" s="123"/>
      <c r="D656" s="123"/>
      <c r="E656" s="124"/>
      <c r="F656" s="123"/>
      <c r="G656" s="124"/>
    </row>
    <row r="657" customHeight="1" spans="1:7">
      <c r="A657" s="123"/>
      <c r="B657" s="123"/>
      <c r="C657" s="123"/>
      <c r="D657" s="123"/>
      <c r="E657" s="124"/>
      <c r="F657" s="123"/>
      <c r="G657" s="124"/>
    </row>
    <row r="658" customHeight="1" spans="1:7">
      <c r="A658" s="123"/>
      <c r="B658" s="123"/>
      <c r="C658" s="123"/>
      <c r="D658" s="123"/>
      <c r="E658" s="124"/>
      <c r="F658" s="123"/>
      <c r="G658" s="124"/>
    </row>
    <row r="659" customHeight="1" spans="1:7">
      <c r="A659" s="123"/>
      <c r="B659" s="123"/>
      <c r="C659" s="123"/>
      <c r="D659" s="123"/>
      <c r="E659" s="124"/>
      <c r="F659" s="123"/>
      <c r="G659" s="124"/>
    </row>
    <row r="660" customHeight="1" spans="1:7">
      <c r="A660" s="123"/>
      <c r="B660" s="123"/>
      <c r="C660" s="123"/>
      <c r="D660" s="123"/>
      <c r="E660" s="124"/>
      <c r="F660" s="123"/>
      <c r="G660" s="124"/>
    </row>
    <row r="661" customHeight="1" spans="1:7">
      <c r="A661" s="123"/>
      <c r="B661" s="123"/>
      <c r="C661" s="123"/>
      <c r="D661" s="123"/>
      <c r="E661" s="124"/>
      <c r="F661" s="123"/>
      <c r="G661" s="124"/>
    </row>
    <row r="662" customHeight="1" spans="1:7">
      <c r="A662" s="123"/>
      <c r="B662" s="123"/>
      <c r="C662" s="123"/>
      <c r="D662" s="123"/>
      <c r="E662" s="124"/>
      <c r="F662" s="123"/>
      <c r="G662" s="124"/>
    </row>
    <row r="663" customHeight="1" spans="1:7">
      <c r="A663" s="123"/>
      <c r="B663" s="123"/>
      <c r="C663" s="123"/>
      <c r="D663" s="123"/>
      <c r="E663" s="124"/>
      <c r="F663" s="123"/>
      <c r="G663" s="124"/>
    </row>
    <row r="664" customHeight="1" spans="1:7">
      <c r="A664" s="123"/>
      <c r="B664" s="123"/>
      <c r="C664" s="123"/>
      <c r="D664" s="123"/>
      <c r="E664" s="124"/>
      <c r="F664" s="123"/>
      <c r="G664" s="124"/>
    </row>
    <row r="665" customHeight="1" spans="1:7">
      <c r="A665" s="123"/>
      <c r="B665" s="123"/>
      <c r="C665" s="123"/>
      <c r="D665" s="123"/>
      <c r="E665" s="124"/>
      <c r="F665" s="123"/>
      <c r="G665" s="124"/>
    </row>
    <row r="666" customHeight="1" spans="1:7">
      <c r="A666" s="123"/>
      <c r="B666" s="123"/>
      <c r="C666" s="123"/>
      <c r="D666" s="123"/>
      <c r="E666" s="124"/>
      <c r="F666" s="123"/>
      <c r="G666" s="124"/>
    </row>
    <row r="667" customHeight="1" spans="1:7">
      <c r="A667" s="123"/>
      <c r="B667" s="123"/>
      <c r="C667" s="123"/>
      <c r="D667" s="123"/>
      <c r="E667" s="124"/>
      <c r="F667" s="123"/>
      <c r="G667" s="124"/>
    </row>
    <row r="668" customHeight="1" spans="1:7">
      <c r="A668" s="123"/>
      <c r="B668" s="123"/>
      <c r="C668" s="123"/>
      <c r="D668" s="123"/>
      <c r="E668" s="124"/>
      <c r="F668" s="123"/>
      <c r="G668" s="124"/>
    </row>
    <row r="669" customHeight="1" spans="1:7">
      <c r="A669" s="123"/>
      <c r="B669" s="123"/>
      <c r="C669" s="123"/>
      <c r="D669" s="123"/>
      <c r="E669" s="124"/>
      <c r="F669" s="123"/>
      <c r="G669" s="124"/>
    </row>
    <row r="670" customHeight="1" spans="1:7">
      <c r="A670" s="123"/>
      <c r="B670" s="123"/>
      <c r="C670" s="123"/>
      <c r="D670" s="123"/>
      <c r="E670" s="124"/>
      <c r="F670" s="123"/>
      <c r="G670" s="124"/>
    </row>
    <row r="671" customHeight="1" spans="1:7">
      <c r="A671" s="123"/>
      <c r="B671" s="123"/>
      <c r="C671" s="123"/>
      <c r="D671" s="123"/>
      <c r="E671" s="124"/>
      <c r="F671" s="123"/>
      <c r="G671" s="124"/>
    </row>
    <row r="672" customHeight="1" spans="1:7">
      <c r="A672" s="123"/>
      <c r="B672" s="123"/>
      <c r="C672" s="123"/>
      <c r="D672" s="123"/>
      <c r="E672" s="124"/>
      <c r="F672" s="123"/>
      <c r="G672" s="124"/>
    </row>
    <row r="673" customHeight="1" spans="1:7">
      <c r="A673" s="123"/>
      <c r="B673" s="123"/>
      <c r="C673" s="123"/>
      <c r="D673" s="123"/>
      <c r="E673" s="124"/>
      <c r="F673" s="123"/>
      <c r="G673" s="124"/>
    </row>
    <row r="674" customHeight="1" spans="1:7">
      <c r="A674" s="123"/>
      <c r="B674" s="123"/>
      <c r="C674" s="123"/>
      <c r="D674" s="123"/>
      <c r="E674" s="124"/>
      <c r="F674" s="123"/>
      <c r="G674" s="124"/>
    </row>
    <row r="675" customHeight="1" spans="1:7">
      <c r="A675" s="123"/>
      <c r="B675" s="123"/>
      <c r="C675" s="123"/>
      <c r="D675" s="123"/>
      <c r="E675" s="124"/>
      <c r="F675" s="123"/>
      <c r="G675" s="124"/>
    </row>
    <row r="676" customHeight="1" spans="1:7">
      <c r="A676" s="123"/>
      <c r="B676" s="123"/>
      <c r="C676" s="123"/>
      <c r="D676" s="123"/>
      <c r="E676" s="124"/>
      <c r="F676" s="123"/>
      <c r="G676" s="124"/>
    </row>
    <row r="677" customHeight="1" spans="1:7">
      <c r="A677" s="123"/>
      <c r="B677" s="123"/>
      <c r="C677" s="123"/>
      <c r="D677" s="123"/>
      <c r="E677" s="124"/>
      <c r="F677" s="123"/>
      <c r="G677" s="124"/>
    </row>
    <row r="678" customHeight="1" spans="1:7">
      <c r="A678" s="123"/>
      <c r="B678" s="123"/>
      <c r="C678" s="123"/>
      <c r="D678" s="123"/>
      <c r="E678" s="124"/>
      <c r="F678" s="123"/>
      <c r="G678" s="124"/>
    </row>
    <row r="679" customHeight="1" spans="1:7">
      <c r="A679" s="123"/>
      <c r="B679" s="123"/>
      <c r="C679" s="123"/>
      <c r="D679" s="123"/>
      <c r="E679" s="124"/>
      <c r="F679" s="123"/>
      <c r="G679" s="124"/>
    </row>
    <row r="680" customHeight="1" spans="1:7">
      <c r="A680" s="123"/>
      <c r="B680" s="123"/>
      <c r="C680" s="123"/>
      <c r="D680" s="123"/>
      <c r="E680" s="124"/>
      <c r="F680" s="123"/>
      <c r="G680" s="124"/>
    </row>
    <row r="681" customHeight="1" spans="1:7">
      <c r="A681" s="123"/>
      <c r="B681" s="123"/>
      <c r="C681" s="123"/>
      <c r="D681" s="123"/>
      <c r="E681" s="124"/>
      <c r="F681" s="123"/>
      <c r="G681" s="124"/>
    </row>
    <row r="682" customHeight="1" spans="1:7">
      <c r="A682" s="123"/>
      <c r="B682" s="123"/>
      <c r="C682" s="123"/>
      <c r="D682" s="123"/>
      <c r="E682" s="124"/>
      <c r="F682" s="123"/>
      <c r="G682" s="124"/>
    </row>
    <row r="683" customHeight="1" spans="1:7">
      <c r="A683" s="123"/>
      <c r="B683" s="123"/>
      <c r="C683" s="123"/>
      <c r="D683" s="123"/>
      <c r="E683" s="124"/>
      <c r="F683" s="123"/>
      <c r="G683" s="124"/>
    </row>
    <row r="684" customHeight="1" spans="1:7">
      <c r="A684" s="123"/>
      <c r="B684" s="123"/>
      <c r="C684" s="123"/>
      <c r="D684" s="123"/>
      <c r="E684" s="124"/>
      <c r="F684" s="123"/>
      <c r="G684" s="124"/>
    </row>
    <row r="685" customHeight="1" spans="1:7">
      <c r="A685" s="123"/>
      <c r="B685" s="123"/>
      <c r="C685" s="123"/>
      <c r="D685" s="123"/>
      <c r="E685" s="124"/>
      <c r="F685" s="123"/>
      <c r="G685" s="124"/>
    </row>
    <row r="686" customHeight="1" spans="1:7">
      <c r="A686" s="123"/>
      <c r="B686" s="123"/>
      <c r="C686" s="123"/>
      <c r="D686" s="123"/>
      <c r="E686" s="124"/>
      <c r="F686" s="123"/>
      <c r="G686" s="124"/>
    </row>
    <row r="687" customHeight="1" spans="1:7">
      <c r="A687" s="123"/>
      <c r="B687" s="123"/>
      <c r="C687" s="123"/>
      <c r="D687" s="123"/>
      <c r="E687" s="124"/>
      <c r="F687" s="123"/>
      <c r="G687" s="124"/>
    </row>
    <row r="688" customHeight="1" spans="1:7">
      <c r="A688" s="123"/>
      <c r="B688" s="123"/>
      <c r="C688" s="123"/>
      <c r="D688" s="123"/>
      <c r="E688" s="124"/>
      <c r="F688" s="123"/>
      <c r="G688" s="124"/>
    </row>
    <row r="689" customHeight="1" spans="1:7">
      <c r="A689" s="123"/>
      <c r="B689" s="123"/>
      <c r="C689" s="123"/>
      <c r="D689" s="123"/>
      <c r="E689" s="124"/>
      <c r="F689" s="123"/>
      <c r="G689" s="124"/>
    </row>
    <row r="690" customHeight="1" spans="1:7">
      <c r="A690" s="123"/>
      <c r="B690" s="123"/>
      <c r="C690" s="123"/>
      <c r="D690" s="123"/>
      <c r="E690" s="124"/>
      <c r="F690" s="123"/>
      <c r="G690" s="124"/>
    </row>
    <row r="691" customHeight="1" spans="1:7">
      <c r="A691" s="123"/>
      <c r="B691" s="123"/>
      <c r="C691" s="123"/>
      <c r="D691" s="123"/>
      <c r="E691" s="124"/>
      <c r="F691" s="123"/>
      <c r="G691" s="124"/>
    </row>
    <row r="692" customHeight="1" spans="1:7">
      <c r="A692" s="123"/>
      <c r="B692" s="123"/>
      <c r="C692" s="123"/>
      <c r="D692" s="123"/>
      <c r="E692" s="124"/>
      <c r="F692" s="123"/>
      <c r="G692" s="124"/>
    </row>
    <row r="693" customHeight="1" spans="1:7">
      <c r="A693" s="123"/>
      <c r="B693" s="123"/>
      <c r="C693" s="123"/>
      <c r="D693" s="123"/>
      <c r="E693" s="124"/>
      <c r="F693" s="123"/>
      <c r="G693" s="124"/>
    </row>
    <row r="694" customHeight="1" spans="1:7">
      <c r="A694" s="123"/>
      <c r="B694" s="123"/>
      <c r="C694" s="123"/>
      <c r="D694" s="123"/>
      <c r="E694" s="124"/>
      <c r="F694" s="123"/>
      <c r="G694" s="124"/>
    </row>
    <row r="695" customHeight="1" spans="1:7">
      <c r="A695" s="123"/>
      <c r="B695" s="123"/>
      <c r="C695" s="123"/>
      <c r="D695" s="123"/>
      <c r="E695" s="124"/>
      <c r="F695" s="123"/>
      <c r="G695" s="124"/>
    </row>
    <row r="696" customHeight="1" spans="1:7">
      <c r="A696" s="123"/>
      <c r="B696" s="123"/>
      <c r="C696" s="123"/>
      <c r="D696" s="123"/>
      <c r="E696" s="124"/>
      <c r="F696" s="123"/>
      <c r="G696" s="124"/>
    </row>
    <row r="697" customHeight="1" spans="1:7">
      <c r="A697" s="123"/>
      <c r="B697" s="123"/>
      <c r="C697" s="123"/>
      <c r="D697" s="123"/>
      <c r="E697" s="124"/>
      <c r="F697" s="123"/>
      <c r="G697" s="124"/>
    </row>
    <row r="698" customHeight="1" spans="1:7">
      <c r="A698" s="123"/>
      <c r="B698" s="123"/>
      <c r="C698" s="123"/>
      <c r="D698" s="123"/>
      <c r="E698" s="124"/>
      <c r="F698" s="123"/>
      <c r="G698" s="124"/>
    </row>
    <row r="699" customHeight="1" spans="1:7">
      <c r="A699" s="123"/>
      <c r="B699" s="123"/>
      <c r="C699" s="123"/>
      <c r="D699" s="123"/>
      <c r="E699" s="124"/>
      <c r="F699" s="123"/>
      <c r="G699" s="124"/>
    </row>
    <row r="700" customHeight="1" spans="1:7">
      <c r="A700" s="123"/>
      <c r="B700" s="123"/>
      <c r="C700" s="123"/>
      <c r="D700" s="123"/>
      <c r="E700" s="124"/>
      <c r="F700" s="123"/>
      <c r="G700" s="124"/>
    </row>
    <row r="701" customHeight="1" spans="1:7">
      <c r="A701" s="123"/>
      <c r="B701" s="123"/>
      <c r="C701" s="123"/>
      <c r="D701" s="123"/>
      <c r="E701" s="124"/>
      <c r="F701" s="123"/>
      <c r="G701" s="124"/>
    </row>
    <row r="702" customHeight="1" spans="1:7">
      <c r="A702" s="123"/>
      <c r="B702" s="123"/>
      <c r="C702" s="123"/>
      <c r="D702" s="123"/>
      <c r="E702" s="124"/>
      <c r="F702" s="123"/>
      <c r="G702" s="124"/>
    </row>
    <row r="703" customHeight="1" spans="1:7">
      <c r="A703" s="123"/>
      <c r="B703" s="123"/>
      <c r="C703" s="123"/>
      <c r="D703" s="123"/>
      <c r="E703" s="124"/>
      <c r="F703" s="123"/>
      <c r="G703" s="124"/>
    </row>
    <row r="704" customHeight="1" spans="1:7">
      <c r="A704" s="123"/>
      <c r="B704" s="123"/>
      <c r="C704" s="123"/>
      <c r="D704" s="123"/>
      <c r="E704" s="124"/>
      <c r="F704" s="123"/>
      <c r="G704" s="124"/>
    </row>
    <row r="705" customHeight="1" spans="1:7">
      <c r="A705" s="123"/>
      <c r="B705" s="123"/>
      <c r="C705" s="123"/>
      <c r="D705" s="123"/>
      <c r="E705" s="124"/>
      <c r="F705" s="123"/>
      <c r="G705" s="124"/>
    </row>
    <row r="706" customHeight="1" spans="1:7">
      <c r="A706" s="123"/>
      <c r="B706" s="123"/>
      <c r="C706" s="123"/>
      <c r="D706" s="123"/>
      <c r="E706" s="124"/>
      <c r="F706" s="123"/>
      <c r="G706" s="124"/>
    </row>
    <row r="707" customHeight="1" spans="1:7">
      <c r="A707" s="123"/>
      <c r="B707" s="123"/>
      <c r="C707" s="123"/>
      <c r="D707" s="123"/>
      <c r="E707" s="124"/>
      <c r="F707" s="123"/>
      <c r="G707" s="124"/>
    </row>
    <row r="708" customHeight="1" spans="1:7">
      <c r="A708" s="123"/>
      <c r="B708" s="123"/>
      <c r="C708" s="123"/>
      <c r="D708" s="123"/>
      <c r="E708" s="124"/>
      <c r="F708" s="123"/>
      <c r="G708" s="124"/>
    </row>
    <row r="709" customHeight="1" spans="1:7">
      <c r="A709" s="123"/>
      <c r="B709" s="123"/>
      <c r="C709" s="123"/>
      <c r="D709" s="123"/>
      <c r="E709" s="124"/>
      <c r="F709" s="123"/>
      <c r="G709" s="124"/>
    </row>
    <row r="710" customHeight="1" spans="1:7">
      <c r="A710" s="123"/>
      <c r="B710" s="123"/>
      <c r="C710" s="123"/>
      <c r="D710" s="123"/>
      <c r="E710" s="124"/>
      <c r="F710" s="123"/>
      <c r="G710" s="124"/>
    </row>
    <row r="711" customHeight="1" spans="1:7">
      <c r="A711" s="123"/>
      <c r="B711" s="123"/>
      <c r="C711" s="123"/>
      <c r="D711" s="123"/>
      <c r="E711" s="124"/>
      <c r="F711" s="123"/>
      <c r="G711" s="124"/>
    </row>
    <row r="712" customHeight="1" spans="1:7">
      <c r="A712" s="123"/>
      <c r="B712" s="123"/>
      <c r="C712" s="123"/>
      <c r="D712" s="123"/>
      <c r="E712" s="124"/>
      <c r="F712" s="123"/>
      <c r="G712" s="124"/>
    </row>
    <row r="713" customHeight="1" spans="1:7">
      <c r="A713" s="123"/>
      <c r="B713" s="123"/>
      <c r="C713" s="123"/>
      <c r="D713" s="123"/>
      <c r="E713" s="124"/>
      <c r="F713" s="123"/>
      <c r="G713" s="124"/>
    </row>
    <row r="714" customHeight="1" spans="1:7">
      <c r="A714" s="123"/>
      <c r="B714" s="123"/>
      <c r="C714" s="123"/>
      <c r="D714" s="123"/>
      <c r="E714" s="124"/>
      <c r="F714" s="123"/>
      <c r="G714" s="124"/>
    </row>
    <row r="715" customHeight="1" spans="1:7">
      <c r="A715" s="123"/>
      <c r="B715" s="123"/>
      <c r="C715" s="123"/>
      <c r="D715" s="123"/>
      <c r="E715" s="124"/>
      <c r="F715" s="123"/>
      <c r="G715" s="124"/>
    </row>
    <row r="716" customHeight="1" spans="1:7">
      <c r="A716" s="123"/>
      <c r="B716" s="123"/>
      <c r="C716" s="123"/>
      <c r="D716" s="123"/>
      <c r="E716" s="124"/>
      <c r="F716" s="123"/>
      <c r="G716" s="124"/>
    </row>
    <row r="717" customHeight="1" spans="1:7">
      <c r="A717" s="123"/>
      <c r="B717" s="123"/>
      <c r="C717" s="123"/>
      <c r="D717" s="123"/>
      <c r="E717" s="124"/>
      <c r="F717" s="123"/>
      <c r="G717" s="124"/>
    </row>
    <row r="718" customHeight="1" spans="1:7">
      <c r="A718" s="123"/>
      <c r="B718" s="123"/>
      <c r="C718" s="123"/>
      <c r="D718" s="123"/>
      <c r="E718" s="124"/>
      <c r="F718" s="123"/>
      <c r="G718" s="124"/>
    </row>
    <row r="719" customHeight="1" spans="1:7">
      <c r="A719" s="123"/>
      <c r="B719" s="123"/>
      <c r="C719" s="123"/>
      <c r="D719" s="123"/>
      <c r="E719" s="124"/>
      <c r="F719" s="123"/>
      <c r="G719" s="124"/>
    </row>
    <row r="720" customHeight="1" spans="1:7">
      <c r="A720" s="123"/>
      <c r="B720" s="123"/>
      <c r="C720" s="123"/>
      <c r="D720" s="123"/>
      <c r="E720" s="124"/>
      <c r="F720" s="123"/>
      <c r="G720" s="124"/>
    </row>
    <row r="721" customHeight="1" spans="1:7">
      <c r="A721" s="123"/>
      <c r="B721" s="123"/>
      <c r="C721" s="123"/>
      <c r="D721" s="123"/>
      <c r="E721" s="124"/>
      <c r="F721" s="123"/>
      <c r="G721" s="124"/>
    </row>
    <row r="722" customHeight="1" spans="1:7">
      <c r="A722" s="123"/>
      <c r="B722" s="123"/>
      <c r="C722" s="123"/>
      <c r="D722" s="123"/>
      <c r="E722" s="124"/>
      <c r="F722" s="123"/>
      <c r="G722" s="124"/>
    </row>
    <row r="723" customHeight="1" spans="1:7">
      <c r="A723" s="123"/>
      <c r="B723" s="123"/>
      <c r="C723" s="123"/>
      <c r="D723" s="123"/>
      <c r="E723" s="124"/>
      <c r="F723" s="123"/>
      <c r="G723" s="124"/>
    </row>
    <row r="724" customHeight="1" spans="1:7">
      <c r="A724" s="123"/>
      <c r="B724" s="123"/>
      <c r="C724" s="123"/>
      <c r="D724" s="123"/>
      <c r="E724" s="124"/>
      <c r="F724" s="123"/>
      <c r="G724" s="124"/>
    </row>
    <row r="725" customHeight="1" spans="1:7">
      <c r="A725" s="123"/>
      <c r="B725" s="123"/>
      <c r="C725" s="123"/>
      <c r="D725" s="123"/>
      <c r="E725" s="124"/>
      <c r="F725" s="123"/>
      <c r="G725" s="124"/>
    </row>
    <row r="726" customHeight="1" spans="1:7">
      <c r="A726" s="123"/>
      <c r="B726" s="123"/>
      <c r="C726" s="123"/>
      <c r="D726" s="123"/>
      <c r="E726" s="124"/>
      <c r="F726" s="123"/>
      <c r="G726" s="124"/>
    </row>
    <row r="727" customHeight="1" spans="1:7">
      <c r="A727" s="123"/>
      <c r="B727" s="123"/>
      <c r="C727" s="123"/>
      <c r="D727" s="123"/>
      <c r="E727" s="124"/>
      <c r="F727" s="123"/>
      <c r="G727" s="124"/>
    </row>
    <row r="728" customHeight="1" spans="1:7">
      <c r="A728" s="123"/>
      <c r="B728" s="123"/>
      <c r="C728" s="123"/>
      <c r="D728" s="123"/>
      <c r="E728" s="124"/>
      <c r="F728" s="123"/>
      <c r="G728" s="124"/>
    </row>
    <row r="729" customHeight="1" spans="1:7">
      <c r="A729" s="123"/>
      <c r="B729" s="123"/>
      <c r="C729" s="123"/>
      <c r="D729" s="123"/>
      <c r="E729" s="124"/>
      <c r="F729" s="123"/>
      <c r="G729" s="124"/>
    </row>
    <row r="730" customHeight="1" spans="1:7">
      <c r="A730" s="123"/>
      <c r="B730" s="123"/>
      <c r="C730" s="123"/>
      <c r="D730" s="123"/>
      <c r="E730" s="124"/>
      <c r="F730" s="123"/>
      <c r="G730" s="124"/>
    </row>
    <row r="731" customHeight="1" spans="1:7">
      <c r="A731" s="123"/>
      <c r="B731" s="123"/>
      <c r="C731" s="123"/>
      <c r="D731" s="123"/>
      <c r="E731" s="124"/>
      <c r="F731" s="123"/>
      <c r="G731" s="124"/>
    </row>
    <row r="732" customHeight="1" spans="1:7">
      <c r="A732" s="123"/>
      <c r="B732" s="123"/>
      <c r="C732" s="123"/>
      <c r="D732" s="123"/>
      <c r="E732" s="124"/>
      <c r="F732" s="123"/>
      <c r="G732" s="124"/>
    </row>
    <row r="733" customHeight="1" spans="1:7">
      <c r="A733" s="123"/>
      <c r="B733" s="123"/>
      <c r="C733" s="123"/>
      <c r="D733" s="123"/>
      <c r="E733" s="124"/>
      <c r="F733" s="123"/>
      <c r="G733" s="124"/>
    </row>
    <row r="734" customHeight="1" spans="1:7">
      <c r="A734" s="123"/>
      <c r="B734" s="123"/>
      <c r="C734" s="123"/>
      <c r="D734" s="123"/>
      <c r="E734" s="124"/>
      <c r="F734" s="123"/>
      <c r="G734" s="124"/>
    </row>
    <row r="735" customHeight="1" spans="1:7">
      <c r="A735" s="123"/>
      <c r="B735" s="123"/>
      <c r="C735" s="123"/>
      <c r="D735" s="123"/>
      <c r="E735" s="124"/>
      <c r="F735" s="123"/>
      <c r="G735" s="124"/>
    </row>
    <row r="736" customHeight="1" spans="1:7">
      <c r="A736" s="123"/>
      <c r="B736" s="123"/>
      <c r="C736" s="123"/>
      <c r="D736" s="123"/>
      <c r="E736" s="124"/>
      <c r="F736" s="123"/>
      <c r="G736" s="124"/>
    </row>
    <row r="737" customHeight="1" spans="1:7">
      <c r="A737" s="123"/>
      <c r="B737" s="123"/>
      <c r="C737" s="123"/>
      <c r="D737" s="123"/>
      <c r="E737" s="124"/>
      <c r="F737" s="123"/>
      <c r="G737" s="124"/>
    </row>
    <row r="738" customHeight="1" spans="1:7">
      <c r="A738" s="123"/>
      <c r="B738" s="123"/>
      <c r="C738" s="123"/>
      <c r="D738" s="123"/>
      <c r="E738" s="124"/>
      <c r="F738" s="123"/>
      <c r="G738" s="124"/>
    </row>
    <row r="739" customHeight="1" spans="1:7">
      <c r="A739" s="126" t="s">
        <v>868</v>
      </c>
      <c r="B739" s="126"/>
      <c r="C739" s="126"/>
      <c r="D739" s="126"/>
      <c r="E739" s="126"/>
      <c r="F739" s="126"/>
      <c r="G739" s="126"/>
    </row>
    <row r="740" customHeight="1" spans="1:7">
      <c r="A740" s="127" t="s">
        <v>869</v>
      </c>
      <c r="B740" s="128"/>
      <c r="C740" s="129"/>
      <c r="D740" s="129" t="s">
        <v>870</v>
      </c>
      <c r="E740" s="130" t="s">
        <v>1318</v>
      </c>
      <c r="F740" s="131"/>
      <c r="G740" s="132"/>
    </row>
    <row r="741" customHeight="1" spans="1:7">
      <c r="A741" s="133" t="s">
        <v>507</v>
      </c>
      <c r="B741" s="134"/>
      <c r="C741" s="135" t="s">
        <v>1319</v>
      </c>
      <c r="D741" s="136"/>
      <c r="E741" s="137"/>
      <c r="F741" s="61" t="s">
        <v>873</v>
      </c>
      <c r="G741" s="138" t="s">
        <v>874</v>
      </c>
    </row>
    <row r="742" customHeight="1" spans="1:7">
      <c r="A742" s="139" t="s">
        <v>1320</v>
      </c>
      <c r="B742" s="136"/>
      <c r="C742" s="136"/>
      <c r="D742" s="136"/>
      <c r="E742" s="136"/>
      <c r="F742" s="136"/>
      <c r="G742" s="140"/>
    </row>
    <row r="743" customHeight="1" spans="1:7">
      <c r="A743" s="141" t="s">
        <v>1321</v>
      </c>
      <c r="B743" s="142"/>
      <c r="C743" s="142"/>
      <c r="D743" s="142"/>
      <c r="E743" s="142"/>
      <c r="F743" s="142"/>
      <c r="G743" s="143"/>
    </row>
    <row r="744" customHeight="1" spans="1:7">
      <c r="A744" s="144" t="s">
        <v>34</v>
      </c>
      <c r="B744" s="145" t="s">
        <v>761</v>
      </c>
      <c r="C744" s="146"/>
      <c r="D744" s="61" t="s">
        <v>60</v>
      </c>
      <c r="E744" s="147" t="s">
        <v>877</v>
      </c>
      <c r="F744" s="61" t="s">
        <v>878</v>
      </c>
      <c r="G744" s="138" t="s">
        <v>879</v>
      </c>
    </row>
    <row r="745" customHeight="1" spans="1:7">
      <c r="A745" s="144" t="s">
        <v>8</v>
      </c>
      <c r="B745" s="148" t="s">
        <v>880</v>
      </c>
      <c r="C745" s="149"/>
      <c r="D745" s="61"/>
      <c r="E745" s="147"/>
      <c r="F745" s="147"/>
      <c r="G745" s="150">
        <f>G746+G754</f>
        <v>1171.07481132602</v>
      </c>
    </row>
    <row r="746" customHeight="1" spans="1:7">
      <c r="A746" s="144" t="s">
        <v>881</v>
      </c>
      <c r="B746" s="148" t="s">
        <v>882</v>
      </c>
      <c r="C746" s="149"/>
      <c r="D746" s="61"/>
      <c r="E746" s="147"/>
      <c r="F746" s="147"/>
      <c r="G746" s="150">
        <f>G747+G750+G752</f>
        <v>1117.43779706681</v>
      </c>
    </row>
    <row r="747" customHeight="1" spans="1:7">
      <c r="A747" s="144" t="s">
        <v>17</v>
      </c>
      <c r="B747" s="148" t="s">
        <v>510</v>
      </c>
      <c r="C747" s="149"/>
      <c r="D747" s="61"/>
      <c r="E747" s="147"/>
      <c r="F747" s="147"/>
      <c r="G747" s="150">
        <f>SUM(G748:G749)</f>
        <v>636.431</v>
      </c>
    </row>
    <row r="748" customHeight="1" spans="1:7">
      <c r="A748" s="144"/>
      <c r="B748" s="148" t="s">
        <v>704</v>
      </c>
      <c r="C748" s="149"/>
      <c r="D748" s="61" t="s">
        <v>705</v>
      </c>
      <c r="E748" s="147"/>
      <c r="F748" s="147"/>
      <c r="G748" s="150"/>
    </row>
    <row r="749" customHeight="1" spans="1:7">
      <c r="A749" s="144"/>
      <c r="B749" s="148" t="s">
        <v>706</v>
      </c>
      <c r="C749" s="149"/>
      <c r="D749" s="61" t="s">
        <v>705</v>
      </c>
      <c r="E749" s="151">
        <v>110.3</v>
      </c>
      <c r="F749" s="147">
        <f>主要材料预算!$D$20</f>
        <v>5.77</v>
      </c>
      <c r="G749" s="150">
        <f t="shared" ref="G749:G756" si="52">E749*F749</f>
        <v>636.431</v>
      </c>
    </row>
    <row r="750" customHeight="1" spans="1:7">
      <c r="A750" s="144" t="s">
        <v>19</v>
      </c>
      <c r="B750" s="148" t="s">
        <v>511</v>
      </c>
      <c r="C750" s="149"/>
      <c r="D750" s="61"/>
      <c r="E750" s="147"/>
      <c r="F750" s="147"/>
      <c r="G750" s="150">
        <f>G751</f>
        <v>11.0637405650179</v>
      </c>
    </row>
    <row r="751" customHeight="1" spans="1:7">
      <c r="A751" s="144"/>
      <c r="B751" s="148" t="s">
        <v>1008</v>
      </c>
      <c r="C751" s="149"/>
      <c r="D751" s="61" t="s">
        <v>894</v>
      </c>
      <c r="E751" s="147">
        <f>G747+G752</f>
        <v>1106.37405650179</v>
      </c>
      <c r="F751" s="152">
        <v>1</v>
      </c>
      <c r="G751" s="150">
        <f>E751*F751/100</f>
        <v>11.0637405650179</v>
      </c>
    </row>
    <row r="752" customHeight="1" spans="1:7">
      <c r="A752" s="144" t="s">
        <v>21</v>
      </c>
      <c r="B752" s="148" t="s">
        <v>895</v>
      </c>
      <c r="C752" s="149"/>
      <c r="D752" s="153"/>
      <c r="E752" s="147"/>
      <c r="F752" s="147"/>
      <c r="G752" s="150">
        <f>SUM(G753:G753)</f>
        <v>469.943056501795</v>
      </c>
    </row>
    <row r="753" customHeight="1" spans="1:7">
      <c r="A753" s="144"/>
      <c r="B753" s="148" t="s">
        <v>1322</v>
      </c>
      <c r="C753" s="149"/>
      <c r="D753" s="61" t="s">
        <v>896</v>
      </c>
      <c r="E753" s="147">
        <v>27.33</v>
      </c>
      <c r="F753" s="147">
        <f>施工机械台时费!$E$35</f>
        <v>17.1951356202633</v>
      </c>
      <c r="G753" s="150">
        <f t="shared" si="52"/>
        <v>469.943056501795</v>
      </c>
    </row>
    <row r="754" customHeight="1" spans="1:7">
      <c r="A754" s="144" t="s">
        <v>905</v>
      </c>
      <c r="B754" s="148" t="s">
        <v>514</v>
      </c>
      <c r="C754" s="149"/>
      <c r="D754" s="61"/>
      <c r="E754" s="154">
        <f>G746</f>
        <v>1117.43779706681</v>
      </c>
      <c r="F754" s="155">
        <f>费率表!$C$4</f>
        <v>0.048</v>
      </c>
      <c r="G754" s="150">
        <f t="shared" si="52"/>
        <v>53.637014259207</v>
      </c>
    </row>
    <row r="755" customHeight="1" spans="1:7">
      <c r="A755" s="144" t="s">
        <v>10</v>
      </c>
      <c r="B755" s="148" t="s">
        <v>770</v>
      </c>
      <c r="C755" s="149"/>
      <c r="D755" s="61"/>
      <c r="E755" s="147">
        <f>G745</f>
        <v>1171.07481132602</v>
      </c>
      <c r="F755" s="156">
        <f>费率表!$C$5</f>
        <v>0.045</v>
      </c>
      <c r="G755" s="150">
        <f t="shared" si="52"/>
        <v>52.6983665096709</v>
      </c>
    </row>
    <row r="756" customHeight="1" spans="1:7">
      <c r="A756" s="144" t="s">
        <v>12</v>
      </c>
      <c r="B756" s="148" t="s">
        <v>771</v>
      </c>
      <c r="C756" s="149"/>
      <c r="D756" s="61"/>
      <c r="E756" s="147">
        <f>G745+G755</f>
        <v>1223.77317783569</v>
      </c>
      <c r="F756" s="156">
        <f>费率表!$C$6</f>
        <v>0.07</v>
      </c>
      <c r="G756" s="150">
        <f t="shared" si="52"/>
        <v>85.6641224484984</v>
      </c>
    </row>
    <row r="757" customHeight="1" spans="1:7">
      <c r="A757" s="144" t="s">
        <v>15</v>
      </c>
      <c r="B757" s="148" t="s">
        <v>517</v>
      </c>
      <c r="C757" s="149"/>
      <c r="D757" s="61"/>
      <c r="E757" s="147"/>
      <c r="F757" s="157"/>
      <c r="G757" s="150">
        <f>G758</f>
        <v>248.49613847539</v>
      </c>
    </row>
    <row r="758" customHeight="1" spans="1:7">
      <c r="A758" s="144"/>
      <c r="B758" s="148" t="s">
        <v>694</v>
      </c>
      <c r="C758" s="149"/>
      <c r="D758" s="61" t="s">
        <v>695</v>
      </c>
      <c r="E758" s="147">
        <f>E753*施工机械台时费!$L$35</f>
        <v>40.995</v>
      </c>
      <c r="F758" s="147">
        <f>主要材料预算!$N$13</f>
        <v>6.0616206482593</v>
      </c>
      <c r="G758" s="150">
        <f t="shared" ref="G758:G760" si="53">E758*F758</f>
        <v>248.49613847539</v>
      </c>
    </row>
    <row r="759" customHeight="1" spans="1:7">
      <c r="A759" s="144" t="s">
        <v>906</v>
      </c>
      <c r="B759" s="148" t="s">
        <v>772</v>
      </c>
      <c r="C759" s="149"/>
      <c r="D759" s="61"/>
      <c r="E759" s="147">
        <f>G745+G755+G756+G757</f>
        <v>1557.93343875958</v>
      </c>
      <c r="F759" s="156">
        <f>费率表!$C$7</f>
        <v>0.09</v>
      </c>
      <c r="G759" s="150">
        <f t="shared" si="53"/>
        <v>140.214009488362</v>
      </c>
    </row>
    <row r="760" customHeight="1" spans="1:7">
      <c r="A760" s="144"/>
      <c r="B760" s="148" t="s">
        <v>907</v>
      </c>
      <c r="C760" s="149"/>
      <c r="D760" s="61"/>
      <c r="E760" s="147">
        <f>G745+G755+G756+G757+G759</f>
        <v>1698.14744824794</v>
      </c>
      <c r="F760" s="156">
        <f>费率表!$B$19</f>
        <v>0.03</v>
      </c>
      <c r="G760" s="150">
        <f t="shared" si="53"/>
        <v>50.9444234474382</v>
      </c>
    </row>
    <row r="761" customHeight="1" spans="1:7">
      <c r="A761" s="158"/>
      <c r="B761" s="159" t="s">
        <v>39</v>
      </c>
      <c r="C761" s="160"/>
      <c r="D761" s="161"/>
      <c r="E761" s="162"/>
      <c r="F761" s="161"/>
      <c r="G761" s="163">
        <f>G745+G755+G756+G757+G759+G760</f>
        <v>1749.09187169538</v>
      </c>
    </row>
    <row r="762" customHeight="1" spans="1:7">
      <c r="A762" s="123"/>
      <c r="B762" s="123"/>
      <c r="C762" s="123"/>
      <c r="D762" s="123"/>
      <c r="E762" s="124"/>
      <c r="F762" s="123"/>
      <c r="G762" s="124"/>
    </row>
    <row r="763" customHeight="1" spans="1:7">
      <c r="A763" s="126" t="s">
        <v>868</v>
      </c>
      <c r="B763" s="126"/>
      <c r="C763" s="126"/>
      <c r="D763" s="126"/>
      <c r="E763" s="126"/>
      <c r="F763" s="126"/>
      <c r="G763" s="126"/>
    </row>
    <row r="764" customHeight="1" spans="1:7">
      <c r="A764" s="127" t="s">
        <v>869</v>
      </c>
      <c r="B764" s="128"/>
      <c r="C764" s="129"/>
      <c r="D764" s="129" t="s">
        <v>870</v>
      </c>
      <c r="E764" s="130" t="s">
        <v>1323</v>
      </c>
      <c r="F764" s="131"/>
      <c r="G764" s="132"/>
    </row>
    <row r="765" customHeight="1" spans="1:7">
      <c r="A765" s="133" t="s">
        <v>507</v>
      </c>
      <c r="B765" s="134"/>
      <c r="C765" s="135" t="s">
        <v>1324</v>
      </c>
      <c r="D765" s="136"/>
      <c r="E765" s="137"/>
      <c r="F765" s="61" t="s">
        <v>873</v>
      </c>
      <c r="G765" s="138" t="s">
        <v>874</v>
      </c>
    </row>
    <row r="766" customHeight="1" spans="1:7">
      <c r="A766" s="139" t="s">
        <v>1320</v>
      </c>
      <c r="B766" s="136"/>
      <c r="C766" s="136"/>
      <c r="D766" s="136"/>
      <c r="E766" s="136"/>
      <c r="F766" s="136"/>
      <c r="G766" s="140"/>
    </row>
    <row r="767" customHeight="1" spans="1:7">
      <c r="A767" s="141" t="s">
        <v>1248</v>
      </c>
      <c r="B767" s="142"/>
      <c r="C767" s="142"/>
      <c r="D767" s="142"/>
      <c r="E767" s="142"/>
      <c r="F767" s="142"/>
      <c r="G767" s="143"/>
    </row>
    <row r="768" customHeight="1" spans="1:7">
      <c r="A768" s="144" t="s">
        <v>34</v>
      </c>
      <c r="B768" s="145" t="s">
        <v>761</v>
      </c>
      <c r="C768" s="146"/>
      <c r="D768" s="61" t="s">
        <v>60</v>
      </c>
      <c r="E768" s="147" t="s">
        <v>877</v>
      </c>
      <c r="F768" s="61" t="s">
        <v>878</v>
      </c>
      <c r="G768" s="138" t="s">
        <v>879</v>
      </c>
    </row>
    <row r="769" customHeight="1" spans="1:9">
      <c r="A769" s="144" t="s">
        <v>8</v>
      </c>
      <c r="B769" s="148" t="s">
        <v>880</v>
      </c>
      <c r="C769" s="149"/>
      <c r="D769" s="61"/>
      <c r="E769" s="147"/>
      <c r="F769" s="147"/>
      <c r="G769" s="150">
        <f>G770+G778</f>
        <v>206.667654622953</v>
      </c>
    </row>
    <row r="770" customHeight="1" spans="1:9">
      <c r="A770" s="144" t="s">
        <v>881</v>
      </c>
      <c r="B770" s="148" t="s">
        <v>882</v>
      </c>
      <c r="C770" s="149"/>
      <c r="D770" s="61"/>
      <c r="E770" s="147"/>
      <c r="F770" s="147"/>
      <c r="G770" s="150">
        <f>G771+G774+G776</f>
        <v>197.201960518085</v>
      </c>
    </row>
    <row r="771" customHeight="1" spans="1:9">
      <c r="A771" s="144" t="s">
        <v>17</v>
      </c>
      <c r="B771" s="148" t="s">
        <v>510</v>
      </c>
      <c r="C771" s="149"/>
      <c r="D771" s="61"/>
      <c r="E771" s="147"/>
      <c r="F771" s="147"/>
      <c r="G771" s="150">
        <f>SUM(G772:G773)</f>
        <v>23.657</v>
      </c>
    </row>
    <row r="772" customHeight="1" spans="1:9">
      <c r="A772" s="144"/>
      <c r="B772" s="148" t="s">
        <v>704</v>
      </c>
      <c r="C772" s="149"/>
      <c r="D772" s="61" t="s">
        <v>705</v>
      </c>
      <c r="E772" s="147"/>
      <c r="F772" s="147"/>
      <c r="G772" s="150"/>
    </row>
    <row r="773" customHeight="1" spans="1:9">
      <c r="A773" s="144"/>
      <c r="B773" s="148" t="s">
        <v>706</v>
      </c>
      <c r="C773" s="149"/>
      <c r="D773" s="61" t="s">
        <v>705</v>
      </c>
      <c r="E773" s="151">
        <f>4.1</f>
        <v>4.1</v>
      </c>
      <c r="F773" s="147">
        <f>主要材料预算!$D$20</f>
        <v>5.77</v>
      </c>
      <c r="G773" s="150">
        <f t="shared" ref="G773:G780" si="54">E773*F773</f>
        <v>23.657</v>
      </c>
    </row>
    <row r="774" customHeight="1" spans="1:9">
      <c r="A774" s="144" t="s">
        <v>19</v>
      </c>
      <c r="B774" s="148" t="s">
        <v>511</v>
      </c>
      <c r="C774" s="149"/>
      <c r="D774" s="61"/>
      <c r="E774" s="147"/>
      <c r="F774" s="147"/>
      <c r="G774" s="150">
        <f>G775</f>
        <v>9.39056954848025</v>
      </c>
    </row>
    <row r="775" customHeight="1" spans="1:9">
      <c r="A775" s="144"/>
      <c r="B775" s="148" t="s">
        <v>1008</v>
      </c>
      <c r="C775" s="149"/>
      <c r="D775" s="61" t="s">
        <v>894</v>
      </c>
      <c r="E775" s="147">
        <f>G771+G776</f>
        <v>187.811390969605</v>
      </c>
      <c r="F775" s="152">
        <v>5</v>
      </c>
      <c r="G775" s="150">
        <f>E775*F775/100</f>
        <v>9.39056954848025</v>
      </c>
    </row>
    <row r="776" customHeight="1" spans="1:9">
      <c r="A776" s="144" t="s">
        <v>21</v>
      </c>
      <c r="B776" s="148" t="s">
        <v>895</v>
      </c>
      <c r="C776" s="149"/>
      <c r="D776" s="153"/>
      <c r="E776" s="147"/>
      <c r="F776" s="147"/>
      <c r="G776" s="150">
        <f>SUM(G777:G777)</f>
        <v>164.154390969605</v>
      </c>
    </row>
    <row r="777" customHeight="1" spans="1:9">
      <c r="A777" s="144"/>
      <c r="B777" s="148" t="s">
        <v>1325</v>
      </c>
      <c r="C777" s="149"/>
      <c r="D777" s="61" t="s">
        <v>896</v>
      </c>
      <c r="E777" s="147">
        <f>1.42*1.24</f>
        <v>1.7608</v>
      </c>
      <c r="F777" s="147">
        <f>施工机械台时费!$E$4</f>
        <v>93.2271643398484</v>
      </c>
      <c r="G777" s="150">
        <f t="shared" si="54"/>
        <v>164.154390969605</v>
      </c>
    </row>
    <row r="778" customHeight="1" spans="1:9">
      <c r="A778" s="144" t="s">
        <v>905</v>
      </c>
      <c r="B778" s="148" t="s">
        <v>514</v>
      </c>
      <c r="C778" s="149"/>
      <c r="D778" s="61"/>
      <c r="E778" s="154">
        <f>G770</f>
        <v>197.201960518085</v>
      </c>
      <c r="F778" s="155">
        <f>费率表!$C$4</f>
        <v>0.048</v>
      </c>
      <c r="G778" s="150">
        <f t="shared" si="54"/>
        <v>9.4656941048681</v>
      </c>
      <c r="I778" s="92">
        <f>E777*施工机械台时费!L4</f>
        <v>18.84056</v>
      </c>
    </row>
    <row r="779" customHeight="1" spans="1:9">
      <c r="A779" s="144" t="s">
        <v>10</v>
      </c>
      <c r="B779" s="148" t="s">
        <v>770</v>
      </c>
      <c r="C779" s="149"/>
      <c r="D779" s="61"/>
      <c r="E779" s="147">
        <f>G769</f>
        <v>206.667654622953</v>
      </c>
      <c r="F779" s="156">
        <f>费率表!$C$5</f>
        <v>0.045</v>
      </c>
      <c r="G779" s="150">
        <f t="shared" si="54"/>
        <v>9.30004445803291</v>
      </c>
    </row>
    <row r="780" customHeight="1" spans="1:9">
      <c r="A780" s="144" t="s">
        <v>12</v>
      </c>
      <c r="B780" s="148" t="s">
        <v>771</v>
      </c>
      <c r="C780" s="149"/>
      <c r="D780" s="61"/>
      <c r="E780" s="147">
        <f>G769+G779</f>
        <v>215.967699080986</v>
      </c>
      <c r="F780" s="156">
        <f>费率表!$C$6</f>
        <v>0.07</v>
      </c>
      <c r="G780" s="150">
        <f t="shared" si="54"/>
        <v>15.117738935669</v>
      </c>
    </row>
    <row r="781" customHeight="1" spans="1:9">
      <c r="A781" s="144" t="s">
        <v>15</v>
      </c>
      <c r="B781" s="148" t="s">
        <v>517</v>
      </c>
      <c r="C781" s="149"/>
      <c r="D781" s="61"/>
      <c r="E781" s="147"/>
      <c r="F781" s="157"/>
      <c r="G781" s="150">
        <f>G782</f>
        <v>114.204327520768</v>
      </c>
    </row>
    <row r="782" customHeight="1" spans="1:9">
      <c r="A782" s="144"/>
      <c r="B782" s="148" t="s">
        <v>694</v>
      </c>
      <c r="C782" s="149"/>
      <c r="D782" s="61" t="s">
        <v>695</v>
      </c>
      <c r="E782" s="147">
        <f>E777*施工机械台时费!$L$4</f>
        <v>18.84056</v>
      </c>
      <c r="F782" s="147">
        <f>主要材料预算!$N$13</f>
        <v>6.0616206482593</v>
      </c>
      <c r="G782" s="150">
        <f t="shared" ref="G782:G784" si="55">E782*F782</f>
        <v>114.204327520768</v>
      </c>
    </row>
    <row r="783" customHeight="1" spans="1:9">
      <c r="A783" s="144" t="s">
        <v>906</v>
      </c>
      <c r="B783" s="148" t="s">
        <v>772</v>
      </c>
      <c r="C783" s="149"/>
      <c r="D783" s="61"/>
      <c r="E783" s="147">
        <f>G769+G779+G780+G781</f>
        <v>345.289765537423</v>
      </c>
      <c r="F783" s="156">
        <f>费率表!$C$7</f>
        <v>0.09</v>
      </c>
      <c r="G783" s="150">
        <f t="shared" si="55"/>
        <v>31.0760788983681</v>
      </c>
    </row>
    <row r="784" customHeight="1" spans="1:9">
      <c r="A784" s="144"/>
      <c r="B784" s="148" t="s">
        <v>907</v>
      </c>
      <c r="C784" s="149"/>
      <c r="D784" s="61"/>
      <c r="E784" s="147">
        <f>G769+G779+G780+G781+G783</f>
        <v>376.365844435791</v>
      </c>
      <c r="F784" s="156">
        <f>费率表!$B$19</f>
        <v>0.03</v>
      </c>
      <c r="G784" s="150">
        <f t="shared" si="55"/>
        <v>11.2909753330737</v>
      </c>
    </row>
    <row r="785" customHeight="1" spans="1:7">
      <c r="A785" s="158"/>
      <c r="B785" s="159" t="s">
        <v>39</v>
      </c>
      <c r="C785" s="160"/>
      <c r="D785" s="161"/>
      <c r="E785" s="162"/>
      <c r="F785" s="161"/>
      <c r="G785" s="163">
        <f>G769+G779+G780+G781+G783+G784</f>
        <v>387.656819768865</v>
      </c>
    </row>
    <row r="787" customHeight="1" spans="1:7">
      <c r="A787" s="126" t="s">
        <v>868</v>
      </c>
      <c r="B787" s="126"/>
      <c r="C787" s="126"/>
      <c r="D787" s="126"/>
      <c r="E787" s="126"/>
      <c r="F787" s="126"/>
      <c r="G787" s="126"/>
    </row>
    <row r="788" customHeight="1" spans="1:7">
      <c r="A788" s="127" t="s">
        <v>869</v>
      </c>
      <c r="B788" s="128"/>
      <c r="C788" s="129"/>
      <c r="D788" s="129" t="s">
        <v>870</v>
      </c>
      <c r="E788" s="130" t="s">
        <v>1605</v>
      </c>
      <c r="F788" s="131"/>
      <c r="G788" s="132"/>
    </row>
    <row r="789" customHeight="1" spans="1:7">
      <c r="A789" s="133" t="s">
        <v>507</v>
      </c>
      <c r="B789" s="134"/>
      <c r="C789" s="135" t="s">
        <v>1330</v>
      </c>
      <c r="D789" s="136"/>
      <c r="E789" s="137"/>
      <c r="F789" s="61" t="s">
        <v>873</v>
      </c>
      <c r="G789" s="138" t="s">
        <v>874</v>
      </c>
    </row>
    <row r="790" customHeight="1" spans="1:7">
      <c r="A790" s="139" t="s">
        <v>1606</v>
      </c>
      <c r="B790" s="136"/>
      <c r="C790" s="136"/>
      <c r="D790" s="136"/>
      <c r="E790" s="136"/>
      <c r="F790" s="136"/>
      <c r="G790" s="140"/>
    </row>
    <row r="791" customHeight="1" spans="1:7">
      <c r="A791" s="141" t="s">
        <v>1248</v>
      </c>
      <c r="B791" s="142"/>
      <c r="C791" s="142"/>
      <c r="D791" s="142"/>
      <c r="E791" s="142"/>
      <c r="F791" s="142"/>
      <c r="G791" s="143"/>
    </row>
    <row r="792" customHeight="1" spans="1:7">
      <c r="A792" s="144" t="s">
        <v>34</v>
      </c>
      <c r="B792" s="145" t="s">
        <v>761</v>
      </c>
      <c r="C792" s="146"/>
      <c r="D792" s="61" t="s">
        <v>60</v>
      </c>
      <c r="E792" s="147" t="s">
        <v>877</v>
      </c>
      <c r="F792" s="61" t="s">
        <v>878</v>
      </c>
      <c r="G792" s="138" t="s">
        <v>879</v>
      </c>
    </row>
    <row r="793" customHeight="1" spans="1:7">
      <c r="A793" s="144" t="s">
        <v>8</v>
      </c>
      <c r="B793" s="148" t="s">
        <v>880</v>
      </c>
      <c r="C793" s="149"/>
      <c r="D793" s="61"/>
      <c r="E793" s="147"/>
      <c r="F793" s="147"/>
      <c r="G793" s="150">
        <f>G794+G802</f>
        <v>310.307850692777</v>
      </c>
    </row>
    <row r="794" customHeight="1" spans="1:7">
      <c r="A794" s="144" t="s">
        <v>881</v>
      </c>
      <c r="B794" s="148" t="s">
        <v>882</v>
      </c>
      <c r="C794" s="149"/>
      <c r="D794" s="61"/>
      <c r="E794" s="147"/>
      <c r="F794" s="147"/>
      <c r="G794" s="150">
        <f>G795+G798+G800</f>
        <v>296.095277378604</v>
      </c>
    </row>
    <row r="795" customHeight="1" spans="1:7">
      <c r="A795" s="144" t="s">
        <v>17</v>
      </c>
      <c r="B795" s="148" t="s">
        <v>510</v>
      </c>
      <c r="C795" s="149"/>
      <c r="D795" s="61"/>
      <c r="E795" s="147"/>
      <c r="F795" s="147"/>
      <c r="G795" s="150">
        <f>SUM(G796:G797)</f>
        <v>41.544</v>
      </c>
    </row>
    <row r="796" customHeight="1" spans="1:7">
      <c r="A796" s="144"/>
      <c r="B796" s="153" t="s">
        <v>704</v>
      </c>
      <c r="C796" s="153"/>
      <c r="D796" s="61" t="s">
        <v>705</v>
      </c>
      <c r="E796" s="147"/>
      <c r="F796" s="147"/>
      <c r="G796" s="150"/>
    </row>
    <row r="797" customHeight="1" spans="1:7">
      <c r="A797" s="144"/>
      <c r="B797" s="153" t="s">
        <v>706</v>
      </c>
      <c r="C797" s="153"/>
      <c r="D797" s="61" t="s">
        <v>705</v>
      </c>
      <c r="E797" s="151">
        <v>7.2</v>
      </c>
      <c r="F797" s="147">
        <f>主要材料预算!$D$20</f>
        <v>5.77</v>
      </c>
      <c r="G797" s="150">
        <f t="shared" ref="G797:G804" si="56">E797*F797</f>
        <v>41.544</v>
      </c>
    </row>
    <row r="798" customHeight="1" spans="1:7">
      <c r="A798" s="144" t="s">
        <v>19</v>
      </c>
      <c r="B798" s="148" t="s">
        <v>511</v>
      </c>
      <c r="C798" s="149"/>
      <c r="D798" s="61"/>
      <c r="E798" s="147"/>
      <c r="F798" s="147"/>
      <c r="G798" s="150">
        <f>G799</f>
        <v>14.0997751132669</v>
      </c>
    </row>
    <row r="799" customHeight="1" spans="1:7">
      <c r="A799" s="144"/>
      <c r="B799" s="153" t="s">
        <v>1008</v>
      </c>
      <c r="C799" s="153"/>
      <c r="D799" s="61" t="s">
        <v>894</v>
      </c>
      <c r="E799" s="147">
        <f>G795+G800</f>
        <v>281.995502265337</v>
      </c>
      <c r="F799" s="152">
        <v>5</v>
      </c>
      <c r="G799" s="150">
        <f>E799*F799/100</f>
        <v>14.0997751132669</v>
      </c>
    </row>
    <row r="800" customHeight="1" spans="1:7">
      <c r="A800" s="144" t="s">
        <v>21</v>
      </c>
      <c r="B800" s="153" t="s">
        <v>895</v>
      </c>
      <c r="C800" s="153"/>
      <c r="D800" s="153"/>
      <c r="E800" s="147"/>
      <c r="F800" s="147"/>
      <c r="G800" s="150">
        <f>SUM(G801:G801)</f>
        <v>240.451502265337</v>
      </c>
    </row>
    <row r="801" customHeight="1" spans="1:7">
      <c r="A801" s="144"/>
      <c r="B801" s="148" t="s">
        <v>1325</v>
      </c>
      <c r="C801" s="149"/>
      <c r="D801" s="61" t="s">
        <v>896</v>
      </c>
      <c r="E801" s="147">
        <f>2.08*1.24</f>
        <v>2.5792</v>
      </c>
      <c r="F801" s="147">
        <f>施工机械台时费!$E$4</f>
        <v>93.2271643398484</v>
      </c>
      <c r="G801" s="150">
        <f t="shared" si="56"/>
        <v>240.451502265337</v>
      </c>
    </row>
    <row r="802" customHeight="1" spans="1:7">
      <c r="A802" s="144" t="s">
        <v>905</v>
      </c>
      <c r="B802" s="153" t="s">
        <v>514</v>
      </c>
      <c r="C802" s="153"/>
      <c r="D802" s="61"/>
      <c r="E802" s="154">
        <f>G794</f>
        <v>296.095277378604</v>
      </c>
      <c r="F802" s="155">
        <f>费率表!$C$4</f>
        <v>0.048</v>
      </c>
      <c r="G802" s="150">
        <f t="shared" si="56"/>
        <v>14.212573314173</v>
      </c>
    </row>
    <row r="803" customHeight="1" spans="1:7">
      <c r="A803" s="144" t="s">
        <v>10</v>
      </c>
      <c r="B803" s="153" t="s">
        <v>770</v>
      </c>
      <c r="C803" s="153"/>
      <c r="D803" s="61"/>
      <c r="E803" s="147">
        <f>G793</f>
        <v>310.307850692777</v>
      </c>
      <c r="F803" s="156">
        <f>费率表!$C$5</f>
        <v>0.045</v>
      </c>
      <c r="G803" s="150">
        <f t="shared" si="56"/>
        <v>13.963853281175</v>
      </c>
    </row>
    <row r="804" customHeight="1" spans="1:7">
      <c r="A804" s="144" t="s">
        <v>12</v>
      </c>
      <c r="B804" s="153" t="s">
        <v>771</v>
      </c>
      <c r="C804" s="153"/>
      <c r="D804" s="61"/>
      <c r="E804" s="147">
        <f>G793+G803</f>
        <v>324.271703973952</v>
      </c>
      <c r="F804" s="156">
        <f>费率表!$C$6</f>
        <v>0.07</v>
      </c>
      <c r="G804" s="150">
        <f t="shared" si="56"/>
        <v>22.6990192781766</v>
      </c>
    </row>
    <row r="805" customHeight="1" spans="1:7">
      <c r="A805" s="144" t="s">
        <v>15</v>
      </c>
      <c r="B805" s="148" t="s">
        <v>517</v>
      </c>
      <c r="C805" s="149"/>
      <c r="D805" s="61"/>
      <c r="E805" s="147"/>
      <c r="F805" s="157"/>
      <c r="G805" s="150">
        <f>G806</f>
        <v>167.285212143097</v>
      </c>
    </row>
    <row r="806" customHeight="1" spans="1:7">
      <c r="A806" s="144"/>
      <c r="B806" s="148" t="s">
        <v>694</v>
      </c>
      <c r="C806" s="149"/>
      <c r="D806" s="61" t="s">
        <v>695</v>
      </c>
      <c r="E806" s="147">
        <f>E801*施工机械台时费!$L$4</f>
        <v>27.59744</v>
      </c>
      <c r="F806" s="147">
        <f>主要材料预算!$N$13</f>
        <v>6.0616206482593</v>
      </c>
      <c r="G806" s="150">
        <f t="shared" ref="G806:G808" si="57">E806*F806</f>
        <v>167.285212143097</v>
      </c>
    </row>
    <row r="807" customHeight="1" spans="1:7">
      <c r="A807" s="144" t="s">
        <v>906</v>
      </c>
      <c r="B807" s="153" t="s">
        <v>772</v>
      </c>
      <c r="C807" s="153"/>
      <c r="D807" s="61"/>
      <c r="E807" s="147">
        <f>G793+G803+G804+G805</f>
        <v>514.255935395226</v>
      </c>
      <c r="F807" s="156">
        <f>费率表!$C$7</f>
        <v>0.09</v>
      </c>
      <c r="G807" s="150">
        <f t="shared" si="57"/>
        <v>46.2830341855703</v>
      </c>
    </row>
    <row r="808" customHeight="1" spans="1:7">
      <c r="A808" s="144"/>
      <c r="B808" s="153" t="s">
        <v>907</v>
      </c>
      <c r="C808" s="153"/>
      <c r="D808" s="61"/>
      <c r="E808" s="147">
        <f>G793+G803+G804+G805+G807</f>
        <v>560.538969580796</v>
      </c>
      <c r="F808" s="156">
        <f>费率表!$B$19</f>
        <v>0.03</v>
      </c>
      <c r="G808" s="150">
        <f t="shared" si="57"/>
        <v>16.8161690874239</v>
      </c>
    </row>
    <row r="809" customHeight="1" spans="1:7">
      <c r="A809" s="158"/>
      <c r="B809" s="161" t="s">
        <v>39</v>
      </c>
      <c r="C809" s="161"/>
      <c r="D809" s="161"/>
      <c r="E809" s="162"/>
      <c r="F809" s="161"/>
      <c r="G809" s="163">
        <f>G793+G803+G804+G805+G807+G808</f>
        <v>577.35513866822</v>
      </c>
    </row>
    <row r="811" customHeight="1" spans="1:7">
      <c r="A811" s="164" t="s">
        <v>868</v>
      </c>
      <c r="B811" s="164"/>
      <c r="C811" s="164"/>
      <c r="D811" s="164"/>
      <c r="E811" s="164"/>
      <c r="F811" s="164"/>
      <c r="G811" s="164"/>
    </row>
    <row r="812" customHeight="1" spans="1:7">
      <c r="A812" s="165" t="s">
        <v>869</v>
      </c>
      <c r="B812" s="129"/>
      <c r="C812" s="129"/>
      <c r="D812" s="129" t="s">
        <v>870</v>
      </c>
      <c r="E812" s="130" t="s">
        <v>1607</v>
      </c>
      <c r="F812" s="131"/>
      <c r="G812" s="132"/>
    </row>
    <row r="813" customHeight="1" spans="1:7">
      <c r="A813" s="144" t="s">
        <v>507</v>
      </c>
      <c r="B813" s="166"/>
      <c r="C813" s="167" t="s">
        <v>1335</v>
      </c>
      <c r="D813" s="167"/>
      <c r="E813" s="167"/>
      <c r="F813" s="61" t="s">
        <v>873</v>
      </c>
      <c r="G813" s="138" t="s">
        <v>874</v>
      </c>
    </row>
    <row r="814" customHeight="1" spans="1:7">
      <c r="A814" s="168" t="s">
        <v>1337</v>
      </c>
      <c r="B814" s="167"/>
      <c r="C814" s="167"/>
      <c r="D814" s="167"/>
      <c r="E814" s="167"/>
      <c r="F814" s="167"/>
      <c r="G814" s="169"/>
    </row>
    <row r="815" customHeight="1" spans="1:7">
      <c r="A815" s="141" t="s">
        <v>1098</v>
      </c>
      <c r="B815" s="142"/>
      <c r="C815" s="170"/>
      <c r="D815" s="170"/>
      <c r="E815" s="170"/>
      <c r="F815" s="170"/>
      <c r="G815" s="171"/>
    </row>
    <row r="816" customHeight="1" spans="1:7">
      <c r="A816" s="144" t="s">
        <v>34</v>
      </c>
      <c r="B816" s="61" t="s">
        <v>761</v>
      </c>
      <c r="C816" s="61"/>
      <c r="D816" s="61" t="s">
        <v>60</v>
      </c>
      <c r="E816" s="147" t="s">
        <v>877</v>
      </c>
      <c r="F816" s="61" t="s">
        <v>878</v>
      </c>
      <c r="G816" s="138" t="s">
        <v>879</v>
      </c>
    </row>
    <row r="817" customHeight="1" spans="1:7">
      <c r="A817" s="144" t="s">
        <v>8</v>
      </c>
      <c r="B817" s="153" t="s">
        <v>880</v>
      </c>
      <c r="C817" s="153"/>
      <c r="D817" s="61"/>
      <c r="E817" s="147"/>
      <c r="F817" s="147"/>
      <c r="G817" s="150">
        <f>G818+G828</f>
        <v>685.817752733825</v>
      </c>
    </row>
    <row r="818" customHeight="1" spans="1:7">
      <c r="A818" s="144" t="s">
        <v>881</v>
      </c>
      <c r="B818" s="153" t="s">
        <v>882</v>
      </c>
      <c r="C818" s="153"/>
      <c r="D818" s="61"/>
      <c r="E818" s="147"/>
      <c r="F818" s="147"/>
      <c r="G818" s="150">
        <f>G819+G822+G824</f>
        <v>654.406252608612</v>
      </c>
    </row>
    <row r="819" customHeight="1" spans="1:7">
      <c r="A819" s="144" t="s">
        <v>17</v>
      </c>
      <c r="B819" s="153" t="s">
        <v>510</v>
      </c>
      <c r="C819" s="153"/>
      <c r="D819" s="61"/>
      <c r="E819" s="147"/>
      <c r="F819" s="147"/>
      <c r="G819" s="150">
        <f>SUM(G820:G821)</f>
        <v>42.53067</v>
      </c>
    </row>
    <row r="820" customHeight="1" spans="1:7">
      <c r="A820" s="144"/>
      <c r="B820" s="153" t="s">
        <v>704</v>
      </c>
      <c r="C820" s="153"/>
      <c r="D820" s="61" t="s">
        <v>705</v>
      </c>
      <c r="E820" s="147"/>
      <c r="F820" s="147"/>
      <c r="G820" s="150"/>
    </row>
    <row r="821" customHeight="1" spans="1:7">
      <c r="A821" s="144"/>
      <c r="B821" s="153" t="s">
        <v>706</v>
      </c>
      <c r="C821" s="153"/>
      <c r="D821" s="61" t="s">
        <v>705</v>
      </c>
      <c r="E821" s="151">
        <f>8.1*0.91</f>
        <v>7.371</v>
      </c>
      <c r="F821" s="147">
        <f>主要材料预算!$D$20</f>
        <v>5.77</v>
      </c>
      <c r="G821" s="150">
        <f>E821*F821</f>
        <v>42.53067</v>
      </c>
    </row>
    <row r="822" customHeight="1" spans="1:7">
      <c r="A822" s="144" t="s">
        <v>19</v>
      </c>
      <c r="B822" s="148" t="s">
        <v>511</v>
      </c>
      <c r="C822" s="149"/>
      <c r="D822" s="61"/>
      <c r="E822" s="147"/>
      <c r="F822" s="147"/>
      <c r="G822" s="150">
        <f>G823</f>
        <v>31.162202505172</v>
      </c>
    </row>
    <row r="823" customHeight="1" spans="1:7">
      <c r="A823" s="144"/>
      <c r="B823" s="153" t="s">
        <v>1008</v>
      </c>
      <c r="C823" s="153"/>
      <c r="D823" s="61" t="s">
        <v>894</v>
      </c>
      <c r="E823" s="147">
        <f>G819+G824</f>
        <v>623.24405010344</v>
      </c>
      <c r="F823" s="152">
        <v>5</v>
      </c>
      <c r="G823" s="150">
        <f>E823*F823/100</f>
        <v>31.162202505172</v>
      </c>
    </row>
    <row r="824" customHeight="1" spans="1:7">
      <c r="A824" s="144" t="s">
        <v>21</v>
      </c>
      <c r="B824" s="153" t="s">
        <v>895</v>
      </c>
      <c r="C824" s="153"/>
      <c r="D824" s="153"/>
      <c r="E824" s="147"/>
      <c r="F824" s="147"/>
      <c r="G824" s="150">
        <f>SUM(G825:G827)</f>
        <v>580.71338010344</v>
      </c>
    </row>
    <row r="825" customHeight="1" spans="1:7">
      <c r="A825" s="144"/>
      <c r="B825" s="148" t="s">
        <v>1325</v>
      </c>
      <c r="C825" s="149"/>
      <c r="D825" s="61" t="s">
        <v>896</v>
      </c>
      <c r="E825" s="147">
        <f>1.61*1.24*0.91</f>
        <v>1.816724</v>
      </c>
      <c r="F825" s="147">
        <f>施工机械台时费!$E$4</f>
        <v>93.2271643398484</v>
      </c>
      <c r="G825" s="150">
        <f t="shared" ref="G825:G830" si="58">E825*F825</f>
        <v>169.368026908147</v>
      </c>
    </row>
    <row r="826" customHeight="1" spans="1:7">
      <c r="A826" s="144"/>
      <c r="B826" s="148" t="s">
        <v>1339</v>
      </c>
      <c r="C826" s="149"/>
      <c r="D826" s="61" t="s">
        <v>896</v>
      </c>
      <c r="E826" s="147">
        <f>0.81*0.91</f>
        <v>0.7371</v>
      </c>
      <c r="F826" s="147">
        <f>施工机械台时费!$E$12</f>
        <v>66.3822584762664</v>
      </c>
      <c r="G826" s="150">
        <f t="shared" si="58"/>
        <v>48.930362722856</v>
      </c>
    </row>
    <row r="827" customHeight="1" spans="1:7">
      <c r="A827" s="144"/>
      <c r="B827" s="148" t="s">
        <v>1340</v>
      </c>
      <c r="C827" s="149"/>
      <c r="D827" s="61" t="s">
        <v>896</v>
      </c>
      <c r="E827" s="147">
        <f>9.04*0.91</f>
        <v>8.2264</v>
      </c>
      <c r="F827" s="147">
        <f>施工机械台时费!$E$30</f>
        <v>44.0551140805744</v>
      </c>
      <c r="G827" s="150">
        <f t="shared" si="58"/>
        <v>362.414990472437</v>
      </c>
    </row>
    <row r="828" customHeight="1" spans="1:7">
      <c r="A828" s="144" t="s">
        <v>905</v>
      </c>
      <c r="B828" s="153" t="s">
        <v>514</v>
      </c>
      <c r="C828" s="153"/>
      <c r="D828" s="61"/>
      <c r="E828" s="154">
        <f>G818</f>
        <v>654.406252608612</v>
      </c>
      <c r="F828" s="155">
        <f>费率表!$C$4</f>
        <v>0.048</v>
      </c>
      <c r="G828" s="150">
        <f t="shared" si="58"/>
        <v>31.4115001252134</v>
      </c>
    </row>
    <row r="829" customHeight="1" spans="1:7">
      <c r="A829" s="144" t="s">
        <v>10</v>
      </c>
      <c r="B829" s="153" t="s">
        <v>770</v>
      </c>
      <c r="C829" s="153"/>
      <c r="D829" s="61"/>
      <c r="E829" s="147">
        <f>G817</f>
        <v>685.817752733825</v>
      </c>
      <c r="F829" s="156">
        <f>费率表!$C$5</f>
        <v>0.045</v>
      </c>
      <c r="G829" s="150">
        <f t="shared" si="58"/>
        <v>30.8617988730221</v>
      </c>
    </row>
    <row r="830" customHeight="1" spans="1:7">
      <c r="A830" s="144" t="s">
        <v>12</v>
      </c>
      <c r="B830" s="153" t="s">
        <v>771</v>
      </c>
      <c r="C830" s="153"/>
      <c r="D830" s="61"/>
      <c r="E830" s="147">
        <f>G817+G829</f>
        <v>716.679551606848</v>
      </c>
      <c r="F830" s="156">
        <f>费率表!$C$6</f>
        <v>0.07</v>
      </c>
      <c r="G830" s="150">
        <f t="shared" si="58"/>
        <v>50.1675686124793</v>
      </c>
    </row>
    <row r="831" customHeight="1" spans="1:7">
      <c r="A831" s="144" t="s">
        <v>15</v>
      </c>
      <c r="B831" s="148" t="s">
        <v>517</v>
      </c>
      <c r="C831" s="149"/>
      <c r="D831" s="61"/>
      <c r="E831" s="147"/>
      <c r="F831" s="157"/>
      <c r="G831" s="150">
        <f>G833</f>
        <v>155.362894173882</v>
      </c>
    </row>
    <row r="832" customHeight="1" spans="1:7">
      <c r="A832" s="144"/>
      <c r="B832" s="148" t="s">
        <v>696</v>
      </c>
      <c r="C832" s="149"/>
      <c r="D832" s="61" t="s">
        <v>695</v>
      </c>
      <c r="E832" s="147">
        <f>E827*施工机械台时费!$K$30</f>
        <v>63.34328</v>
      </c>
      <c r="F832" s="147">
        <f>主要材料预算!$N$14</f>
        <v>7.8077586206897</v>
      </c>
      <c r="G832" s="150">
        <f t="shared" ref="G832:G835" si="59">E832*F832</f>
        <v>494.569040482761</v>
      </c>
    </row>
    <row r="833" customHeight="1" spans="1:7">
      <c r="A833" s="144"/>
      <c r="B833" s="148" t="s">
        <v>694</v>
      </c>
      <c r="C833" s="149"/>
      <c r="D833" s="61" t="s">
        <v>695</v>
      </c>
      <c r="E833" s="147">
        <f>E825*施工机械台时费!$L$4+设备维修养护!E826*施工机械台时费!$L$12</f>
        <v>25.6305868</v>
      </c>
      <c r="F833" s="147">
        <f>主要材料预算!$N$13</f>
        <v>6.0616206482593</v>
      </c>
      <c r="G833" s="150">
        <f t="shared" si="59"/>
        <v>155.362894173882</v>
      </c>
    </row>
    <row r="834" customHeight="1" spans="1:7">
      <c r="A834" s="144" t="s">
        <v>906</v>
      </c>
      <c r="B834" s="153" t="s">
        <v>772</v>
      </c>
      <c r="C834" s="153"/>
      <c r="D834" s="61"/>
      <c r="E834" s="147">
        <f>G817+G829+G830+G831</f>
        <v>922.210014393209</v>
      </c>
      <c r="F834" s="156">
        <f>费率表!$C$7</f>
        <v>0.09</v>
      </c>
      <c r="G834" s="150">
        <f t="shared" si="59"/>
        <v>82.9989012953888</v>
      </c>
    </row>
    <row r="835" customHeight="1" spans="1:7">
      <c r="A835" s="144"/>
      <c r="B835" s="153" t="s">
        <v>907</v>
      </c>
      <c r="C835" s="153"/>
      <c r="D835" s="61"/>
      <c r="E835" s="147">
        <f>G817+G829+G830+G831+G834</f>
        <v>1005.2089156886</v>
      </c>
      <c r="F835" s="156">
        <f>费率表!$B$19</f>
        <v>0.03</v>
      </c>
      <c r="G835" s="150">
        <f t="shared" si="59"/>
        <v>30.1562674706579</v>
      </c>
    </row>
    <row r="836" customHeight="1" spans="1:7">
      <c r="A836" s="158"/>
      <c r="B836" s="161" t="s">
        <v>39</v>
      </c>
      <c r="C836" s="161"/>
      <c r="D836" s="161"/>
      <c r="E836" s="162"/>
      <c r="F836" s="161"/>
      <c r="G836" s="163">
        <f>G817+G829+G830+G831+G834+G835</f>
        <v>1035.36518315926</v>
      </c>
    </row>
    <row r="838" customHeight="1" spans="1:7">
      <c r="A838" s="164" t="s">
        <v>868</v>
      </c>
      <c r="B838" s="164"/>
      <c r="C838" s="164"/>
      <c r="D838" s="164"/>
      <c r="E838" s="164"/>
      <c r="F838" s="164"/>
      <c r="G838" s="164"/>
    </row>
    <row r="839" customHeight="1" spans="1:7">
      <c r="A839" s="165" t="s">
        <v>869</v>
      </c>
      <c r="B839" s="129"/>
      <c r="C839" s="129"/>
      <c r="D839" s="129" t="s">
        <v>870</v>
      </c>
      <c r="E839" s="130" t="s">
        <v>1608</v>
      </c>
      <c r="F839" s="131"/>
      <c r="G839" s="132"/>
    </row>
    <row r="840" customHeight="1" spans="1:7">
      <c r="A840" s="144" t="s">
        <v>507</v>
      </c>
      <c r="B840" s="166"/>
      <c r="C840" s="167" t="s">
        <v>1342</v>
      </c>
      <c r="D840" s="167"/>
      <c r="E840" s="167"/>
      <c r="F840" s="61" t="s">
        <v>873</v>
      </c>
      <c r="G840" s="138" t="s">
        <v>874</v>
      </c>
    </row>
    <row r="841" customHeight="1" spans="1:7">
      <c r="A841" s="168" t="s">
        <v>1337</v>
      </c>
      <c r="B841" s="167"/>
      <c r="C841" s="167"/>
      <c r="D841" s="167"/>
      <c r="E841" s="167"/>
      <c r="F841" s="167"/>
      <c r="G841" s="169"/>
    </row>
    <row r="842" customHeight="1" spans="1:7">
      <c r="A842" s="141" t="s">
        <v>1098</v>
      </c>
      <c r="B842" s="142"/>
      <c r="C842" s="170"/>
      <c r="D842" s="170"/>
      <c r="E842" s="170"/>
      <c r="F842" s="170"/>
      <c r="G842" s="171"/>
    </row>
    <row r="843" customHeight="1" spans="1:7">
      <c r="A843" s="144" t="s">
        <v>34</v>
      </c>
      <c r="B843" s="61" t="s">
        <v>761</v>
      </c>
      <c r="C843" s="61"/>
      <c r="D843" s="61" t="s">
        <v>60</v>
      </c>
      <c r="E843" s="147" t="s">
        <v>877</v>
      </c>
      <c r="F843" s="61" t="s">
        <v>878</v>
      </c>
      <c r="G843" s="138" t="s">
        <v>879</v>
      </c>
    </row>
    <row r="844" customHeight="1" spans="1:7">
      <c r="A844" s="144" t="s">
        <v>8</v>
      </c>
      <c r="B844" s="153" t="s">
        <v>880</v>
      </c>
      <c r="C844" s="153"/>
      <c r="D844" s="61"/>
      <c r="E844" s="147"/>
      <c r="F844" s="147"/>
      <c r="G844" s="150">
        <f>G845+G855</f>
        <v>824.339497238232</v>
      </c>
    </row>
    <row r="845" customHeight="1" spans="1:7">
      <c r="A845" s="144" t="s">
        <v>881</v>
      </c>
      <c r="B845" s="153" t="s">
        <v>882</v>
      </c>
      <c r="C845" s="153"/>
      <c r="D845" s="61"/>
      <c r="E845" s="147"/>
      <c r="F845" s="147"/>
      <c r="G845" s="150">
        <f>G846+G849+G851</f>
        <v>786.583489731137</v>
      </c>
    </row>
    <row r="846" customHeight="1" spans="1:7">
      <c r="A846" s="144" t="s">
        <v>17</v>
      </c>
      <c r="B846" s="153" t="s">
        <v>510</v>
      </c>
      <c r="C846" s="153"/>
      <c r="D846" s="61"/>
      <c r="E846" s="147"/>
      <c r="F846" s="147"/>
      <c r="G846" s="150">
        <f>SUM(G847:G848)</f>
        <v>42.53067</v>
      </c>
    </row>
    <row r="847" customHeight="1" spans="1:7">
      <c r="A847" s="144"/>
      <c r="B847" s="153" t="s">
        <v>704</v>
      </c>
      <c r="C847" s="153"/>
      <c r="D847" s="61" t="s">
        <v>705</v>
      </c>
      <c r="E847" s="147"/>
      <c r="F847" s="147"/>
      <c r="G847" s="150"/>
    </row>
    <row r="848" customHeight="1" spans="1:7">
      <c r="A848" s="144"/>
      <c r="B848" s="153" t="s">
        <v>706</v>
      </c>
      <c r="C848" s="153"/>
      <c r="D848" s="61" t="s">
        <v>705</v>
      </c>
      <c r="E848" s="151">
        <f>8.1*0.91</f>
        <v>7.371</v>
      </c>
      <c r="F848" s="147">
        <f>主要材料预算!$D$20</f>
        <v>5.77</v>
      </c>
      <c r="G848" s="150">
        <f>E848*F848</f>
        <v>42.53067</v>
      </c>
    </row>
    <row r="849" customHeight="1" spans="1:7">
      <c r="A849" s="144" t="s">
        <v>19</v>
      </c>
      <c r="B849" s="148" t="s">
        <v>511</v>
      </c>
      <c r="C849" s="149"/>
      <c r="D849" s="61"/>
      <c r="E849" s="147"/>
      <c r="F849" s="147"/>
      <c r="G849" s="150">
        <f>G850</f>
        <v>37.4563566538637</v>
      </c>
    </row>
    <row r="850" customHeight="1" spans="1:7">
      <c r="A850" s="144"/>
      <c r="B850" s="153" t="s">
        <v>1008</v>
      </c>
      <c r="C850" s="153"/>
      <c r="D850" s="61" t="s">
        <v>894</v>
      </c>
      <c r="E850" s="147">
        <f>G846+G851</f>
        <v>749.127133077273</v>
      </c>
      <c r="F850" s="152">
        <v>5</v>
      </c>
      <c r="G850" s="150">
        <f>E850*F850/100</f>
        <v>37.4563566538637</v>
      </c>
    </row>
    <row r="851" customHeight="1" spans="1:7">
      <c r="A851" s="144" t="s">
        <v>21</v>
      </c>
      <c r="B851" s="153" t="s">
        <v>895</v>
      </c>
      <c r="C851" s="153"/>
      <c r="D851" s="153"/>
      <c r="E851" s="147"/>
      <c r="F851" s="147"/>
      <c r="G851" s="150">
        <f>SUM(G852:G854)</f>
        <v>706.596463077273</v>
      </c>
    </row>
    <row r="852" customHeight="1" spans="1:7">
      <c r="A852" s="144"/>
      <c r="B852" s="148" t="s">
        <v>1325</v>
      </c>
      <c r="C852" s="149"/>
      <c r="D852" s="61" t="s">
        <v>896</v>
      </c>
      <c r="E852" s="147">
        <f>1.61*1.24*0.91</f>
        <v>1.816724</v>
      </c>
      <c r="F852" s="147">
        <f>施工机械台时费!$E$4</f>
        <v>93.2271643398484</v>
      </c>
      <c r="G852" s="150">
        <f t="shared" ref="G852:G857" si="60">E852*F852</f>
        <v>169.368026908147</v>
      </c>
    </row>
    <row r="853" customHeight="1" spans="1:7">
      <c r="A853" s="144"/>
      <c r="B853" s="148" t="s">
        <v>1339</v>
      </c>
      <c r="C853" s="149"/>
      <c r="D853" s="61" t="s">
        <v>896</v>
      </c>
      <c r="E853" s="147">
        <f>0.81*0.91</f>
        <v>0.7371</v>
      </c>
      <c r="F853" s="147">
        <f>施工机械台时费!$E$12</f>
        <v>66.3822584762664</v>
      </c>
      <c r="G853" s="150">
        <f t="shared" si="60"/>
        <v>48.930362722856</v>
      </c>
    </row>
    <row r="854" customHeight="1" spans="1:7">
      <c r="A854" s="144"/>
      <c r="B854" s="148" t="s">
        <v>1340</v>
      </c>
      <c r="C854" s="149"/>
      <c r="D854" s="61" t="s">
        <v>896</v>
      </c>
      <c r="E854" s="147">
        <f>12.18*0.91</f>
        <v>11.0838</v>
      </c>
      <c r="F854" s="147">
        <f>施工机械台时费!$E$30</f>
        <v>44.0551140805744</v>
      </c>
      <c r="G854" s="150">
        <f t="shared" si="60"/>
        <v>488.298073446271</v>
      </c>
    </row>
    <row r="855" customHeight="1" spans="1:7">
      <c r="A855" s="144" t="s">
        <v>905</v>
      </c>
      <c r="B855" s="153" t="s">
        <v>514</v>
      </c>
      <c r="C855" s="153"/>
      <c r="D855" s="61"/>
      <c r="E855" s="154">
        <f>G845</f>
        <v>786.583489731137</v>
      </c>
      <c r="F855" s="155">
        <f>费率表!$C$4</f>
        <v>0.048</v>
      </c>
      <c r="G855" s="150">
        <f t="shared" si="60"/>
        <v>37.7560075070946</v>
      </c>
    </row>
    <row r="856" customHeight="1" spans="1:7">
      <c r="A856" s="144" t="s">
        <v>10</v>
      </c>
      <c r="B856" s="153" t="s">
        <v>770</v>
      </c>
      <c r="C856" s="153"/>
      <c r="D856" s="61"/>
      <c r="E856" s="147">
        <f>G844</f>
        <v>824.339497238232</v>
      </c>
      <c r="F856" s="156">
        <f>费率表!$C$5</f>
        <v>0.045</v>
      </c>
      <c r="G856" s="150">
        <f t="shared" si="60"/>
        <v>37.0952773757204</v>
      </c>
    </row>
    <row r="857" customHeight="1" spans="1:7">
      <c r="A857" s="144" t="s">
        <v>12</v>
      </c>
      <c r="B857" s="153" t="s">
        <v>771</v>
      </c>
      <c r="C857" s="153"/>
      <c r="D857" s="61"/>
      <c r="E857" s="147">
        <f>G844+G856</f>
        <v>861.434774613952</v>
      </c>
      <c r="F857" s="156">
        <f>费率表!$C$6</f>
        <v>0.07</v>
      </c>
      <c r="G857" s="150">
        <f t="shared" si="60"/>
        <v>60.3004342229766</v>
      </c>
    </row>
    <row r="858" customHeight="1" spans="1:7">
      <c r="A858" s="144" t="s">
        <v>15</v>
      </c>
      <c r="B858" s="148" t="s">
        <v>517</v>
      </c>
      <c r="C858" s="149"/>
      <c r="D858" s="61"/>
      <c r="E858" s="147"/>
      <c r="F858" s="157"/>
      <c r="G858" s="150">
        <f>G860</f>
        <v>155.362894173882</v>
      </c>
    </row>
    <row r="859" customHeight="1" spans="1:7">
      <c r="A859" s="144"/>
      <c r="B859" s="148" t="s">
        <v>696</v>
      </c>
      <c r="C859" s="149"/>
      <c r="D859" s="61" t="s">
        <v>695</v>
      </c>
      <c r="E859" s="147">
        <f>E854*施工机械台时费!$K$30</f>
        <v>85.34526</v>
      </c>
      <c r="F859" s="147">
        <f>主要材料预算!$N$14</f>
        <v>7.8077586206897</v>
      </c>
      <c r="G859" s="150">
        <f t="shared" ref="G859:G862" si="61">E859*F859</f>
        <v>666.355189500004</v>
      </c>
    </row>
    <row r="860" customHeight="1" spans="1:7">
      <c r="A860" s="144"/>
      <c r="B860" s="148" t="s">
        <v>694</v>
      </c>
      <c r="C860" s="149"/>
      <c r="D860" s="61" t="s">
        <v>695</v>
      </c>
      <c r="E860" s="147">
        <f>E852*施工机械台时费!$L$4+设备维修养护!E853*施工机械台时费!$L$12</f>
        <v>25.6305868</v>
      </c>
      <c r="F860" s="147">
        <f>主要材料预算!$N$13</f>
        <v>6.0616206482593</v>
      </c>
      <c r="G860" s="150">
        <f t="shared" si="61"/>
        <v>155.362894173882</v>
      </c>
    </row>
    <row r="861" customHeight="1" spans="1:7">
      <c r="A861" s="144" t="s">
        <v>906</v>
      </c>
      <c r="B861" s="153" t="s">
        <v>772</v>
      </c>
      <c r="C861" s="153"/>
      <c r="D861" s="61"/>
      <c r="E861" s="147">
        <f>G844+G856+G857+G858</f>
        <v>1077.09810301081</v>
      </c>
      <c r="F861" s="156">
        <f>费率表!$C$7</f>
        <v>0.09</v>
      </c>
      <c r="G861" s="150">
        <f t="shared" si="61"/>
        <v>96.938829270973</v>
      </c>
    </row>
    <row r="862" customHeight="1" spans="1:7">
      <c r="A862" s="144"/>
      <c r="B862" s="153" t="s">
        <v>907</v>
      </c>
      <c r="C862" s="153"/>
      <c r="D862" s="61"/>
      <c r="E862" s="147">
        <f>G844+G856+G857+G858+G861</f>
        <v>1174.03693228178</v>
      </c>
      <c r="F862" s="156">
        <f>费率表!$B$19</f>
        <v>0.03</v>
      </c>
      <c r="G862" s="150">
        <f t="shared" si="61"/>
        <v>35.2211079684535</v>
      </c>
    </row>
    <row r="863" customHeight="1" spans="1:7">
      <c r="A863" s="158"/>
      <c r="B863" s="161" t="s">
        <v>39</v>
      </c>
      <c r="C863" s="161"/>
      <c r="D863" s="161"/>
      <c r="E863" s="162"/>
      <c r="F863" s="161"/>
      <c r="G863" s="163">
        <f>G844+G856+G857+G858+G861+G862</f>
        <v>1209.25804025024</v>
      </c>
    </row>
    <row r="864" customHeight="1" spans="1:7">
      <c r="A864" s="123"/>
      <c r="B864" s="123"/>
      <c r="C864" s="123"/>
      <c r="D864" s="123"/>
      <c r="E864" s="124"/>
      <c r="F864" s="123"/>
      <c r="G864" s="124"/>
    </row>
    <row r="865" customHeight="1" spans="1:7">
      <c r="A865" s="164" t="s">
        <v>868</v>
      </c>
      <c r="B865" s="164"/>
      <c r="C865" s="164"/>
      <c r="D865" s="164"/>
      <c r="E865" s="164"/>
      <c r="F865" s="164"/>
      <c r="G865" s="164"/>
    </row>
    <row r="866" customHeight="1" spans="1:7">
      <c r="A866" s="165" t="s">
        <v>869</v>
      </c>
      <c r="B866" s="129"/>
      <c r="C866" s="129"/>
      <c r="D866" s="129" t="s">
        <v>870</v>
      </c>
      <c r="E866" s="130" t="s">
        <v>1609</v>
      </c>
      <c r="F866" s="131"/>
      <c r="G866" s="132"/>
    </row>
    <row r="867" customHeight="1" spans="1:7">
      <c r="A867" s="144" t="s">
        <v>507</v>
      </c>
      <c r="B867" s="166"/>
      <c r="C867" s="167" t="s">
        <v>1342</v>
      </c>
      <c r="D867" s="167"/>
      <c r="E867" s="167"/>
      <c r="F867" s="61" t="s">
        <v>873</v>
      </c>
      <c r="G867" s="138" t="s">
        <v>874</v>
      </c>
    </row>
    <row r="868" customHeight="1" spans="1:7">
      <c r="A868" s="168" t="s">
        <v>1337</v>
      </c>
      <c r="B868" s="167"/>
      <c r="C868" s="167"/>
      <c r="D868" s="167"/>
      <c r="E868" s="167"/>
      <c r="F868" s="167"/>
      <c r="G868" s="169"/>
    </row>
    <row r="869" customHeight="1" spans="1:7">
      <c r="A869" s="141" t="s">
        <v>1098</v>
      </c>
      <c r="B869" s="142"/>
      <c r="C869" s="170"/>
      <c r="D869" s="170"/>
      <c r="E869" s="170"/>
      <c r="F869" s="170"/>
      <c r="G869" s="171"/>
    </row>
    <row r="870" customHeight="1" spans="1:7">
      <c r="A870" s="144" t="s">
        <v>34</v>
      </c>
      <c r="B870" s="61" t="s">
        <v>761</v>
      </c>
      <c r="C870" s="61"/>
      <c r="D870" s="61" t="s">
        <v>60</v>
      </c>
      <c r="E870" s="147" t="s">
        <v>877</v>
      </c>
      <c r="F870" s="61" t="s">
        <v>878</v>
      </c>
      <c r="G870" s="138" t="s">
        <v>879</v>
      </c>
    </row>
    <row r="871" customHeight="1" spans="1:7">
      <c r="A871" s="144" t="s">
        <v>8</v>
      </c>
      <c r="B871" s="153" t="s">
        <v>880</v>
      </c>
      <c r="C871" s="153"/>
      <c r="D871" s="61"/>
      <c r="E871" s="147"/>
      <c r="F871" s="147"/>
      <c r="G871" s="150">
        <f>G872+G882</f>
        <v>1206.37717475675</v>
      </c>
    </row>
    <row r="872" customHeight="1" spans="1:7">
      <c r="A872" s="144" t="s">
        <v>881</v>
      </c>
      <c r="B872" s="153" t="s">
        <v>882</v>
      </c>
      <c r="C872" s="153"/>
      <c r="D872" s="61"/>
      <c r="E872" s="147"/>
      <c r="F872" s="147"/>
      <c r="G872" s="150">
        <f>G873+G876+G878</f>
        <v>1151.12325835568</v>
      </c>
    </row>
    <row r="873" customHeight="1" spans="1:7">
      <c r="A873" s="144" t="s">
        <v>17</v>
      </c>
      <c r="B873" s="153" t="s">
        <v>510</v>
      </c>
      <c r="C873" s="153"/>
      <c r="D873" s="61"/>
      <c r="E873" s="147"/>
      <c r="F873" s="147"/>
      <c r="G873" s="150">
        <f>SUM(G874:G875)</f>
        <v>42.53067</v>
      </c>
    </row>
    <row r="874" customHeight="1" spans="1:7">
      <c r="A874" s="144"/>
      <c r="B874" s="153" t="s">
        <v>704</v>
      </c>
      <c r="C874" s="153"/>
      <c r="D874" s="61" t="s">
        <v>705</v>
      </c>
      <c r="E874" s="147"/>
      <c r="F874" s="147"/>
      <c r="G874" s="150"/>
    </row>
    <row r="875" customHeight="1" spans="1:7">
      <c r="A875" s="144"/>
      <c r="B875" s="153" t="s">
        <v>706</v>
      </c>
      <c r="C875" s="153"/>
      <c r="D875" s="61" t="s">
        <v>705</v>
      </c>
      <c r="E875" s="151">
        <f>8.1*0.91</f>
        <v>7.371</v>
      </c>
      <c r="F875" s="147">
        <f>主要材料预算!$D$20</f>
        <v>5.77</v>
      </c>
      <c r="G875" s="150">
        <f>E875*F875</f>
        <v>42.53067</v>
      </c>
    </row>
    <row r="876" customHeight="1" spans="1:7">
      <c r="A876" s="144" t="s">
        <v>19</v>
      </c>
      <c r="B876" s="148" t="s">
        <v>511</v>
      </c>
      <c r="C876" s="149"/>
      <c r="D876" s="61"/>
      <c r="E876" s="147"/>
      <c r="F876" s="147"/>
      <c r="G876" s="150">
        <f>G877</f>
        <v>54.8153932550324</v>
      </c>
    </row>
    <row r="877" customHeight="1" spans="1:7">
      <c r="A877" s="144"/>
      <c r="B877" s="153" t="s">
        <v>1008</v>
      </c>
      <c r="C877" s="153"/>
      <c r="D877" s="61" t="s">
        <v>894</v>
      </c>
      <c r="E877" s="147">
        <f>G873+G878</f>
        <v>1096.30786510065</v>
      </c>
      <c r="F877" s="152">
        <v>5</v>
      </c>
      <c r="G877" s="150">
        <f>E877*F877/100</f>
        <v>54.8153932550324</v>
      </c>
    </row>
    <row r="878" customHeight="1" spans="1:7">
      <c r="A878" s="144" t="s">
        <v>21</v>
      </c>
      <c r="B878" s="153" t="s">
        <v>895</v>
      </c>
      <c r="C878" s="153"/>
      <c r="D878" s="153"/>
      <c r="E878" s="147"/>
      <c r="F878" s="147"/>
      <c r="G878" s="150">
        <f>SUM(G879:G881)</f>
        <v>1053.77719510065</v>
      </c>
    </row>
    <row r="879" customHeight="1" spans="1:7">
      <c r="A879" s="144"/>
      <c r="B879" s="148" t="s">
        <v>1325</v>
      </c>
      <c r="C879" s="149"/>
      <c r="D879" s="61" t="s">
        <v>896</v>
      </c>
      <c r="E879" s="147">
        <f>1.61*1.24*0.91</f>
        <v>1.816724</v>
      </c>
      <c r="F879" s="147">
        <f>施工机械台时费!$E$4</f>
        <v>93.2271643398484</v>
      </c>
      <c r="G879" s="150">
        <f t="shared" ref="G879:G884" si="62">E879*F879</f>
        <v>169.368026908147</v>
      </c>
    </row>
    <row r="880" customHeight="1" spans="1:7">
      <c r="A880" s="144"/>
      <c r="B880" s="148" t="s">
        <v>1339</v>
      </c>
      <c r="C880" s="149"/>
      <c r="D880" s="61" t="s">
        <v>896</v>
      </c>
      <c r="E880" s="147">
        <f>0.81*0.91</f>
        <v>0.7371</v>
      </c>
      <c r="F880" s="147">
        <f>施工机械台时费!$E$12</f>
        <v>66.3822584762664</v>
      </c>
      <c r="G880" s="150">
        <f t="shared" si="62"/>
        <v>48.930362722856</v>
      </c>
    </row>
    <row r="881" customHeight="1" spans="1:7">
      <c r="A881" s="144"/>
      <c r="B881" s="148" t="s">
        <v>1340</v>
      </c>
      <c r="C881" s="149"/>
      <c r="D881" s="61" t="s">
        <v>896</v>
      </c>
      <c r="E881" s="147">
        <f>20.84*0.91</f>
        <v>18.9644</v>
      </c>
      <c r="F881" s="147">
        <f>施工机械台时费!$E$30</f>
        <v>44.0551140805744</v>
      </c>
      <c r="G881" s="150">
        <f t="shared" si="62"/>
        <v>835.478805469645</v>
      </c>
    </row>
    <row r="882" customHeight="1" spans="1:7">
      <c r="A882" s="144" t="s">
        <v>905</v>
      </c>
      <c r="B882" s="153" t="s">
        <v>514</v>
      </c>
      <c r="C882" s="153"/>
      <c r="D882" s="61"/>
      <c r="E882" s="154">
        <f>G872</f>
        <v>1151.12325835568</v>
      </c>
      <c r="F882" s="155">
        <f>费率表!$C$4</f>
        <v>0.048</v>
      </c>
      <c r="G882" s="150">
        <f t="shared" si="62"/>
        <v>55.2539164010727</v>
      </c>
    </row>
    <row r="883" customHeight="1" spans="1:7">
      <c r="A883" s="144" t="s">
        <v>10</v>
      </c>
      <c r="B883" s="153" t="s">
        <v>770</v>
      </c>
      <c r="C883" s="153"/>
      <c r="D883" s="61"/>
      <c r="E883" s="147">
        <f>G871</f>
        <v>1206.37717475675</v>
      </c>
      <c r="F883" s="156">
        <f>费率表!$C$5</f>
        <v>0.045</v>
      </c>
      <c r="G883" s="150">
        <f t="shared" si="62"/>
        <v>54.2869728640539</v>
      </c>
    </row>
    <row r="884" customHeight="1" spans="1:7">
      <c r="A884" s="144" t="s">
        <v>12</v>
      </c>
      <c r="B884" s="153" t="s">
        <v>771</v>
      </c>
      <c r="C884" s="153"/>
      <c r="D884" s="61"/>
      <c r="E884" s="147">
        <f>G871+G883</f>
        <v>1260.66414762081</v>
      </c>
      <c r="F884" s="156">
        <f>费率表!$C$6</f>
        <v>0.07</v>
      </c>
      <c r="G884" s="150">
        <f t="shared" si="62"/>
        <v>88.2464903334565</v>
      </c>
    </row>
    <row r="885" customHeight="1" spans="1:7">
      <c r="A885" s="144" t="s">
        <v>15</v>
      </c>
      <c r="B885" s="148" t="s">
        <v>517</v>
      </c>
      <c r="C885" s="149"/>
      <c r="D885" s="61"/>
      <c r="E885" s="147"/>
      <c r="F885" s="157"/>
      <c r="G885" s="150">
        <f>G887</f>
        <v>155.362894173882</v>
      </c>
    </row>
    <row r="886" customHeight="1" spans="1:7">
      <c r="A886" s="144"/>
      <c r="B886" s="148" t="s">
        <v>696</v>
      </c>
      <c r="C886" s="149"/>
      <c r="D886" s="61" t="s">
        <v>695</v>
      </c>
      <c r="E886" s="147">
        <f>E881*施工机械台时费!$K$30</f>
        <v>146.02588</v>
      </c>
      <c r="F886" s="147">
        <f>主要材料预算!$N$14</f>
        <v>7.8077586206897</v>
      </c>
      <c r="G886" s="150">
        <f t="shared" ref="G886:G889" si="63">E886*F886</f>
        <v>1140.1348234138</v>
      </c>
    </row>
    <row r="887" customHeight="1" spans="1:7">
      <c r="A887" s="144"/>
      <c r="B887" s="148" t="s">
        <v>694</v>
      </c>
      <c r="C887" s="149"/>
      <c r="D887" s="61" t="s">
        <v>695</v>
      </c>
      <c r="E887" s="147">
        <f>E879*施工机械台时费!$L$4+设备维修养护!E880*施工机械台时费!$L$12</f>
        <v>25.6305868</v>
      </c>
      <c r="F887" s="147">
        <f>主要材料预算!$N$13</f>
        <v>6.0616206482593</v>
      </c>
      <c r="G887" s="150">
        <f t="shared" si="63"/>
        <v>155.362894173882</v>
      </c>
    </row>
    <row r="888" customHeight="1" spans="1:7">
      <c r="A888" s="144" t="s">
        <v>906</v>
      </c>
      <c r="B888" s="153" t="s">
        <v>772</v>
      </c>
      <c r="C888" s="153"/>
      <c r="D888" s="61"/>
      <c r="E888" s="147">
        <f>G871+G883+G884+G885</f>
        <v>1504.27353212814</v>
      </c>
      <c r="F888" s="156">
        <f>费率表!$C$7</f>
        <v>0.09</v>
      </c>
      <c r="G888" s="150">
        <f t="shared" si="63"/>
        <v>135.384617891533</v>
      </c>
    </row>
    <row r="889" customHeight="1" spans="1:7">
      <c r="A889" s="144"/>
      <c r="B889" s="153" t="s">
        <v>907</v>
      </c>
      <c r="C889" s="153"/>
      <c r="D889" s="61"/>
      <c r="E889" s="147">
        <f>G871+G883+G884+G885+G888</f>
        <v>1639.65815001968</v>
      </c>
      <c r="F889" s="156">
        <f>费率表!$B$19</f>
        <v>0.03</v>
      </c>
      <c r="G889" s="150">
        <f t="shared" si="63"/>
        <v>49.1897445005903</v>
      </c>
    </row>
    <row r="890" customHeight="1" spans="1:7">
      <c r="A890" s="158"/>
      <c r="B890" s="161" t="s">
        <v>39</v>
      </c>
      <c r="C890" s="161"/>
      <c r="D890" s="161"/>
      <c r="E890" s="162"/>
      <c r="F890" s="161"/>
      <c r="G890" s="163">
        <f>G871+G883+G884+G885+G888+G889</f>
        <v>1688.84789452027</v>
      </c>
    </row>
    <row r="891" customHeight="1" spans="1:7">
      <c r="A891" s="172"/>
      <c r="B891" s="172"/>
      <c r="C891" s="173"/>
      <c r="D891" s="174"/>
      <c r="E891" s="175"/>
      <c r="F891" s="174"/>
      <c r="G891" s="175"/>
    </row>
    <row r="892" customHeight="1" spans="1:7">
      <c r="A892" s="164" t="s">
        <v>868</v>
      </c>
      <c r="B892" s="164"/>
      <c r="C892" s="164"/>
      <c r="D892" s="164"/>
      <c r="E892" s="164"/>
      <c r="F892" s="164"/>
      <c r="G892" s="164"/>
    </row>
    <row r="893" customHeight="1" spans="1:7">
      <c r="A893" s="165" t="s">
        <v>869</v>
      </c>
      <c r="B893" s="129"/>
      <c r="C893" s="129"/>
      <c r="D893" s="129" t="s">
        <v>870</v>
      </c>
      <c r="E893" s="130" t="s">
        <v>1610</v>
      </c>
      <c r="F893" s="131"/>
      <c r="G893" s="132"/>
    </row>
    <row r="894" customHeight="1" spans="1:7">
      <c r="A894" s="144" t="s">
        <v>507</v>
      </c>
      <c r="B894" s="166"/>
      <c r="C894" s="167" t="s">
        <v>1342</v>
      </c>
      <c r="D894" s="167"/>
      <c r="E894" s="167"/>
      <c r="F894" s="61" t="s">
        <v>873</v>
      </c>
      <c r="G894" s="138" t="s">
        <v>874</v>
      </c>
    </row>
    <row r="895" customHeight="1" spans="1:7">
      <c r="A895" s="168" t="s">
        <v>1337</v>
      </c>
      <c r="B895" s="167"/>
      <c r="C895" s="167"/>
      <c r="D895" s="167"/>
      <c r="E895" s="167"/>
      <c r="F895" s="167"/>
      <c r="G895" s="169"/>
    </row>
    <row r="896" customHeight="1" spans="1:7">
      <c r="A896" s="141" t="s">
        <v>1098</v>
      </c>
      <c r="B896" s="142"/>
      <c r="C896" s="170"/>
      <c r="D896" s="170"/>
      <c r="E896" s="170"/>
      <c r="F896" s="170"/>
      <c r="G896" s="171"/>
    </row>
    <row r="897" customHeight="1" spans="1:7">
      <c r="A897" s="144" t="s">
        <v>34</v>
      </c>
      <c r="B897" s="61" t="s">
        <v>761</v>
      </c>
      <c r="C897" s="61"/>
      <c r="D897" s="61" t="s">
        <v>60</v>
      </c>
      <c r="E897" s="147" t="s">
        <v>877</v>
      </c>
      <c r="F897" s="61" t="s">
        <v>878</v>
      </c>
      <c r="G897" s="138" t="s">
        <v>879</v>
      </c>
    </row>
    <row r="898" customHeight="1" spans="1:7">
      <c r="A898" s="144" t="s">
        <v>8</v>
      </c>
      <c r="B898" s="153" t="s">
        <v>880</v>
      </c>
      <c r="C898" s="153"/>
      <c r="D898" s="61"/>
      <c r="E898" s="147"/>
      <c r="F898" s="147"/>
      <c r="G898" s="150">
        <f>G899+G909</f>
        <v>1518.27167591795</v>
      </c>
    </row>
    <row r="899" customHeight="1" spans="1:7">
      <c r="A899" s="144" t="s">
        <v>881</v>
      </c>
      <c r="B899" s="153" t="s">
        <v>882</v>
      </c>
      <c r="C899" s="153"/>
      <c r="D899" s="61"/>
      <c r="E899" s="147"/>
      <c r="F899" s="147"/>
      <c r="G899" s="150">
        <f>G900+G903+G905</f>
        <v>1448.73251518888</v>
      </c>
    </row>
    <row r="900" customHeight="1" spans="1:7">
      <c r="A900" s="144" t="s">
        <v>17</v>
      </c>
      <c r="B900" s="153" t="s">
        <v>510</v>
      </c>
      <c r="C900" s="153"/>
      <c r="D900" s="61"/>
      <c r="E900" s="147"/>
      <c r="F900" s="147"/>
      <c r="G900" s="150">
        <f>SUM(G901:G902)</f>
        <v>42.53067</v>
      </c>
    </row>
    <row r="901" customHeight="1" spans="1:7">
      <c r="A901" s="144"/>
      <c r="B901" s="153" t="s">
        <v>704</v>
      </c>
      <c r="C901" s="153"/>
      <c r="D901" s="61" t="s">
        <v>705</v>
      </c>
      <c r="E901" s="147"/>
      <c r="F901" s="147"/>
      <c r="G901" s="150"/>
    </row>
    <row r="902" customHeight="1" spans="1:7">
      <c r="A902" s="144"/>
      <c r="B902" s="153" t="s">
        <v>706</v>
      </c>
      <c r="C902" s="153"/>
      <c r="D902" s="61" t="s">
        <v>705</v>
      </c>
      <c r="E902" s="151">
        <f>8.1*0.91</f>
        <v>7.371</v>
      </c>
      <c r="F902" s="147">
        <f>主要材料预算!$D$20</f>
        <v>5.77</v>
      </c>
      <c r="G902" s="150">
        <f>E902*F902</f>
        <v>42.53067</v>
      </c>
    </row>
    <row r="903" customHeight="1" spans="1:7">
      <c r="A903" s="144" t="s">
        <v>19</v>
      </c>
      <c r="B903" s="148" t="s">
        <v>511</v>
      </c>
      <c r="C903" s="149"/>
      <c r="D903" s="61"/>
      <c r="E903" s="147"/>
      <c r="F903" s="147"/>
      <c r="G903" s="150">
        <f>G904</f>
        <v>68.987262628042</v>
      </c>
    </row>
    <row r="904" customHeight="1" spans="1:7">
      <c r="A904" s="144"/>
      <c r="B904" s="153" t="s">
        <v>1008</v>
      </c>
      <c r="C904" s="153"/>
      <c r="D904" s="61" t="s">
        <v>894</v>
      </c>
      <c r="E904" s="147">
        <f>G900+G905</f>
        <v>1379.74525256084</v>
      </c>
      <c r="F904" s="152">
        <v>5</v>
      </c>
      <c r="G904" s="150">
        <f>E904*F904/100</f>
        <v>68.987262628042</v>
      </c>
    </row>
    <row r="905" customHeight="1" spans="1:7">
      <c r="A905" s="144" t="s">
        <v>21</v>
      </c>
      <c r="B905" s="153" t="s">
        <v>895</v>
      </c>
      <c r="C905" s="153"/>
      <c r="D905" s="153"/>
      <c r="E905" s="147"/>
      <c r="F905" s="147"/>
      <c r="G905" s="150">
        <f>SUM(G906:G908)</f>
        <v>1337.21458256084</v>
      </c>
    </row>
    <row r="906" customHeight="1" spans="1:7">
      <c r="A906" s="144"/>
      <c r="B906" s="148" t="s">
        <v>1325</v>
      </c>
      <c r="C906" s="149"/>
      <c r="D906" s="61" t="s">
        <v>896</v>
      </c>
      <c r="E906" s="147">
        <f>1.61*1.24*0.91</f>
        <v>1.816724</v>
      </c>
      <c r="F906" s="147">
        <f>施工机械台时费!$E$4</f>
        <v>93.2271643398484</v>
      </c>
      <c r="G906" s="150">
        <f t="shared" ref="G906:G911" si="64">E906*F906</f>
        <v>169.368026908147</v>
      </c>
    </row>
    <row r="907" customHeight="1" spans="1:7">
      <c r="A907" s="144"/>
      <c r="B907" s="148" t="s">
        <v>1339</v>
      </c>
      <c r="C907" s="149"/>
      <c r="D907" s="61" t="s">
        <v>896</v>
      </c>
      <c r="E907" s="147">
        <f>0.81*0.91</f>
        <v>0.7371</v>
      </c>
      <c r="F907" s="147">
        <f>施工机械台时费!$E$12</f>
        <v>66.3822584762664</v>
      </c>
      <c r="G907" s="150">
        <f t="shared" si="64"/>
        <v>48.930362722856</v>
      </c>
    </row>
    <row r="908" customHeight="1" spans="1:7">
      <c r="A908" s="144"/>
      <c r="B908" s="148" t="s">
        <v>1340</v>
      </c>
      <c r="C908" s="149"/>
      <c r="D908" s="61" t="s">
        <v>896</v>
      </c>
      <c r="E908" s="147">
        <f>27.91*0.91</f>
        <v>25.3981</v>
      </c>
      <c r="F908" s="147">
        <f>施工机械台时费!$E$30</f>
        <v>44.0551140805744</v>
      </c>
      <c r="G908" s="150">
        <f t="shared" si="64"/>
        <v>1118.91619292984</v>
      </c>
    </row>
    <row r="909" customHeight="1" spans="1:7">
      <c r="A909" s="144" t="s">
        <v>905</v>
      </c>
      <c r="B909" s="153" t="s">
        <v>514</v>
      </c>
      <c r="C909" s="153"/>
      <c r="D909" s="61"/>
      <c r="E909" s="154">
        <f>G899</f>
        <v>1448.73251518888</v>
      </c>
      <c r="F909" s="155">
        <f>费率表!$C$4</f>
        <v>0.048</v>
      </c>
      <c r="G909" s="150">
        <f t="shared" si="64"/>
        <v>69.5391607290663</v>
      </c>
    </row>
    <row r="910" customHeight="1" spans="1:7">
      <c r="A910" s="144" t="s">
        <v>10</v>
      </c>
      <c r="B910" s="153" t="s">
        <v>770</v>
      </c>
      <c r="C910" s="153"/>
      <c r="D910" s="61"/>
      <c r="E910" s="147">
        <f>G898</f>
        <v>1518.27167591795</v>
      </c>
      <c r="F910" s="156">
        <f>费率表!$C$5</f>
        <v>0.045</v>
      </c>
      <c r="G910" s="150">
        <f t="shared" si="64"/>
        <v>68.3222254163076</v>
      </c>
    </row>
    <row r="911" customHeight="1" spans="1:7">
      <c r="A911" s="144" t="s">
        <v>12</v>
      </c>
      <c r="B911" s="153" t="s">
        <v>771</v>
      </c>
      <c r="C911" s="153"/>
      <c r="D911" s="61"/>
      <c r="E911" s="147">
        <f>G898+G910</f>
        <v>1586.59390133426</v>
      </c>
      <c r="F911" s="156">
        <f>费率表!$C$6</f>
        <v>0.07</v>
      </c>
      <c r="G911" s="150">
        <f t="shared" si="64"/>
        <v>111.061573093398</v>
      </c>
    </row>
    <row r="912" customHeight="1" spans="1:7">
      <c r="A912" s="144" t="s">
        <v>15</v>
      </c>
      <c r="B912" s="148" t="s">
        <v>517</v>
      </c>
      <c r="C912" s="149"/>
      <c r="D912" s="61"/>
      <c r="E912" s="147"/>
      <c r="F912" s="157"/>
      <c r="G912" s="150">
        <f>G914</f>
        <v>155.362894173882</v>
      </c>
    </row>
    <row r="913" customHeight="1" spans="1:7">
      <c r="A913" s="144"/>
      <c r="B913" s="148" t="s">
        <v>696</v>
      </c>
      <c r="C913" s="149"/>
      <c r="D913" s="61" t="s">
        <v>695</v>
      </c>
      <c r="E913" s="147">
        <f>E908*施工机械台时费!$K$30</f>
        <v>195.56537</v>
      </c>
      <c r="F913" s="147">
        <f>主要材料预算!$N$14</f>
        <v>7.8077586206897</v>
      </c>
      <c r="G913" s="150">
        <f t="shared" ref="G913:G916" si="65">E913*F913</f>
        <v>1526.92720352587</v>
      </c>
    </row>
    <row r="914" customHeight="1" spans="1:7">
      <c r="A914" s="144"/>
      <c r="B914" s="148" t="s">
        <v>694</v>
      </c>
      <c r="C914" s="149"/>
      <c r="D914" s="61" t="s">
        <v>695</v>
      </c>
      <c r="E914" s="147">
        <f>E906*施工机械台时费!$L$4+设备维修养护!E907*施工机械台时费!$L$12</f>
        <v>25.6305868</v>
      </c>
      <c r="F914" s="147">
        <f>主要材料预算!$N$13</f>
        <v>6.0616206482593</v>
      </c>
      <c r="G914" s="150">
        <f t="shared" si="65"/>
        <v>155.362894173882</v>
      </c>
    </row>
    <row r="915" customHeight="1" spans="1:7">
      <c r="A915" s="144" t="s">
        <v>906</v>
      </c>
      <c r="B915" s="153" t="s">
        <v>772</v>
      </c>
      <c r="C915" s="153"/>
      <c r="D915" s="61"/>
      <c r="E915" s="147">
        <f>G898+G910+G911+G912</f>
        <v>1853.01836860154</v>
      </c>
      <c r="F915" s="156">
        <f>费率表!$C$7</f>
        <v>0.09</v>
      </c>
      <c r="G915" s="150">
        <f t="shared" si="65"/>
        <v>166.771653174138</v>
      </c>
    </row>
    <row r="916" customHeight="1" spans="1:7">
      <c r="A916" s="144"/>
      <c r="B916" s="153" t="s">
        <v>907</v>
      </c>
      <c r="C916" s="153"/>
      <c r="D916" s="61"/>
      <c r="E916" s="147">
        <f>G898+G910+G911+G912+G915</f>
        <v>2019.79002177568</v>
      </c>
      <c r="F916" s="156">
        <f>费率表!$B$19</f>
        <v>0.03</v>
      </c>
      <c r="G916" s="150">
        <f t="shared" si="65"/>
        <v>60.5937006532703</v>
      </c>
    </row>
    <row r="917" customHeight="1" spans="1:7">
      <c r="A917" s="158"/>
      <c r="B917" s="161" t="s">
        <v>39</v>
      </c>
      <c r="C917" s="161"/>
      <c r="D917" s="161"/>
      <c r="E917" s="162"/>
      <c r="F917" s="161"/>
      <c r="G917" s="163">
        <f>G898+G910+G911+G912+G915+G916</f>
        <v>2080.38372242895</v>
      </c>
    </row>
    <row r="918" customHeight="1" spans="1:7">
      <c r="A918" s="172"/>
      <c r="B918" s="172"/>
      <c r="C918" s="173"/>
      <c r="D918" s="174"/>
      <c r="E918" s="175"/>
      <c r="F918" s="174"/>
      <c r="G918" s="175"/>
    </row>
    <row r="919" customHeight="1" spans="1:7">
      <c r="A919" s="164" t="s">
        <v>868</v>
      </c>
      <c r="B919" s="164"/>
      <c r="C919" s="164"/>
      <c r="D919" s="164"/>
      <c r="E919" s="164"/>
      <c r="F919" s="164"/>
      <c r="G919" s="164"/>
    </row>
    <row r="920" customHeight="1" spans="1:7">
      <c r="A920" s="165" t="s">
        <v>869</v>
      </c>
      <c r="B920" s="129"/>
      <c r="C920" s="129"/>
      <c r="D920" s="129" t="s">
        <v>870</v>
      </c>
      <c r="E920" s="130" t="s">
        <v>1611</v>
      </c>
      <c r="F920" s="131"/>
      <c r="G920" s="132"/>
    </row>
    <row r="921" customHeight="1" spans="1:7">
      <c r="A921" s="144" t="s">
        <v>507</v>
      </c>
      <c r="B921" s="166"/>
      <c r="C921" s="167" t="s">
        <v>1349</v>
      </c>
      <c r="D921" s="167"/>
      <c r="E921" s="167"/>
      <c r="F921" s="61" t="s">
        <v>873</v>
      </c>
      <c r="G921" s="138" t="s">
        <v>874</v>
      </c>
    </row>
    <row r="922" customHeight="1" spans="1:7">
      <c r="A922" s="168" t="s">
        <v>1337</v>
      </c>
      <c r="B922" s="167"/>
      <c r="C922" s="167"/>
      <c r="D922" s="167"/>
      <c r="E922" s="167"/>
      <c r="F922" s="167"/>
      <c r="G922" s="169"/>
    </row>
    <row r="923" customHeight="1" spans="1:7">
      <c r="A923" s="141" t="s">
        <v>1098</v>
      </c>
      <c r="B923" s="142"/>
      <c r="C923" s="170"/>
      <c r="D923" s="170"/>
      <c r="E923" s="170"/>
      <c r="F923" s="170"/>
      <c r="G923" s="171"/>
    </row>
    <row r="924" customHeight="1" spans="1:7">
      <c r="A924" s="144" t="s">
        <v>34</v>
      </c>
      <c r="B924" s="61" t="s">
        <v>761</v>
      </c>
      <c r="C924" s="61"/>
      <c r="D924" s="61" t="s">
        <v>60</v>
      </c>
      <c r="E924" s="147" t="s">
        <v>877</v>
      </c>
      <c r="F924" s="61" t="s">
        <v>878</v>
      </c>
      <c r="G924" s="138" t="s">
        <v>879</v>
      </c>
    </row>
    <row r="925" customHeight="1" spans="1:7">
      <c r="A925" s="144" t="s">
        <v>8</v>
      </c>
      <c r="B925" s="153" t="s">
        <v>880</v>
      </c>
      <c r="C925" s="153"/>
      <c r="D925" s="61"/>
      <c r="E925" s="147"/>
      <c r="F925" s="147"/>
      <c r="G925" s="150">
        <f>G926+G936</f>
        <v>1962.95294490025</v>
      </c>
    </row>
    <row r="926" customHeight="1" spans="1:7">
      <c r="A926" s="144" t="s">
        <v>881</v>
      </c>
      <c r="B926" s="153" t="s">
        <v>882</v>
      </c>
      <c r="C926" s="153"/>
      <c r="D926" s="61"/>
      <c r="E926" s="147"/>
      <c r="F926" s="147"/>
      <c r="G926" s="150">
        <f>G927+G930+G932</f>
        <v>1873.04670314909</v>
      </c>
    </row>
    <row r="927" customHeight="1" spans="1:7">
      <c r="A927" s="144" t="s">
        <v>17</v>
      </c>
      <c r="B927" s="153" t="s">
        <v>510</v>
      </c>
      <c r="C927" s="153"/>
      <c r="D927" s="61"/>
      <c r="E927" s="147"/>
      <c r="F927" s="147"/>
      <c r="G927" s="150">
        <f>SUM(G928:G929)</f>
        <v>42.53067</v>
      </c>
    </row>
    <row r="928" customHeight="1" spans="1:7">
      <c r="A928" s="144"/>
      <c r="B928" s="153" t="s">
        <v>704</v>
      </c>
      <c r="C928" s="153"/>
      <c r="D928" s="61" t="s">
        <v>705</v>
      </c>
      <c r="E928" s="147"/>
      <c r="F928" s="147"/>
      <c r="G928" s="150"/>
    </row>
    <row r="929" customHeight="1" spans="1:7">
      <c r="A929" s="144"/>
      <c r="B929" s="153" t="s">
        <v>706</v>
      </c>
      <c r="C929" s="153"/>
      <c r="D929" s="61" t="s">
        <v>705</v>
      </c>
      <c r="E929" s="151">
        <f>8.1*0.91</f>
        <v>7.371</v>
      </c>
      <c r="F929" s="147">
        <f>主要材料预算!$D$20</f>
        <v>5.77</v>
      </c>
      <c r="G929" s="150">
        <f>E929*F929</f>
        <v>42.53067</v>
      </c>
    </row>
    <row r="930" customHeight="1" spans="1:7">
      <c r="A930" s="144" t="s">
        <v>19</v>
      </c>
      <c r="B930" s="148" t="s">
        <v>511</v>
      </c>
      <c r="C930" s="149"/>
      <c r="D930" s="61"/>
      <c r="E930" s="147"/>
      <c r="F930" s="147"/>
      <c r="G930" s="150">
        <f>G931</f>
        <v>89.1927001499566</v>
      </c>
    </row>
    <row r="931" customHeight="1" spans="1:7">
      <c r="A931" s="144"/>
      <c r="B931" s="153" t="s">
        <v>1008</v>
      </c>
      <c r="C931" s="153"/>
      <c r="D931" s="61" t="s">
        <v>894</v>
      </c>
      <c r="E931" s="147">
        <f>G927+G932</f>
        <v>1783.85400299913</v>
      </c>
      <c r="F931" s="152">
        <v>5</v>
      </c>
      <c r="G931" s="150">
        <f>E931*F931/100</f>
        <v>89.1927001499566</v>
      </c>
    </row>
    <row r="932" customHeight="1" spans="1:7">
      <c r="A932" s="144" t="s">
        <v>21</v>
      </c>
      <c r="B932" s="153" t="s">
        <v>895</v>
      </c>
      <c r="C932" s="153"/>
      <c r="D932" s="153"/>
      <c r="E932" s="147"/>
      <c r="F932" s="147"/>
      <c r="G932" s="150">
        <f>SUM(G933:G935)</f>
        <v>1741.32333299913</v>
      </c>
    </row>
    <row r="933" customHeight="1" spans="1:7">
      <c r="A933" s="144"/>
      <c r="B933" s="148" t="s">
        <v>1325</v>
      </c>
      <c r="C933" s="149"/>
      <c r="D933" s="61" t="s">
        <v>896</v>
      </c>
      <c r="E933" s="147">
        <f>1.61*1.24*0.91</f>
        <v>1.816724</v>
      </c>
      <c r="F933" s="147">
        <f>施工机械台时费!$E$4</f>
        <v>93.2271643398484</v>
      </c>
      <c r="G933" s="150">
        <f t="shared" ref="G933:G938" si="66">E933*F933</f>
        <v>169.368026908147</v>
      </c>
    </row>
    <row r="934" customHeight="1" spans="1:7">
      <c r="A934" s="144"/>
      <c r="B934" s="148" t="s">
        <v>1339</v>
      </c>
      <c r="C934" s="149"/>
      <c r="D934" s="61" t="s">
        <v>896</v>
      </c>
      <c r="E934" s="147">
        <f>0.81*0.91</f>
        <v>0.7371</v>
      </c>
      <c r="F934" s="147">
        <f>施工机械台时费!$E$12</f>
        <v>66.3822584762664</v>
      </c>
      <c r="G934" s="150">
        <f t="shared" si="66"/>
        <v>48.930362722856</v>
      </c>
    </row>
    <row r="935" customHeight="1" spans="1:7">
      <c r="A935" s="144"/>
      <c r="B935" s="148" t="s">
        <v>1340</v>
      </c>
      <c r="C935" s="149"/>
      <c r="D935" s="61" t="s">
        <v>896</v>
      </c>
      <c r="E935" s="147">
        <f>(27.91+3*3.36)*0.91</f>
        <v>34.5709</v>
      </c>
      <c r="F935" s="147">
        <f>施工机械台时费!$E$30</f>
        <v>44.0551140805744</v>
      </c>
      <c r="G935" s="150">
        <f t="shared" si="66"/>
        <v>1523.02494336813</v>
      </c>
    </row>
    <row r="936" customHeight="1" spans="1:7">
      <c r="A936" s="144" t="s">
        <v>905</v>
      </c>
      <c r="B936" s="153" t="s">
        <v>514</v>
      </c>
      <c r="C936" s="153"/>
      <c r="D936" s="61"/>
      <c r="E936" s="154">
        <f>G926</f>
        <v>1873.04670314909</v>
      </c>
      <c r="F936" s="155">
        <f>费率表!$C$4</f>
        <v>0.048</v>
      </c>
      <c r="G936" s="150">
        <f t="shared" si="66"/>
        <v>89.9062417511563</v>
      </c>
    </row>
    <row r="937" customHeight="1" spans="1:7">
      <c r="A937" s="144" t="s">
        <v>10</v>
      </c>
      <c r="B937" s="153" t="s">
        <v>770</v>
      </c>
      <c r="C937" s="153"/>
      <c r="D937" s="61"/>
      <c r="E937" s="147">
        <f>G925</f>
        <v>1962.95294490025</v>
      </c>
      <c r="F937" s="156">
        <f>费率表!$C$5</f>
        <v>0.045</v>
      </c>
      <c r="G937" s="150">
        <f t="shared" si="66"/>
        <v>88.332882520511</v>
      </c>
    </row>
    <row r="938" customHeight="1" spans="1:7">
      <c r="A938" s="144" t="s">
        <v>12</v>
      </c>
      <c r="B938" s="153" t="s">
        <v>771</v>
      </c>
      <c r="C938" s="153"/>
      <c r="D938" s="61"/>
      <c r="E938" s="147">
        <f>G925+G937</f>
        <v>2051.28582742076</v>
      </c>
      <c r="F938" s="156">
        <f>费率表!$C$6</f>
        <v>0.07</v>
      </c>
      <c r="G938" s="150">
        <f t="shared" si="66"/>
        <v>143.590007919453</v>
      </c>
    </row>
    <row r="939" customHeight="1" spans="1:7">
      <c r="A939" s="144" t="s">
        <v>15</v>
      </c>
      <c r="B939" s="148" t="s">
        <v>517</v>
      </c>
      <c r="C939" s="149"/>
      <c r="D939" s="61"/>
      <c r="E939" s="147"/>
      <c r="F939" s="157"/>
      <c r="G939" s="150">
        <f>G941</f>
        <v>155.362894173882</v>
      </c>
    </row>
    <row r="940" customHeight="1" spans="1:7">
      <c r="A940" s="144"/>
      <c r="B940" s="148" t="s">
        <v>696</v>
      </c>
      <c r="C940" s="149"/>
      <c r="D940" s="61" t="s">
        <v>695</v>
      </c>
      <c r="E940" s="147">
        <f>E935*施工机械台时费!$K$30</f>
        <v>266.19593</v>
      </c>
      <c r="F940" s="147">
        <f>主要材料预算!$N$14</f>
        <v>7.8077586206897</v>
      </c>
      <c r="G940" s="150">
        <f t="shared" ref="G940:G943" si="67">E940*F940</f>
        <v>2078.39356725001</v>
      </c>
    </row>
    <row r="941" customHeight="1" spans="1:7">
      <c r="A941" s="144"/>
      <c r="B941" s="148" t="s">
        <v>694</v>
      </c>
      <c r="C941" s="149"/>
      <c r="D941" s="61" t="s">
        <v>695</v>
      </c>
      <c r="E941" s="147">
        <f>E933*施工机械台时费!$L$4+设备维修养护!E934*施工机械台时费!$L$12</f>
        <v>25.6305868</v>
      </c>
      <c r="F941" s="147">
        <f>主要材料预算!$N$13</f>
        <v>6.0616206482593</v>
      </c>
      <c r="G941" s="150">
        <f t="shared" si="67"/>
        <v>155.362894173882</v>
      </c>
    </row>
    <row r="942" customHeight="1" spans="1:7">
      <c r="A942" s="144" t="s">
        <v>906</v>
      </c>
      <c r="B942" s="153" t="s">
        <v>772</v>
      </c>
      <c r="C942" s="153"/>
      <c r="D942" s="61"/>
      <c r="E942" s="147">
        <f>G925+G937+G938+G939</f>
        <v>2350.2387295141</v>
      </c>
      <c r="F942" s="156">
        <f>费率表!$C$7</f>
        <v>0.09</v>
      </c>
      <c r="G942" s="150">
        <f t="shared" si="67"/>
        <v>211.521485656269</v>
      </c>
    </row>
    <row r="943" customHeight="1" spans="1:7">
      <c r="A943" s="144"/>
      <c r="B943" s="153" t="s">
        <v>907</v>
      </c>
      <c r="C943" s="153"/>
      <c r="D943" s="61"/>
      <c r="E943" s="147">
        <f>G925+G937+G938+G939+G942</f>
        <v>2561.76021517036</v>
      </c>
      <c r="F943" s="156">
        <f>费率表!$B$19</f>
        <v>0.03</v>
      </c>
      <c r="G943" s="150">
        <f t="shared" si="67"/>
        <v>76.852806455111</v>
      </c>
    </row>
    <row r="944" customHeight="1" spans="1:7">
      <c r="A944" s="158"/>
      <c r="B944" s="161" t="s">
        <v>39</v>
      </c>
      <c r="C944" s="161"/>
      <c r="D944" s="161"/>
      <c r="E944" s="162"/>
      <c r="F944" s="161"/>
      <c r="G944" s="163">
        <f>G925+G937+G938+G939+G942+G943</f>
        <v>2638.61302162548</v>
      </c>
    </row>
    <row r="945" customHeight="1" spans="1:7">
      <c r="A945" s="172"/>
      <c r="B945" s="172"/>
      <c r="C945" s="173"/>
      <c r="D945" s="174"/>
      <c r="E945" s="175"/>
      <c r="F945" s="174"/>
      <c r="G945" s="175"/>
    </row>
    <row r="946" customHeight="1" spans="1:7">
      <c r="A946" s="172"/>
      <c r="B946" s="172"/>
      <c r="C946" s="173"/>
      <c r="D946" s="174"/>
      <c r="E946" s="175"/>
      <c r="F946" s="174"/>
      <c r="G946" s="175"/>
    </row>
    <row r="947" customHeight="1" spans="1:7">
      <c r="A947" s="164" t="s">
        <v>868</v>
      </c>
      <c r="B947" s="164"/>
      <c r="C947" s="164"/>
      <c r="D947" s="164"/>
      <c r="E947" s="164"/>
      <c r="F947" s="164"/>
      <c r="G947" s="164"/>
    </row>
    <row r="948" customHeight="1" spans="1:7">
      <c r="A948" s="165" t="s">
        <v>869</v>
      </c>
      <c r="B948" s="129"/>
      <c r="C948" s="129"/>
      <c r="D948" s="129" t="s">
        <v>870</v>
      </c>
      <c r="E948" s="130" t="s">
        <v>1612</v>
      </c>
      <c r="F948" s="131"/>
      <c r="G948" s="132"/>
    </row>
    <row r="949" customHeight="1" spans="1:7">
      <c r="A949" s="144" t="s">
        <v>507</v>
      </c>
      <c r="B949" s="166"/>
      <c r="C949" s="167" t="s">
        <v>1356</v>
      </c>
      <c r="D949" s="167"/>
      <c r="E949" s="167"/>
      <c r="F949" s="61" t="s">
        <v>873</v>
      </c>
      <c r="G949" s="138" t="s">
        <v>874</v>
      </c>
    </row>
    <row r="950" customHeight="1" spans="1:7">
      <c r="A950" s="168" t="s">
        <v>1337</v>
      </c>
      <c r="B950" s="167"/>
      <c r="C950" s="167"/>
      <c r="D950" s="167"/>
      <c r="E950" s="167"/>
      <c r="F950" s="167"/>
      <c r="G950" s="169"/>
    </row>
    <row r="951" customHeight="1" spans="1:7">
      <c r="A951" s="141" t="s">
        <v>1098</v>
      </c>
      <c r="B951" s="142"/>
      <c r="C951" s="170"/>
      <c r="D951" s="170"/>
      <c r="E951" s="170"/>
      <c r="F951" s="170"/>
      <c r="G951" s="171"/>
    </row>
    <row r="952" customHeight="1" spans="1:7">
      <c r="A952" s="144" t="s">
        <v>34</v>
      </c>
      <c r="B952" s="61" t="s">
        <v>761</v>
      </c>
      <c r="C952" s="61"/>
      <c r="D952" s="61" t="s">
        <v>60</v>
      </c>
      <c r="E952" s="147" t="s">
        <v>877</v>
      </c>
      <c r="F952" s="61" t="s">
        <v>878</v>
      </c>
      <c r="G952" s="138" t="s">
        <v>879</v>
      </c>
    </row>
    <row r="953" customHeight="1" spans="1:7">
      <c r="A953" s="144" t="s">
        <v>8</v>
      </c>
      <c r="B953" s="153" t="s">
        <v>880</v>
      </c>
      <c r="C953" s="153"/>
      <c r="D953" s="61"/>
      <c r="E953" s="147"/>
      <c r="F953" s="147"/>
      <c r="G953" s="150">
        <f>G954+G964</f>
        <v>541.802643360472</v>
      </c>
    </row>
    <row r="954" customHeight="1" spans="1:7">
      <c r="A954" s="144" t="s">
        <v>881</v>
      </c>
      <c r="B954" s="153" t="s">
        <v>882</v>
      </c>
      <c r="C954" s="153"/>
      <c r="D954" s="61"/>
      <c r="E954" s="147"/>
      <c r="F954" s="147"/>
      <c r="G954" s="150">
        <f>G955+G958+G960</f>
        <v>516.987255114954</v>
      </c>
    </row>
    <row r="955" customHeight="1" spans="1:7">
      <c r="A955" s="144" t="s">
        <v>17</v>
      </c>
      <c r="B955" s="153" t="s">
        <v>510</v>
      </c>
      <c r="C955" s="153"/>
      <c r="D955" s="61"/>
      <c r="E955" s="147"/>
      <c r="F955" s="147"/>
      <c r="G955" s="150">
        <f>SUM(G956:G957)</f>
        <v>27.30364</v>
      </c>
    </row>
    <row r="956" customHeight="1" spans="1:7">
      <c r="A956" s="144"/>
      <c r="B956" s="153" t="s">
        <v>704</v>
      </c>
      <c r="C956" s="153"/>
      <c r="D956" s="61" t="s">
        <v>705</v>
      </c>
      <c r="E956" s="147"/>
      <c r="F956" s="147"/>
      <c r="G956" s="150"/>
    </row>
    <row r="957" customHeight="1" spans="1:7">
      <c r="A957" s="144"/>
      <c r="B957" s="153" t="s">
        <v>706</v>
      </c>
      <c r="C957" s="153"/>
      <c r="D957" s="61" t="s">
        <v>705</v>
      </c>
      <c r="E957" s="151">
        <f>5.2*0.91</f>
        <v>4.732</v>
      </c>
      <c r="F957" s="147">
        <f>主要材料预算!$D$20</f>
        <v>5.77</v>
      </c>
      <c r="G957" s="150">
        <f>E957*F957</f>
        <v>27.30364</v>
      </c>
    </row>
    <row r="958" customHeight="1" spans="1:7">
      <c r="A958" s="144" t="s">
        <v>19</v>
      </c>
      <c r="B958" s="148" t="s">
        <v>511</v>
      </c>
      <c r="C958" s="149"/>
      <c r="D958" s="61"/>
      <c r="E958" s="147"/>
      <c r="F958" s="147"/>
      <c r="G958" s="150">
        <f>G959</f>
        <v>24.6184407197597</v>
      </c>
    </row>
    <row r="959" customHeight="1" spans="1:7">
      <c r="A959" s="144"/>
      <c r="B959" s="153" t="s">
        <v>1008</v>
      </c>
      <c r="C959" s="153"/>
      <c r="D959" s="61" t="s">
        <v>894</v>
      </c>
      <c r="E959" s="147">
        <f>G955+G960</f>
        <v>492.368814395194</v>
      </c>
      <c r="F959" s="152">
        <v>5</v>
      </c>
      <c r="G959" s="150">
        <f>E959*F959/100</f>
        <v>24.6184407197597</v>
      </c>
    </row>
    <row r="960" customHeight="1" spans="1:7">
      <c r="A960" s="144" t="s">
        <v>21</v>
      </c>
      <c r="B960" s="153" t="s">
        <v>895</v>
      </c>
      <c r="C960" s="153"/>
      <c r="D960" s="153"/>
      <c r="E960" s="147"/>
      <c r="F960" s="147"/>
      <c r="G960" s="150">
        <f>SUM(G961:G963)</f>
        <v>465.065174395194</v>
      </c>
    </row>
    <row r="961" customHeight="1" spans="1:7">
      <c r="A961" s="144"/>
      <c r="B961" s="148" t="s">
        <v>1353</v>
      </c>
      <c r="C961" s="149"/>
      <c r="D961" s="61" t="s">
        <v>896</v>
      </c>
      <c r="E961" s="147">
        <f>1.04*1.24*0.91</f>
        <v>1.173536</v>
      </c>
      <c r="F961" s="147">
        <f>施工机械台时费!$E$6</f>
        <v>122.94140686079</v>
      </c>
      <c r="G961" s="150">
        <f t="shared" ref="G961:G966" si="68">E961*F961</f>
        <v>144.276166841784</v>
      </c>
    </row>
    <row r="962" customHeight="1" spans="1:7">
      <c r="A962" s="144"/>
      <c r="B962" s="148" t="s">
        <v>1339</v>
      </c>
      <c r="C962" s="149"/>
      <c r="D962" s="61" t="s">
        <v>896</v>
      </c>
      <c r="E962" s="147">
        <f>0.52*0.91</f>
        <v>0.4732</v>
      </c>
      <c r="F962" s="147">
        <f>施工机械台时费!$E$12</f>
        <v>66.3822584762664</v>
      </c>
      <c r="G962" s="150">
        <f t="shared" si="68"/>
        <v>31.4120847109693</v>
      </c>
    </row>
    <row r="963" customHeight="1" spans="1:7">
      <c r="A963" s="144"/>
      <c r="B963" s="148" t="s">
        <v>1354</v>
      </c>
      <c r="C963" s="149"/>
      <c r="D963" s="61" t="s">
        <v>896</v>
      </c>
      <c r="E963" s="147">
        <f>4.35*0.91</f>
        <v>3.9585</v>
      </c>
      <c r="F963" s="147">
        <f>施工机械台时费!$E$32</f>
        <v>73.10267092142</v>
      </c>
      <c r="G963" s="150">
        <f t="shared" si="68"/>
        <v>289.376922842441</v>
      </c>
    </row>
    <row r="964" customHeight="1" spans="1:7">
      <c r="A964" s="144" t="s">
        <v>905</v>
      </c>
      <c r="B964" s="153" t="s">
        <v>514</v>
      </c>
      <c r="C964" s="153"/>
      <c r="D964" s="61"/>
      <c r="E964" s="154">
        <f>G954</f>
        <v>516.987255114954</v>
      </c>
      <c r="F964" s="155">
        <f>费率表!$C$4</f>
        <v>0.048</v>
      </c>
      <c r="G964" s="150">
        <f t="shared" si="68"/>
        <v>24.8153882455178</v>
      </c>
    </row>
    <row r="965" customHeight="1" spans="1:7">
      <c r="A965" s="144" t="s">
        <v>10</v>
      </c>
      <c r="B965" s="153" t="s">
        <v>770</v>
      </c>
      <c r="C965" s="153"/>
      <c r="D965" s="61"/>
      <c r="E965" s="147">
        <f>G953</f>
        <v>541.802643360472</v>
      </c>
      <c r="F965" s="156">
        <f>费率表!$C$5</f>
        <v>0.045</v>
      </c>
      <c r="G965" s="150">
        <f t="shared" si="68"/>
        <v>24.3811189512212</v>
      </c>
    </row>
    <row r="966" customHeight="1" spans="1:7">
      <c r="A966" s="144" t="s">
        <v>12</v>
      </c>
      <c r="B966" s="153" t="s">
        <v>771</v>
      </c>
      <c r="C966" s="153"/>
      <c r="D966" s="61"/>
      <c r="E966" s="147">
        <f>G953+G965</f>
        <v>566.183762311693</v>
      </c>
      <c r="F966" s="156">
        <f>费率表!$C$6</f>
        <v>0.07</v>
      </c>
      <c r="G966" s="150">
        <f t="shared" si="68"/>
        <v>39.6328633618185</v>
      </c>
    </row>
    <row r="967" customHeight="1" spans="1:7">
      <c r="A967" s="144" t="s">
        <v>15</v>
      </c>
      <c r="B967" s="148" t="s">
        <v>517</v>
      </c>
      <c r="C967" s="149"/>
      <c r="D967" s="61"/>
      <c r="E967" s="147"/>
      <c r="F967" s="157"/>
      <c r="G967" s="150">
        <f>G968</f>
        <v>374.834050842151</v>
      </c>
    </row>
    <row r="968" customHeight="1" spans="1:7">
      <c r="A968" s="144"/>
      <c r="B968" s="148" t="s">
        <v>694</v>
      </c>
      <c r="C968" s="149"/>
      <c r="D968" s="61" t="s">
        <v>695</v>
      </c>
      <c r="E968" s="147">
        <f>E961*施工机械台时费!$L$6+设备维修养护!$E$988*施工机械台时费!$L$12+设备维修养护!E963*施工机械台时费!$L$32</f>
        <v>61.8372664</v>
      </c>
      <c r="F968" s="147">
        <f>主要材料预算!$N$13</f>
        <v>6.0616206482593</v>
      </c>
      <c r="G968" s="150">
        <f t="shared" ref="G968:G970" si="69">E968*F968</f>
        <v>374.834050842151</v>
      </c>
    </row>
    <row r="969" customHeight="1" spans="1:7">
      <c r="A969" s="144" t="s">
        <v>906</v>
      </c>
      <c r="B969" s="153" t="s">
        <v>772</v>
      </c>
      <c r="C969" s="153"/>
      <c r="D969" s="61"/>
      <c r="E969" s="147">
        <f>G953+G965+G966+G967</f>
        <v>980.650676515663</v>
      </c>
      <c r="F969" s="156">
        <f>费率表!$C$7</f>
        <v>0.09</v>
      </c>
      <c r="G969" s="150">
        <f t="shared" si="69"/>
        <v>88.2585608864096</v>
      </c>
    </row>
    <row r="970" customHeight="1" spans="1:7">
      <c r="A970" s="144"/>
      <c r="B970" s="153" t="s">
        <v>907</v>
      </c>
      <c r="C970" s="153"/>
      <c r="D970" s="61"/>
      <c r="E970" s="147">
        <f>G953+G965+G966+G967+G969</f>
        <v>1068.90923740207</v>
      </c>
      <c r="F970" s="156">
        <f>费率表!$B$19</f>
        <v>0.03</v>
      </c>
      <c r="G970" s="150">
        <f t="shared" si="69"/>
        <v>32.0672771220622</v>
      </c>
    </row>
    <row r="971" customHeight="1" spans="1:7">
      <c r="A971" s="158"/>
      <c r="B971" s="161" t="s">
        <v>39</v>
      </c>
      <c r="C971" s="161"/>
      <c r="D971" s="161"/>
      <c r="E971" s="162"/>
      <c r="F971" s="161"/>
      <c r="G971" s="163">
        <f>G953+G965+G966+G967+G969+G970</f>
        <v>1100.97651452413</v>
      </c>
    </row>
    <row r="972" customHeight="1" spans="1:7">
      <c r="A972" s="172"/>
      <c r="B972" s="172"/>
      <c r="C972" s="173"/>
      <c r="D972" s="174"/>
      <c r="E972" s="175"/>
      <c r="F972" s="174"/>
      <c r="G972" s="175"/>
    </row>
    <row r="973" customHeight="1" spans="1:7">
      <c r="A973" s="164" t="s">
        <v>868</v>
      </c>
      <c r="B973" s="164"/>
      <c r="C973" s="164"/>
      <c r="D973" s="164"/>
      <c r="E973" s="164"/>
      <c r="F973" s="164"/>
      <c r="G973" s="164"/>
    </row>
    <row r="974" customHeight="1" spans="1:7">
      <c r="A974" s="165" t="s">
        <v>869</v>
      </c>
      <c r="B974" s="129"/>
      <c r="C974" s="129"/>
      <c r="D974" s="129" t="s">
        <v>870</v>
      </c>
      <c r="E974" s="130" t="s">
        <v>1613</v>
      </c>
      <c r="F974" s="131"/>
      <c r="G974" s="132"/>
    </row>
    <row r="975" customHeight="1" spans="1:7">
      <c r="A975" s="144" t="s">
        <v>507</v>
      </c>
      <c r="B975" s="166"/>
      <c r="C975" s="167" t="s">
        <v>1358</v>
      </c>
      <c r="D975" s="167"/>
      <c r="E975" s="167"/>
      <c r="F975" s="61" t="s">
        <v>873</v>
      </c>
      <c r="G975" s="138" t="s">
        <v>874</v>
      </c>
    </row>
    <row r="976" customHeight="1" spans="1:7">
      <c r="A976" s="168" t="s">
        <v>1337</v>
      </c>
      <c r="B976" s="167"/>
      <c r="C976" s="167"/>
      <c r="D976" s="167"/>
      <c r="E976" s="167"/>
      <c r="F976" s="167"/>
      <c r="G976" s="169"/>
    </row>
    <row r="977" customHeight="1" spans="1:7">
      <c r="A977" s="141" t="s">
        <v>1098</v>
      </c>
      <c r="B977" s="142"/>
      <c r="C977" s="170"/>
      <c r="D977" s="170"/>
      <c r="E977" s="170"/>
      <c r="F977" s="170"/>
      <c r="G977" s="171"/>
    </row>
    <row r="978" customHeight="1" spans="1:7">
      <c r="A978" s="144" t="s">
        <v>34</v>
      </c>
      <c r="B978" s="61" t="s">
        <v>761</v>
      </c>
      <c r="C978" s="61"/>
      <c r="D978" s="61" t="s">
        <v>60</v>
      </c>
      <c r="E978" s="147" t="s">
        <v>877</v>
      </c>
      <c r="F978" s="61" t="s">
        <v>878</v>
      </c>
      <c r="G978" s="138" t="s">
        <v>879</v>
      </c>
    </row>
    <row r="979" customHeight="1" spans="1:7">
      <c r="A979" s="144" t="s">
        <v>8</v>
      </c>
      <c r="B979" s="153" t="s">
        <v>880</v>
      </c>
      <c r="C979" s="153"/>
      <c r="D979" s="61"/>
      <c r="E979" s="147"/>
      <c r="F979" s="147"/>
      <c r="G979" s="150">
        <f>G980+G990</f>
        <v>638.429788873687</v>
      </c>
    </row>
    <row r="980" customHeight="1" spans="1:7">
      <c r="A980" s="144" t="s">
        <v>881</v>
      </c>
      <c r="B980" s="153" t="s">
        <v>882</v>
      </c>
      <c r="C980" s="153"/>
      <c r="D980" s="61"/>
      <c r="E980" s="147"/>
      <c r="F980" s="147"/>
      <c r="G980" s="150">
        <f>G981+G984+G986</f>
        <v>609.188729841304</v>
      </c>
    </row>
    <row r="981" customHeight="1" spans="1:7">
      <c r="A981" s="144" t="s">
        <v>17</v>
      </c>
      <c r="B981" s="153" t="s">
        <v>510</v>
      </c>
      <c r="C981" s="153"/>
      <c r="D981" s="61"/>
      <c r="E981" s="147"/>
      <c r="F981" s="147"/>
      <c r="G981" s="150">
        <f>SUM(G982:G983)</f>
        <v>27.30364</v>
      </c>
    </row>
    <row r="982" customHeight="1" spans="1:7">
      <c r="A982" s="144"/>
      <c r="B982" s="153" t="s">
        <v>704</v>
      </c>
      <c r="C982" s="153"/>
      <c r="D982" s="61" t="s">
        <v>705</v>
      </c>
      <c r="E982" s="147"/>
      <c r="F982" s="147"/>
      <c r="G982" s="150"/>
    </row>
    <row r="983" customHeight="1" spans="1:7">
      <c r="A983" s="144"/>
      <c r="B983" s="153" t="s">
        <v>706</v>
      </c>
      <c r="C983" s="153"/>
      <c r="D983" s="61" t="s">
        <v>705</v>
      </c>
      <c r="E983" s="151">
        <f>5.2*0.91</f>
        <v>4.732</v>
      </c>
      <c r="F983" s="147">
        <f>主要材料预算!$D$20</f>
        <v>5.77</v>
      </c>
      <c r="G983" s="150">
        <f>E983*F983</f>
        <v>27.30364</v>
      </c>
    </row>
    <row r="984" customHeight="1" spans="1:7">
      <c r="A984" s="144" t="s">
        <v>19</v>
      </c>
      <c r="B984" s="148" t="s">
        <v>511</v>
      </c>
      <c r="C984" s="149"/>
      <c r="D984" s="61"/>
      <c r="E984" s="147"/>
      <c r="F984" s="147"/>
      <c r="G984" s="150">
        <f>G985</f>
        <v>29.0089871353002</v>
      </c>
    </row>
    <row r="985" customHeight="1" spans="1:7">
      <c r="A985" s="144"/>
      <c r="B985" s="153" t="s">
        <v>1008</v>
      </c>
      <c r="C985" s="153"/>
      <c r="D985" s="61" t="s">
        <v>894</v>
      </c>
      <c r="E985" s="147">
        <f>G981+G986</f>
        <v>580.179742706004</v>
      </c>
      <c r="F985" s="152">
        <v>5</v>
      </c>
      <c r="G985" s="150">
        <f>E985*F985/100</f>
        <v>29.0089871353002</v>
      </c>
    </row>
    <row r="986" customHeight="1" spans="1:7">
      <c r="A986" s="144" t="s">
        <v>21</v>
      </c>
      <c r="B986" s="153" t="s">
        <v>895</v>
      </c>
      <c r="C986" s="153"/>
      <c r="D986" s="153"/>
      <c r="E986" s="147"/>
      <c r="F986" s="147"/>
      <c r="G986" s="150">
        <f>SUM(G987:G989)</f>
        <v>552.876102706004</v>
      </c>
    </row>
    <row r="987" customHeight="1" spans="1:7">
      <c r="A987" s="144"/>
      <c r="B987" s="148" t="s">
        <v>1353</v>
      </c>
      <c r="C987" s="149"/>
      <c r="D987" s="61" t="s">
        <v>896</v>
      </c>
      <c r="E987" s="147">
        <f>1.04*1.24*0.91</f>
        <v>1.173536</v>
      </c>
      <c r="F987" s="147">
        <f>施工机械台时费!$E$6</f>
        <v>122.94140686079</v>
      </c>
      <c r="G987" s="150">
        <f t="shared" ref="G987:G992" si="70">E987*F987</f>
        <v>144.276166841784</v>
      </c>
    </row>
    <row r="988" customHeight="1" spans="1:7">
      <c r="A988" s="144"/>
      <c r="B988" s="148" t="s">
        <v>1339</v>
      </c>
      <c r="C988" s="149"/>
      <c r="D988" s="61" t="s">
        <v>896</v>
      </c>
      <c r="E988" s="147">
        <f>0.52*0.91</f>
        <v>0.4732</v>
      </c>
      <c r="F988" s="147">
        <f>施工机械台时费!$E$12</f>
        <v>66.3822584762664</v>
      </c>
      <c r="G988" s="150">
        <f t="shared" si="70"/>
        <v>31.4120847109693</v>
      </c>
    </row>
    <row r="989" customHeight="1" spans="1:7">
      <c r="A989" s="144"/>
      <c r="B989" s="148" t="s">
        <v>1354</v>
      </c>
      <c r="C989" s="149"/>
      <c r="D989" s="61" t="s">
        <v>896</v>
      </c>
      <c r="E989" s="147">
        <f>5.67*0.91</f>
        <v>5.1597</v>
      </c>
      <c r="F989" s="147">
        <f>施工机械台时费!$E$32</f>
        <v>73.10267092142</v>
      </c>
      <c r="G989" s="150">
        <f t="shared" si="70"/>
        <v>377.187851153251</v>
      </c>
    </row>
    <row r="990" customHeight="1" spans="1:7">
      <c r="A990" s="144" t="s">
        <v>905</v>
      </c>
      <c r="B990" s="153" t="s">
        <v>514</v>
      </c>
      <c r="C990" s="153"/>
      <c r="D990" s="61"/>
      <c r="E990" s="154">
        <f>G980</f>
        <v>609.188729841304</v>
      </c>
      <c r="F990" s="155">
        <f>费率表!$C$4</f>
        <v>0.048</v>
      </c>
      <c r="G990" s="150">
        <f t="shared" si="70"/>
        <v>29.2410590323826</v>
      </c>
    </row>
    <row r="991" customHeight="1" spans="1:7">
      <c r="A991" s="144" t="s">
        <v>10</v>
      </c>
      <c r="B991" s="153" t="s">
        <v>770</v>
      </c>
      <c r="C991" s="153"/>
      <c r="D991" s="61"/>
      <c r="E991" s="147">
        <f>G979</f>
        <v>638.429788873687</v>
      </c>
      <c r="F991" s="156">
        <f>费率表!$C$5</f>
        <v>0.045</v>
      </c>
      <c r="G991" s="150">
        <f t="shared" si="70"/>
        <v>28.7293404993159</v>
      </c>
    </row>
    <row r="992" customHeight="1" spans="1:7">
      <c r="A992" s="144" t="s">
        <v>12</v>
      </c>
      <c r="B992" s="153" t="s">
        <v>771</v>
      </c>
      <c r="C992" s="153"/>
      <c r="D992" s="61"/>
      <c r="E992" s="147">
        <f>G979+G991</f>
        <v>667.159129373003</v>
      </c>
      <c r="F992" s="156">
        <f>费率表!$C$6</f>
        <v>0.07</v>
      </c>
      <c r="G992" s="150">
        <f t="shared" si="70"/>
        <v>46.7011390561102</v>
      </c>
    </row>
    <row r="993" customHeight="1" spans="1:7">
      <c r="A993" s="144" t="s">
        <v>15</v>
      </c>
      <c r="B993" s="148" t="s">
        <v>517</v>
      </c>
      <c r="C993" s="149"/>
      <c r="D993" s="61"/>
      <c r="E993" s="147"/>
      <c r="F993" s="157"/>
      <c r="G993" s="150">
        <f>G994</f>
        <v>449.10248181358</v>
      </c>
    </row>
    <row r="994" customHeight="1" spans="1:7">
      <c r="A994" s="144"/>
      <c r="B994" s="148" t="s">
        <v>694</v>
      </c>
      <c r="C994" s="149"/>
      <c r="D994" s="61" t="s">
        <v>695</v>
      </c>
      <c r="E994" s="147">
        <f>E987*施工机械台时费!$L$6+设备维修养护!$E$988*施工机械台时费!$L$12+设备维修养护!E989*施工机械台时费!$L$32</f>
        <v>74.0895064</v>
      </c>
      <c r="F994" s="147">
        <f>主要材料预算!$N$13</f>
        <v>6.0616206482593</v>
      </c>
      <c r="G994" s="150">
        <f t="shared" ref="G994:G996" si="71">E994*F994</f>
        <v>449.10248181358</v>
      </c>
    </row>
    <row r="995" customHeight="1" spans="1:7">
      <c r="A995" s="144" t="s">
        <v>906</v>
      </c>
      <c r="B995" s="153" t="s">
        <v>772</v>
      </c>
      <c r="C995" s="153"/>
      <c r="D995" s="61"/>
      <c r="E995" s="147">
        <f>G979+G991+G992+G993</f>
        <v>1162.96275024269</v>
      </c>
      <c r="F995" s="156">
        <f>费率表!$C$7</f>
        <v>0.09</v>
      </c>
      <c r="G995" s="150">
        <f t="shared" si="71"/>
        <v>104.666647521842</v>
      </c>
    </row>
    <row r="996" customHeight="1" spans="1:7">
      <c r="A996" s="144"/>
      <c r="B996" s="153" t="s">
        <v>907</v>
      </c>
      <c r="C996" s="153"/>
      <c r="D996" s="61"/>
      <c r="E996" s="147">
        <f>G979+G991+G992+G993+G995</f>
        <v>1267.62939776454</v>
      </c>
      <c r="F996" s="156">
        <f>费率表!$B$19</f>
        <v>0.03</v>
      </c>
      <c r="G996" s="150">
        <f t="shared" si="71"/>
        <v>38.0288819329361</v>
      </c>
    </row>
    <row r="997" customHeight="1" spans="1:7">
      <c r="A997" s="158"/>
      <c r="B997" s="161" t="s">
        <v>39</v>
      </c>
      <c r="C997" s="161"/>
      <c r="D997" s="161"/>
      <c r="E997" s="162"/>
      <c r="F997" s="161"/>
      <c r="G997" s="163">
        <f>G979+G991+G992+G993+G995+G996</f>
        <v>1305.65827969747</v>
      </c>
    </row>
    <row r="999" customHeight="1" spans="1:7">
      <c r="A999" s="164" t="s">
        <v>868</v>
      </c>
      <c r="B999" s="164"/>
      <c r="C999" s="164"/>
      <c r="D999" s="164"/>
      <c r="E999" s="164"/>
      <c r="F999" s="164"/>
      <c r="G999" s="164"/>
    </row>
    <row r="1000" customHeight="1" spans="1:7">
      <c r="A1000" s="165" t="s">
        <v>869</v>
      </c>
      <c r="B1000" s="129"/>
      <c r="C1000" s="129"/>
      <c r="D1000" s="129" t="s">
        <v>870</v>
      </c>
      <c r="E1000" s="130" t="s">
        <v>1614</v>
      </c>
      <c r="F1000" s="131"/>
      <c r="G1000" s="132"/>
    </row>
    <row r="1001" customHeight="1" spans="1:7">
      <c r="A1001" s="144" t="s">
        <v>507</v>
      </c>
      <c r="B1001" s="166"/>
      <c r="C1001" s="167" t="s">
        <v>1358</v>
      </c>
      <c r="D1001" s="167"/>
      <c r="E1001" s="167"/>
      <c r="F1001" s="61" t="s">
        <v>873</v>
      </c>
      <c r="G1001" s="138" t="s">
        <v>874</v>
      </c>
    </row>
    <row r="1002" customHeight="1" spans="1:7">
      <c r="A1002" s="168" t="s">
        <v>1337</v>
      </c>
      <c r="B1002" s="167"/>
      <c r="C1002" s="167"/>
      <c r="D1002" s="167"/>
      <c r="E1002" s="167"/>
      <c r="F1002" s="167"/>
      <c r="G1002" s="169"/>
    </row>
    <row r="1003" customHeight="1" spans="1:7">
      <c r="A1003" s="141" t="s">
        <v>1098</v>
      </c>
      <c r="B1003" s="142"/>
      <c r="C1003" s="170"/>
      <c r="D1003" s="170"/>
      <c r="E1003" s="170"/>
      <c r="F1003" s="170"/>
      <c r="G1003" s="171"/>
    </row>
    <row r="1004" customHeight="1" spans="1:7">
      <c r="A1004" s="144" t="s">
        <v>34</v>
      </c>
      <c r="B1004" s="61" t="s">
        <v>761</v>
      </c>
      <c r="C1004" s="61"/>
      <c r="D1004" s="61" t="s">
        <v>60</v>
      </c>
      <c r="E1004" s="147" t="s">
        <v>877</v>
      </c>
      <c r="F1004" s="61" t="s">
        <v>878</v>
      </c>
      <c r="G1004" s="138" t="s">
        <v>879</v>
      </c>
    </row>
    <row r="1005" customHeight="1" spans="1:7">
      <c r="A1005" s="144" t="s">
        <v>8</v>
      </c>
      <c r="B1005" s="153" t="s">
        <v>880</v>
      </c>
      <c r="C1005" s="153"/>
      <c r="D1005" s="61"/>
      <c r="E1005" s="147"/>
      <c r="F1005" s="147"/>
      <c r="G1005" s="150">
        <f>G1006+G1016</f>
        <v>905.618486694319</v>
      </c>
    </row>
    <row r="1006" customHeight="1" spans="1:7">
      <c r="A1006" s="144" t="s">
        <v>881</v>
      </c>
      <c r="B1006" s="153" t="s">
        <v>882</v>
      </c>
      <c r="C1006" s="153"/>
      <c r="D1006" s="61"/>
      <c r="E1006" s="147"/>
      <c r="F1006" s="147"/>
      <c r="G1006" s="150">
        <f>G1007+G1010+G1012</f>
        <v>864.139777380076</v>
      </c>
    </row>
    <row r="1007" customHeight="1" spans="1:7">
      <c r="A1007" s="144" t="s">
        <v>17</v>
      </c>
      <c r="B1007" s="153" t="s">
        <v>510</v>
      </c>
      <c r="C1007" s="153"/>
      <c r="D1007" s="61"/>
      <c r="E1007" s="147"/>
      <c r="F1007" s="147"/>
      <c r="G1007" s="150">
        <f>SUM(G1008:G1009)</f>
        <v>27.30364</v>
      </c>
    </row>
    <row r="1008" customHeight="1" spans="1:7">
      <c r="A1008" s="144"/>
      <c r="B1008" s="153" t="s">
        <v>704</v>
      </c>
      <c r="C1008" s="153"/>
      <c r="D1008" s="61" t="s">
        <v>705</v>
      </c>
      <c r="E1008" s="147"/>
      <c r="F1008" s="147"/>
      <c r="G1008" s="150"/>
    </row>
    <row r="1009" customHeight="1" spans="1:7">
      <c r="A1009" s="144"/>
      <c r="B1009" s="153" t="s">
        <v>706</v>
      </c>
      <c r="C1009" s="153"/>
      <c r="D1009" s="61" t="s">
        <v>705</v>
      </c>
      <c r="E1009" s="151">
        <f>5.2*0.91</f>
        <v>4.732</v>
      </c>
      <c r="F1009" s="147">
        <f>主要材料预算!$D$20</f>
        <v>5.77</v>
      </c>
      <c r="G1009" s="150">
        <f>E1009*F1009</f>
        <v>27.30364</v>
      </c>
    </row>
    <row r="1010" customHeight="1" spans="1:7">
      <c r="A1010" s="144" t="s">
        <v>19</v>
      </c>
      <c r="B1010" s="148" t="s">
        <v>511</v>
      </c>
      <c r="C1010" s="149"/>
      <c r="D1010" s="61"/>
      <c r="E1010" s="147"/>
      <c r="F1010" s="147"/>
      <c r="G1010" s="150">
        <f>G1011</f>
        <v>41.149513208575</v>
      </c>
    </row>
    <row r="1011" customHeight="1" spans="1:7">
      <c r="A1011" s="144"/>
      <c r="B1011" s="153" t="s">
        <v>1008</v>
      </c>
      <c r="C1011" s="153"/>
      <c r="D1011" s="61" t="s">
        <v>894</v>
      </c>
      <c r="E1011" s="147">
        <f>G1007+G1012</f>
        <v>822.990264171501</v>
      </c>
      <c r="F1011" s="152">
        <v>5</v>
      </c>
      <c r="G1011" s="150">
        <f>E1011*F1011/100</f>
        <v>41.149513208575</v>
      </c>
    </row>
    <row r="1012" customHeight="1" spans="1:7">
      <c r="A1012" s="144" t="s">
        <v>21</v>
      </c>
      <c r="B1012" s="153" t="s">
        <v>895</v>
      </c>
      <c r="C1012" s="153"/>
      <c r="D1012" s="153"/>
      <c r="E1012" s="147"/>
      <c r="F1012" s="147"/>
      <c r="G1012" s="150">
        <f>SUM(G1013:G1015)</f>
        <v>795.686624171501</v>
      </c>
    </row>
    <row r="1013" customHeight="1" spans="1:7">
      <c r="A1013" s="144"/>
      <c r="B1013" s="148" t="s">
        <v>1353</v>
      </c>
      <c r="C1013" s="149"/>
      <c r="D1013" s="61" t="s">
        <v>896</v>
      </c>
      <c r="E1013" s="147">
        <f>1.04*1.24*0.91</f>
        <v>1.173536</v>
      </c>
      <c r="F1013" s="147">
        <f>施工机械台时费!$E$6</f>
        <v>122.94140686079</v>
      </c>
      <c r="G1013" s="150">
        <f t="shared" ref="G1013:G1018" si="72">E1013*F1013</f>
        <v>144.276166841784</v>
      </c>
    </row>
    <row r="1014" customHeight="1" spans="1:7">
      <c r="A1014" s="144"/>
      <c r="B1014" s="148" t="s">
        <v>1339</v>
      </c>
      <c r="C1014" s="149"/>
      <c r="D1014" s="61" t="s">
        <v>896</v>
      </c>
      <c r="E1014" s="147">
        <f>0.52*0.91</f>
        <v>0.4732</v>
      </c>
      <c r="F1014" s="147">
        <f>施工机械台时费!$E$12</f>
        <v>66.3822584762664</v>
      </c>
      <c r="G1014" s="150">
        <f t="shared" si="72"/>
        <v>31.4120847109693</v>
      </c>
    </row>
    <row r="1015" customHeight="1" spans="1:7">
      <c r="A1015" s="144"/>
      <c r="B1015" s="148" t="s">
        <v>1354</v>
      </c>
      <c r="C1015" s="149"/>
      <c r="D1015" s="61" t="s">
        <v>896</v>
      </c>
      <c r="E1015" s="147">
        <f>9.32*0.91</f>
        <v>8.4812</v>
      </c>
      <c r="F1015" s="147">
        <f>施工机械台时费!$E$32</f>
        <v>73.10267092142</v>
      </c>
      <c r="G1015" s="150">
        <f t="shared" si="72"/>
        <v>619.998372618748</v>
      </c>
    </row>
    <row r="1016" customHeight="1" spans="1:7">
      <c r="A1016" s="144" t="s">
        <v>905</v>
      </c>
      <c r="B1016" s="153" t="s">
        <v>514</v>
      </c>
      <c r="C1016" s="153"/>
      <c r="D1016" s="61"/>
      <c r="E1016" s="154">
        <f>G1006</f>
        <v>864.139777380076</v>
      </c>
      <c r="F1016" s="155">
        <f>费率表!$C$4</f>
        <v>0.048</v>
      </c>
      <c r="G1016" s="150">
        <f t="shared" si="72"/>
        <v>41.4787093142436</v>
      </c>
    </row>
    <row r="1017" customHeight="1" spans="1:7">
      <c r="A1017" s="144" t="s">
        <v>10</v>
      </c>
      <c r="B1017" s="153" t="s">
        <v>770</v>
      </c>
      <c r="C1017" s="153"/>
      <c r="D1017" s="61"/>
      <c r="E1017" s="147">
        <f>G1005</f>
        <v>905.618486694319</v>
      </c>
      <c r="F1017" s="156">
        <f>费率表!$C$5</f>
        <v>0.045</v>
      </c>
      <c r="G1017" s="150">
        <f t="shared" si="72"/>
        <v>40.7528319012444</v>
      </c>
    </row>
    <row r="1018" customHeight="1" spans="1:7">
      <c r="A1018" s="144" t="s">
        <v>12</v>
      </c>
      <c r="B1018" s="153" t="s">
        <v>771</v>
      </c>
      <c r="C1018" s="153"/>
      <c r="D1018" s="61"/>
      <c r="E1018" s="147">
        <f>G1005+G1017</f>
        <v>946.371318595564</v>
      </c>
      <c r="F1018" s="156">
        <f>费率表!$C$6</f>
        <v>0.07</v>
      </c>
      <c r="G1018" s="150">
        <f t="shared" si="72"/>
        <v>66.2459923016895</v>
      </c>
    </row>
    <row r="1019" customHeight="1" spans="1:7">
      <c r="A1019" s="144" t="s">
        <v>15</v>
      </c>
      <c r="B1019" s="148" t="s">
        <v>517</v>
      </c>
      <c r="C1019" s="149"/>
      <c r="D1019" s="61"/>
      <c r="E1019" s="147"/>
      <c r="F1019" s="157"/>
      <c r="G1019" s="150">
        <f>G1020</f>
        <v>654.465946242151</v>
      </c>
    </row>
    <row r="1020" customHeight="1" spans="1:7">
      <c r="A1020" s="144"/>
      <c r="B1020" s="148" t="s">
        <v>694</v>
      </c>
      <c r="C1020" s="149"/>
      <c r="D1020" s="61" t="s">
        <v>695</v>
      </c>
      <c r="E1020" s="147">
        <f>E1013*施工机械台时费!$L$6+设备维修养护!$E$988*施工机械台时费!$L$12+设备维修养护!E1015*施工机械台时费!$L$32</f>
        <v>107.9688064</v>
      </c>
      <c r="F1020" s="147">
        <f>主要材料预算!$N$13</f>
        <v>6.0616206482593</v>
      </c>
      <c r="G1020" s="150">
        <f t="shared" ref="G1020:G1022" si="73">E1020*F1020</f>
        <v>654.465946242151</v>
      </c>
    </row>
    <row r="1021" customHeight="1" spans="1:7">
      <c r="A1021" s="144" t="s">
        <v>906</v>
      </c>
      <c r="B1021" s="153" t="s">
        <v>772</v>
      </c>
      <c r="C1021" s="153"/>
      <c r="D1021" s="61"/>
      <c r="E1021" s="147">
        <f>G1005+G1017+G1018+G1019</f>
        <v>1667.0832571394</v>
      </c>
      <c r="F1021" s="156">
        <f>费率表!$C$7</f>
        <v>0.09</v>
      </c>
      <c r="G1021" s="150">
        <f t="shared" si="73"/>
        <v>150.037493142546</v>
      </c>
    </row>
    <row r="1022" customHeight="1" spans="1:7">
      <c r="A1022" s="144"/>
      <c r="B1022" s="153" t="s">
        <v>907</v>
      </c>
      <c r="C1022" s="153"/>
      <c r="D1022" s="61"/>
      <c r="E1022" s="147">
        <f>G1005+G1017+G1018+G1019+G1021</f>
        <v>1817.12075028195</v>
      </c>
      <c r="F1022" s="156">
        <f>费率表!$B$19</f>
        <v>0.03</v>
      </c>
      <c r="G1022" s="150">
        <f t="shared" si="73"/>
        <v>54.5136225084585</v>
      </c>
    </row>
    <row r="1023" customHeight="1" spans="1:7">
      <c r="A1023" s="158"/>
      <c r="B1023" s="161" t="s">
        <v>39</v>
      </c>
      <c r="C1023" s="161"/>
      <c r="D1023" s="161"/>
      <c r="E1023" s="162"/>
      <c r="F1023" s="161"/>
      <c r="G1023" s="163">
        <f>G1005+G1017+G1018+G1019+G1021+G1022</f>
        <v>1871.63437279041</v>
      </c>
    </row>
    <row r="1026" customHeight="1" spans="1:7">
      <c r="A1026" s="164" t="s">
        <v>868</v>
      </c>
      <c r="B1026" s="164"/>
      <c r="C1026" s="164"/>
      <c r="D1026" s="164"/>
      <c r="E1026" s="164"/>
      <c r="F1026" s="164"/>
      <c r="G1026" s="164"/>
    </row>
    <row r="1027" customHeight="1" spans="1:7">
      <c r="A1027" s="165" t="s">
        <v>869</v>
      </c>
      <c r="B1027" s="129"/>
      <c r="C1027" s="129"/>
      <c r="D1027" s="129" t="s">
        <v>870</v>
      </c>
      <c r="E1027" s="130" t="s">
        <v>1378</v>
      </c>
      <c r="F1027" s="131"/>
      <c r="G1027" s="132"/>
    </row>
    <row r="1028" customHeight="1" spans="1:7">
      <c r="A1028" s="144" t="s">
        <v>507</v>
      </c>
      <c r="B1028" s="166"/>
      <c r="C1028" s="167" t="s">
        <v>1377</v>
      </c>
      <c r="D1028" s="167"/>
      <c r="E1028" s="167"/>
      <c r="F1028" s="61" t="s">
        <v>873</v>
      </c>
      <c r="G1028" s="138" t="s">
        <v>874</v>
      </c>
    </row>
    <row r="1029" customHeight="1" spans="1:7">
      <c r="A1029" s="168" t="s">
        <v>875</v>
      </c>
      <c r="B1029" s="167"/>
      <c r="C1029" s="167"/>
      <c r="D1029" s="167"/>
      <c r="E1029" s="167"/>
      <c r="F1029" s="167"/>
      <c r="G1029" s="169"/>
    </row>
    <row r="1030" customHeight="1" spans="1:7">
      <c r="A1030" s="141" t="s">
        <v>1291</v>
      </c>
      <c r="B1030" s="142"/>
      <c r="C1030" s="170"/>
      <c r="D1030" s="170"/>
      <c r="E1030" s="170"/>
      <c r="F1030" s="170"/>
      <c r="G1030" s="171"/>
    </row>
    <row r="1031" customHeight="1" spans="1:7">
      <c r="A1031" s="144" t="s">
        <v>34</v>
      </c>
      <c r="B1031" s="61" t="s">
        <v>761</v>
      </c>
      <c r="C1031" s="61"/>
      <c r="D1031" s="61" t="s">
        <v>60</v>
      </c>
      <c r="E1031" s="147" t="s">
        <v>877</v>
      </c>
      <c r="F1031" s="61" t="s">
        <v>878</v>
      </c>
      <c r="G1031" s="138" t="s">
        <v>879</v>
      </c>
    </row>
    <row r="1032" customHeight="1" spans="1:7">
      <c r="A1032" s="144" t="s">
        <v>8</v>
      </c>
      <c r="B1032" s="153" t="s">
        <v>880</v>
      </c>
      <c r="C1032" s="153"/>
      <c r="D1032" s="61"/>
      <c r="E1032" s="147"/>
      <c r="F1032" s="147"/>
      <c r="G1032" s="150">
        <f>G1033+G1041</f>
        <v>1835.40097233602</v>
      </c>
    </row>
    <row r="1033" customHeight="1" spans="1:7">
      <c r="A1033" s="144" t="s">
        <v>881</v>
      </c>
      <c r="B1033" s="153" t="s">
        <v>882</v>
      </c>
      <c r="C1033" s="153"/>
      <c r="D1033" s="61"/>
      <c r="E1033" s="147"/>
      <c r="F1033" s="147"/>
      <c r="G1033" s="150">
        <f>G1034+G1037+G1039</f>
        <v>1751.33680566414</v>
      </c>
    </row>
    <row r="1034" customHeight="1" spans="1:7">
      <c r="A1034" s="144" t="s">
        <v>17</v>
      </c>
      <c r="B1034" s="153" t="s">
        <v>510</v>
      </c>
      <c r="C1034" s="153"/>
      <c r="D1034" s="61"/>
      <c r="E1034" s="147"/>
      <c r="F1034" s="147"/>
      <c r="G1034" s="150">
        <f>SUM(G1035:G1036)</f>
        <v>1343.588</v>
      </c>
    </row>
    <row r="1035" customHeight="1" spans="1:7">
      <c r="A1035" s="144"/>
      <c r="B1035" s="153" t="s">
        <v>704</v>
      </c>
      <c r="C1035" s="153"/>
      <c r="D1035" s="61" t="s">
        <v>705</v>
      </c>
      <c r="E1035" s="147">
        <v>4.6</v>
      </c>
      <c r="F1035" s="147">
        <f>主要材料预算!$D$19</f>
        <v>8.1</v>
      </c>
      <c r="G1035" s="150">
        <f t="shared" ref="G1035:G1043" si="74">E1035*F1035</f>
        <v>37.26</v>
      </c>
    </row>
    <row r="1036" customHeight="1" spans="1:7">
      <c r="A1036" s="144"/>
      <c r="B1036" s="153" t="s">
        <v>706</v>
      </c>
      <c r="C1036" s="153"/>
      <c r="D1036" s="61" t="s">
        <v>705</v>
      </c>
      <c r="E1036" s="147">
        <v>226.4</v>
      </c>
      <c r="F1036" s="147">
        <f>主要材料预算!$D$20</f>
        <v>5.77</v>
      </c>
      <c r="G1036" s="150">
        <f t="shared" si="74"/>
        <v>1306.328</v>
      </c>
    </row>
    <row r="1037" customHeight="1" spans="1:7">
      <c r="A1037" s="144" t="s">
        <v>19</v>
      </c>
      <c r="B1037" s="148" t="s">
        <v>511</v>
      </c>
      <c r="C1037" s="149"/>
      <c r="D1037" s="61"/>
      <c r="E1037" s="147"/>
      <c r="F1037" s="147"/>
      <c r="G1037" s="150">
        <f>G1038</f>
        <v>83.3969907459114</v>
      </c>
    </row>
    <row r="1038" customHeight="1" spans="1:7">
      <c r="A1038" s="144"/>
      <c r="B1038" s="153" t="s">
        <v>1008</v>
      </c>
      <c r="C1038" s="153"/>
      <c r="D1038" s="61" t="s">
        <v>894</v>
      </c>
      <c r="E1038" s="147">
        <f>G1034+G1039</f>
        <v>1667.93981491823</v>
      </c>
      <c r="F1038" s="152">
        <v>5</v>
      </c>
      <c r="G1038" s="150">
        <f>E1038*F1038/100</f>
        <v>83.3969907459114</v>
      </c>
    </row>
    <row r="1039" customHeight="1" spans="1:7">
      <c r="A1039" s="144" t="s">
        <v>21</v>
      </c>
      <c r="B1039" s="153" t="s">
        <v>895</v>
      </c>
      <c r="C1039" s="153"/>
      <c r="D1039" s="153"/>
      <c r="E1039" s="147"/>
      <c r="F1039" s="147"/>
      <c r="G1039" s="150">
        <f>SUM(G1040:G1040)</f>
        <v>324.351814918229</v>
      </c>
    </row>
    <row r="1040" customHeight="1" spans="1:7">
      <c r="A1040" s="144"/>
      <c r="B1040" s="148" t="s">
        <v>1279</v>
      </c>
      <c r="C1040" s="149"/>
      <c r="D1040" s="61" t="s">
        <v>896</v>
      </c>
      <c r="E1040" s="147">
        <f>14.4</f>
        <v>14.4</v>
      </c>
      <c r="F1040" s="147">
        <f>施工机械台时费!$E$17</f>
        <v>22.5244315915437</v>
      </c>
      <c r="G1040" s="150">
        <f t="shared" si="74"/>
        <v>324.351814918229</v>
      </c>
    </row>
    <row r="1041" customHeight="1" spans="1:7">
      <c r="A1041" s="144" t="s">
        <v>905</v>
      </c>
      <c r="B1041" s="153" t="s">
        <v>514</v>
      </c>
      <c r="C1041" s="153"/>
      <c r="D1041" s="61"/>
      <c r="E1041" s="154">
        <f>G1033</f>
        <v>1751.33680566414</v>
      </c>
      <c r="F1041" s="155">
        <f>费率表!$C$4</f>
        <v>0.048</v>
      </c>
      <c r="G1041" s="150">
        <f t="shared" si="74"/>
        <v>84.0641666718787</v>
      </c>
    </row>
    <row r="1042" customHeight="1" spans="1:7">
      <c r="A1042" s="144" t="s">
        <v>10</v>
      </c>
      <c r="B1042" s="153" t="s">
        <v>770</v>
      </c>
      <c r="C1042" s="153"/>
      <c r="D1042" s="61"/>
      <c r="E1042" s="147">
        <f>G1032</f>
        <v>1835.40097233602</v>
      </c>
      <c r="F1042" s="156">
        <f>费率表!$C$5</f>
        <v>0.045</v>
      </c>
      <c r="G1042" s="150">
        <f t="shared" si="74"/>
        <v>82.5930437551208</v>
      </c>
    </row>
    <row r="1043" customHeight="1" spans="1:7">
      <c r="A1043" s="144" t="s">
        <v>12</v>
      </c>
      <c r="B1043" s="153" t="s">
        <v>771</v>
      </c>
      <c r="C1043" s="153"/>
      <c r="D1043" s="61"/>
      <c r="E1043" s="147">
        <f>G1032+G1042</f>
        <v>1917.99401609114</v>
      </c>
      <c r="F1043" s="156">
        <f>费率表!$C$6</f>
        <v>0.07</v>
      </c>
      <c r="G1043" s="150">
        <f t="shared" si="74"/>
        <v>134.25958112638</v>
      </c>
    </row>
    <row r="1044" customHeight="1" spans="1:7">
      <c r="A1044" s="144" t="s">
        <v>15</v>
      </c>
      <c r="B1044" s="148" t="s">
        <v>517</v>
      </c>
      <c r="C1044" s="149"/>
      <c r="D1044" s="61"/>
      <c r="E1044" s="147"/>
      <c r="F1044" s="157"/>
      <c r="G1044" s="150">
        <f>G1045</f>
        <v>0</v>
      </c>
    </row>
    <row r="1045" customHeight="1" spans="1:7">
      <c r="A1045" s="144"/>
      <c r="B1045" s="148" t="s">
        <v>694</v>
      </c>
      <c r="C1045" s="149"/>
      <c r="D1045" s="61" t="s">
        <v>695</v>
      </c>
      <c r="E1045" s="147"/>
      <c r="F1045" s="147">
        <f>主要材料预算!$N$13</f>
        <v>6.0616206482593</v>
      </c>
      <c r="G1045" s="150">
        <f t="shared" ref="G1045:G1047" si="75">E1045*F1045</f>
        <v>0</v>
      </c>
    </row>
    <row r="1046" customHeight="1" spans="1:7">
      <c r="A1046" s="144" t="s">
        <v>906</v>
      </c>
      <c r="B1046" s="153" t="s">
        <v>772</v>
      </c>
      <c r="C1046" s="153"/>
      <c r="D1046" s="61"/>
      <c r="E1046" s="147">
        <f>G1032+G1042+G1043+G1044</f>
        <v>2052.25359721752</v>
      </c>
      <c r="F1046" s="156">
        <f>费率表!$C$7</f>
        <v>0.09</v>
      </c>
      <c r="G1046" s="150">
        <f t="shared" si="75"/>
        <v>184.702823749577</v>
      </c>
    </row>
    <row r="1047" customHeight="1" spans="1:7">
      <c r="A1047" s="144"/>
      <c r="B1047" s="153" t="s">
        <v>907</v>
      </c>
      <c r="C1047" s="153"/>
      <c r="D1047" s="61"/>
      <c r="E1047" s="147">
        <f>G1032+G1042+G1043+G1044+G1046</f>
        <v>2236.9564209671</v>
      </c>
      <c r="F1047" s="156">
        <f>费率表!$B$19</f>
        <v>0.03</v>
      </c>
      <c r="G1047" s="150">
        <f t="shared" si="75"/>
        <v>67.1086926290129</v>
      </c>
    </row>
    <row r="1048" customHeight="1" spans="1:7">
      <c r="A1048" s="158"/>
      <c r="B1048" s="161" t="s">
        <v>39</v>
      </c>
      <c r="C1048" s="161"/>
      <c r="D1048" s="161"/>
      <c r="E1048" s="162"/>
      <c r="F1048" s="161"/>
      <c r="G1048" s="163">
        <f>G1032+G1042+G1043+G1044+G1046+G1047</f>
        <v>2304.06511359611</v>
      </c>
    </row>
    <row r="1050" customHeight="1" spans="1:7">
      <c r="A1050" s="164" t="s">
        <v>868</v>
      </c>
      <c r="B1050" s="164"/>
      <c r="C1050" s="164"/>
      <c r="D1050" s="164"/>
      <c r="E1050" s="164"/>
      <c r="F1050" s="164"/>
      <c r="G1050" s="164"/>
    </row>
    <row r="1051" customHeight="1" spans="1:7">
      <c r="A1051" s="165" t="s">
        <v>869</v>
      </c>
      <c r="B1051" s="129"/>
      <c r="C1051" s="129"/>
      <c r="D1051" s="129" t="s">
        <v>870</v>
      </c>
      <c r="E1051" s="130" t="s">
        <v>1284</v>
      </c>
      <c r="F1051" s="131"/>
      <c r="G1051" s="132"/>
    </row>
    <row r="1052" customHeight="1" spans="1:7">
      <c r="A1052" s="144" t="s">
        <v>507</v>
      </c>
      <c r="B1052" s="166"/>
      <c r="C1052" s="167" t="s">
        <v>1379</v>
      </c>
      <c r="D1052" s="167"/>
      <c r="E1052" s="167"/>
      <c r="F1052" s="61" t="s">
        <v>873</v>
      </c>
      <c r="G1052" s="138" t="s">
        <v>874</v>
      </c>
    </row>
    <row r="1053" customHeight="1" spans="1:7">
      <c r="A1053" s="168" t="s">
        <v>1282</v>
      </c>
      <c r="B1053" s="167"/>
      <c r="C1053" s="167"/>
      <c r="D1053" s="167"/>
      <c r="E1053" s="167"/>
      <c r="F1053" s="167"/>
      <c r="G1053" s="169"/>
    </row>
    <row r="1054" customHeight="1" spans="1:7">
      <c r="A1054" s="141" t="s">
        <v>1283</v>
      </c>
      <c r="B1054" s="142"/>
      <c r="C1054" s="170"/>
      <c r="D1054" s="170"/>
      <c r="E1054" s="170"/>
      <c r="F1054" s="170"/>
      <c r="G1054" s="171"/>
    </row>
    <row r="1055" customHeight="1" spans="1:7">
      <c r="A1055" s="144" t="s">
        <v>34</v>
      </c>
      <c r="B1055" s="61" t="s">
        <v>761</v>
      </c>
      <c r="C1055" s="61"/>
      <c r="D1055" s="61" t="s">
        <v>60</v>
      </c>
      <c r="E1055" s="147" t="s">
        <v>877</v>
      </c>
      <c r="F1055" s="61" t="s">
        <v>878</v>
      </c>
      <c r="G1055" s="138" t="s">
        <v>879</v>
      </c>
    </row>
    <row r="1056" customHeight="1" spans="1:7">
      <c r="A1056" s="144" t="s">
        <v>8</v>
      </c>
      <c r="B1056" s="153" t="s">
        <v>880</v>
      </c>
      <c r="C1056" s="153"/>
      <c r="D1056" s="61"/>
      <c r="E1056" s="147"/>
      <c r="F1056" s="147"/>
      <c r="G1056" s="150">
        <f>G1057+G1063</f>
        <v>106.0334436</v>
      </c>
    </row>
    <row r="1057" customHeight="1" spans="1:7">
      <c r="A1057" s="144" t="s">
        <v>881</v>
      </c>
      <c r="B1057" s="153" t="s">
        <v>882</v>
      </c>
      <c r="C1057" s="153"/>
      <c r="D1057" s="61"/>
      <c r="E1057" s="147"/>
      <c r="F1057" s="147"/>
      <c r="G1057" s="150">
        <f>G1058+G1061</f>
        <v>101.17695</v>
      </c>
    </row>
    <row r="1058" customHeight="1" spans="1:7">
      <c r="A1058" s="144" t="s">
        <v>17</v>
      </c>
      <c r="B1058" s="153" t="s">
        <v>510</v>
      </c>
      <c r="C1058" s="153"/>
      <c r="D1058" s="61"/>
      <c r="E1058" s="147"/>
      <c r="F1058" s="147"/>
      <c r="G1058" s="150">
        <f>SUM(G1059:G1060)</f>
        <v>96.359</v>
      </c>
    </row>
    <row r="1059" customHeight="1" spans="1:7">
      <c r="A1059" s="144"/>
      <c r="B1059" s="153" t="s">
        <v>704</v>
      </c>
      <c r="C1059" s="153"/>
      <c r="D1059" s="61" t="s">
        <v>705</v>
      </c>
      <c r="E1059" s="147"/>
      <c r="F1059" s="147">
        <f>主要材料预算!$D$19</f>
        <v>8.1</v>
      </c>
      <c r="G1059" s="150">
        <f t="shared" ref="G1059:G1067" si="76">E1059*F1059</f>
        <v>0</v>
      </c>
    </row>
    <row r="1060" customHeight="1" spans="1:7">
      <c r="A1060" s="144"/>
      <c r="B1060" s="153" t="s">
        <v>706</v>
      </c>
      <c r="C1060" s="153"/>
      <c r="D1060" s="61" t="s">
        <v>705</v>
      </c>
      <c r="E1060" s="147">
        <v>16.7</v>
      </c>
      <c r="F1060" s="147">
        <f>主要材料预算!$D$20</f>
        <v>5.77</v>
      </c>
      <c r="G1060" s="150">
        <f t="shared" si="76"/>
        <v>96.359</v>
      </c>
    </row>
    <row r="1061" customHeight="1" spans="1:7">
      <c r="A1061" s="144" t="s">
        <v>19</v>
      </c>
      <c r="B1061" s="148" t="s">
        <v>511</v>
      </c>
      <c r="C1061" s="149"/>
      <c r="D1061" s="61"/>
      <c r="E1061" s="147"/>
      <c r="F1061" s="147"/>
      <c r="G1061" s="150">
        <f>G1062</f>
        <v>4.81795</v>
      </c>
    </row>
    <row r="1062" customHeight="1" spans="1:7">
      <c r="A1062" s="144"/>
      <c r="B1062" s="153" t="s">
        <v>1008</v>
      </c>
      <c r="C1062" s="153"/>
      <c r="D1062" s="61" t="s">
        <v>894</v>
      </c>
      <c r="E1062" s="147">
        <f>G1058</f>
        <v>96.359</v>
      </c>
      <c r="F1062" s="152">
        <v>5</v>
      </c>
      <c r="G1062" s="150">
        <f>E1062*F1062/100</f>
        <v>4.81795</v>
      </c>
    </row>
    <row r="1063" customHeight="1" spans="1:7">
      <c r="A1063" s="144" t="s">
        <v>905</v>
      </c>
      <c r="B1063" s="153" t="s">
        <v>514</v>
      </c>
      <c r="C1063" s="153"/>
      <c r="D1063" s="61"/>
      <c r="E1063" s="154">
        <f>G1057</f>
        <v>101.17695</v>
      </c>
      <c r="F1063" s="155">
        <f>费率表!$C$4</f>
        <v>0.048</v>
      </c>
      <c r="G1063" s="150">
        <f t="shared" si="76"/>
        <v>4.8564936</v>
      </c>
    </row>
    <row r="1064" customHeight="1" spans="1:7">
      <c r="A1064" s="144" t="s">
        <v>10</v>
      </c>
      <c r="B1064" s="153" t="s">
        <v>770</v>
      </c>
      <c r="C1064" s="153"/>
      <c r="D1064" s="61"/>
      <c r="E1064" s="147">
        <f>G1056</f>
        <v>106.0334436</v>
      </c>
      <c r="F1064" s="156">
        <f>费率表!$C$5</f>
        <v>0.045</v>
      </c>
      <c r="G1064" s="150">
        <f t="shared" si="76"/>
        <v>4.771504962</v>
      </c>
    </row>
    <row r="1065" customHeight="1" spans="1:7">
      <c r="A1065" s="144" t="s">
        <v>12</v>
      </c>
      <c r="B1065" s="153" t="s">
        <v>771</v>
      </c>
      <c r="C1065" s="153"/>
      <c r="D1065" s="61"/>
      <c r="E1065" s="147">
        <f>G1056+G1064</f>
        <v>110.804948562</v>
      </c>
      <c r="F1065" s="156">
        <f>费率表!$C$6</f>
        <v>0.07</v>
      </c>
      <c r="G1065" s="150">
        <f t="shared" si="76"/>
        <v>7.75634639934</v>
      </c>
    </row>
    <row r="1066" customHeight="1" spans="1:7">
      <c r="A1066" s="144" t="s">
        <v>906</v>
      </c>
      <c r="B1066" s="153" t="s">
        <v>772</v>
      </c>
      <c r="C1066" s="153"/>
      <c r="D1066" s="61"/>
      <c r="E1066" s="147">
        <f>G1056+G1064+G1065</f>
        <v>118.56129496134</v>
      </c>
      <c r="F1066" s="156">
        <f>费率表!$C$7</f>
        <v>0.09</v>
      </c>
      <c r="G1066" s="150">
        <f t="shared" si="76"/>
        <v>10.6705165465206</v>
      </c>
    </row>
    <row r="1067" customHeight="1" spans="1:7">
      <c r="A1067" s="144"/>
      <c r="B1067" s="153" t="s">
        <v>907</v>
      </c>
      <c r="C1067" s="153"/>
      <c r="D1067" s="61"/>
      <c r="E1067" s="147">
        <f>G1056+G1064+G1065+G1066</f>
        <v>129.231811507861</v>
      </c>
      <c r="F1067" s="156">
        <f>费率表!$B$19</f>
        <v>0.03</v>
      </c>
      <c r="G1067" s="150">
        <f t="shared" si="76"/>
        <v>3.87695434523582</v>
      </c>
    </row>
    <row r="1068" customHeight="1" spans="1:7">
      <c r="A1068" s="158"/>
      <c r="B1068" s="161" t="s">
        <v>39</v>
      </c>
      <c r="C1068" s="161"/>
      <c r="D1068" s="161"/>
      <c r="E1068" s="162"/>
      <c r="F1068" s="161"/>
      <c r="G1068" s="163">
        <f>G1056+G1064+G1065+G1066+G1067</f>
        <v>133.108765853096</v>
      </c>
    </row>
    <row r="1073" customHeight="1" spans="1:7">
      <c r="A1073" s="176" t="s">
        <v>868</v>
      </c>
      <c r="B1073" s="176"/>
      <c r="C1073" s="176"/>
      <c r="D1073" s="176"/>
      <c r="E1073" s="176"/>
      <c r="F1073" s="176"/>
      <c r="G1073" s="176"/>
    </row>
    <row r="1074" customHeight="1" spans="1:7">
      <c r="A1074" s="165" t="s">
        <v>869</v>
      </c>
      <c r="B1074" s="129"/>
      <c r="C1074" s="129"/>
      <c r="D1074" s="129" t="s">
        <v>870</v>
      </c>
      <c r="E1074" s="177" t="s">
        <v>1380</v>
      </c>
      <c r="F1074" s="177"/>
      <c r="G1074" s="178"/>
    </row>
    <row r="1075" customHeight="1" spans="1:7">
      <c r="A1075" s="144" t="s">
        <v>507</v>
      </c>
      <c r="B1075" s="166"/>
      <c r="C1075" s="167" t="s">
        <v>1381</v>
      </c>
      <c r="D1075" s="167"/>
      <c r="E1075" s="167"/>
      <c r="F1075" s="61" t="s">
        <v>873</v>
      </c>
      <c r="G1075" s="138" t="s">
        <v>874</v>
      </c>
    </row>
    <row r="1076" customHeight="1" spans="1:7">
      <c r="A1076" s="141" t="s">
        <v>1382</v>
      </c>
      <c r="B1076" s="142"/>
      <c r="C1076" s="170"/>
      <c r="D1076" s="170"/>
      <c r="E1076" s="170"/>
      <c r="F1076" s="170"/>
      <c r="G1076" s="171"/>
    </row>
    <row r="1077" customHeight="1" spans="1:7">
      <c r="A1077" s="144" t="s">
        <v>34</v>
      </c>
      <c r="B1077" s="61" t="s">
        <v>761</v>
      </c>
      <c r="C1077" s="61"/>
      <c r="D1077" s="61" t="s">
        <v>60</v>
      </c>
      <c r="E1077" s="147" t="s">
        <v>877</v>
      </c>
      <c r="F1077" s="61" t="s">
        <v>878</v>
      </c>
      <c r="G1077" s="138" t="s">
        <v>879</v>
      </c>
    </row>
    <row r="1078" customHeight="1" spans="1:7">
      <c r="A1078" s="144" t="s">
        <v>8</v>
      </c>
      <c r="B1078" s="153" t="s">
        <v>880</v>
      </c>
      <c r="C1078" s="153"/>
      <c r="D1078" s="61"/>
      <c r="E1078" s="147"/>
      <c r="F1078" s="147"/>
      <c r="G1078" s="150">
        <f>G1079+G1088</f>
        <v>2317.12928485824</v>
      </c>
    </row>
    <row r="1079" customHeight="1" spans="1:7">
      <c r="A1079" s="144" t="s">
        <v>881</v>
      </c>
      <c r="B1079" s="153" t="s">
        <v>882</v>
      </c>
      <c r="C1079" s="153"/>
      <c r="D1079" s="61"/>
      <c r="E1079" s="147"/>
      <c r="F1079" s="147"/>
      <c r="G1079" s="150">
        <f>G1080+G1083+G1085</f>
        <v>2211.00122600977</v>
      </c>
    </row>
    <row r="1080" customHeight="1" spans="1:7">
      <c r="A1080" s="144" t="s">
        <v>17</v>
      </c>
      <c r="B1080" s="153" t="s">
        <v>510</v>
      </c>
      <c r="C1080" s="153"/>
      <c r="D1080" s="61"/>
      <c r="E1080" s="147"/>
      <c r="F1080" s="147"/>
      <c r="G1080" s="150">
        <f>SUM(G1081:G1082)</f>
        <v>535.977</v>
      </c>
    </row>
    <row r="1081" customHeight="1" spans="1:7">
      <c r="A1081" s="144"/>
      <c r="B1081" s="153" t="s">
        <v>704</v>
      </c>
      <c r="C1081" s="153"/>
      <c r="D1081" s="61" t="s">
        <v>705</v>
      </c>
      <c r="E1081" s="147">
        <v>2.7</v>
      </c>
      <c r="F1081" s="147">
        <f>主要材料预算!$D$19</f>
        <v>8.1</v>
      </c>
      <c r="G1081" s="150">
        <f t="shared" ref="G1081:G1090" si="77">E1081*F1081</f>
        <v>21.87</v>
      </c>
    </row>
    <row r="1082" customHeight="1" spans="1:7">
      <c r="A1082" s="144"/>
      <c r="B1082" s="153" t="s">
        <v>706</v>
      </c>
      <c r="C1082" s="153"/>
      <c r="D1082" s="61" t="s">
        <v>705</v>
      </c>
      <c r="E1082" s="151">
        <v>89.1</v>
      </c>
      <c r="F1082" s="147">
        <f>主要材料预算!$D$20</f>
        <v>5.77</v>
      </c>
      <c r="G1082" s="150">
        <f t="shared" si="77"/>
        <v>514.107</v>
      </c>
    </row>
    <row r="1083" customHeight="1" spans="1:7">
      <c r="A1083" s="144" t="s">
        <v>19</v>
      </c>
      <c r="B1083" s="148" t="s">
        <v>511</v>
      </c>
      <c r="C1083" s="149"/>
      <c r="D1083" s="61"/>
      <c r="E1083" s="147"/>
      <c r="F1083" s="147"/>
      <c r="G1083" s="150">
        <f>G1084</f>
        <v>105.285772667132</v>
      </c>
    </row>
    <row r="1084" customHeight="1" spans="1:7">
      <c r="A1084" s="144"/>
      <c r="B1084" s="153" t="s">
        <v>1008</v>
      </c>
      <c r="C1084" s="153"/>
      <c r="D1084" s="61" t="s">
        <v>894</v>
      </c>
      <c r="E1084" s="147">
        <f>G1080+G1085</f>
        <v>2105.71545334264</v>
      </c>
      <c r="F1084" s="152">
        <v>5</v>
      </c>
      <c r="G1084" s="150">
        <f>E1084*F1084/100</f>
        <v>105.285772667132</v>
      </c>
    </row>
    <row r="1085" customHeight="1" spans="1:7">
      <c r="A1085" s="144" t="s">
        <v>21</v>
      </c>
      <c r="B1085" s="153" t="s">
        <v>895</v>
      </c>
      <c r="C1085" s="153"/>
      <c r="D1085" s="153"/>
      <c r="E1085" s="147"/>
      <c r="F1085" s="147"/>
      <c r="G1085" s="150">
        <f>SUM(G1086:G1087)</f>
        <v>1569.73845334264</v>
      </c>
    </row>
    <row r="1086" customHeight="1" spans="1:7">
      <c r="A1086" s="144"/>
      <c r="B1086" s="179" t="s">
        <v>1383</v>
      </c>
      <c r="C1086" s="179"/>
      <c r="D1086" s="61" t="s">
        <v>896</v>
      </c>
      <c r="E1086" s="147">
        <v>11.85</v>
      </c>
      <c r="F1086" s="147">
        <f>施工机械台时费!$E$5</f>
        <v>98.885849621061</v>
      </c>
      <c r="G1086" s="150">
        <f t="shared" si="77"/>
        <v>1171.79731800957</v>
      </c>
    </row>
    <row r="1087" customHeight="1" spans="1:7">
      <c r="A1087" s="144"/>
      <c r="B1087" s="148" t="s">
        <v>1384</v>
      </c>
      <c r="C1087" s="149"/>
      <c r="D1087" s="61"/>
      <c r="E1087" s="147">
        <v>3.56</v>
      </c>
      <c r="F1087" s="147">
        <f>施工机械台时费!$E$43</f>
        <v>111.781217790187</v>
      </c>
      <c r="G1087" s="150">
        <f t="shared" si="77"/>
        <v>397.941135333067</v>
      </c>
    </row>
    <row r="1088" customHeight="1" spans="1:7">
      <c r="A1088" s="144" t="s">
        <v>905</v>
      </c>
      <c r="B1088" s="153" t="s">
        <v>514</v>
      </c>
      <c r="C1088" s="153"/>
      <c r="D1088" s="61"/>
      <c r="E1088" s="154">
        <f>G1079</f>
        <v>2211.00122600977</v>
      </c>
      <c r="F1088" s="155">
        <f>费率表!$J$4</f>
        <v>0.048</v>
      </c>
      <c r="G1088" s="150">
        <f t="shared" si="77"/>
        <v>106.128058848469</v>
      </c>
    </row>
    <row r="1089" customHeight="1" spans="1:7">
      <c r="A1089" s="144" t="s">
        <v>10</v>
      </c>
      <c r="B1089" s="153" t="s">
        <v>770</v>
      </c>
      <c r="C1089" s="153"/>
      <c r="D1089" s="61"/>
      <c r="E1089" s="147">
        <f>G1078</f>
        <v>2317.12928485824</v>
      </c>
      <c r="F1089" s="156">
        <f>费率表!$J$5</f>
        <v>0.075</v>
      </c>
      <c r="G1089" s="150">
        <f t="shared" si="77"/>
        <v>173.784696364368</v>
      </c>
    </row>
    <row r="1090" customHeight="1" spans="1:7">
      <c r="A1090" s="144" t="s">
        <v>12</v>
      </c>
      <c r="B1090" s="153" t="s">
        <v>771</v>
      </c>
      <c r="C1090" s="153"/>
      <c r="D1090" s="61"/>
      <c r="E1090" s="147">
        <f>G1078+G1089</f>
        <v>2490.91398122261</v>
      </c>
      <c r="F1090" s="156">
        <f>费率表!$J$6</f>
        <v>0.07</v>
      </c>
      <c r="G1090" s="150">
        <f t="shared" si="77"/>
        <v>174.363978685583</v>
      </c>
    </row>
    <row r="1091" customHeight="1" spans="1:7">
      <c r="A1091" s="144" t="s">
        <v>15</v>
      </c>
      <c r="B1091" s="148" t="s">
        <v>517</v>
      </c>
      <c r="C1091" s="149"/>
      <c r="D1091" s="61"/>
      <c r="E1091" s="147"/>
      <c r="F1091" s="157"/>
      <c r="G1091" s="150">
        <f>G1092</f>
        <v>921.917946014405</v>
      </c>
    </row>
    <row r="1092" customHeight="1" spans="1:7">
      <c r="A1092" s="144" t="s">
        <v>17</v>
      </c>
      <c r="B1092" s="148" t="s">
        <v>694</v>
      </c>
      <c r="C1092" s="149"/>
      <c r="D1092" s="61"/>
      <c r="E1092" s="147">
        <f>E1087*施工机械台时费!$L$43+E1086*施工机械台时费!$L$5</f>
        <v>152.091</v>
      </c>
      <c r="F1092" s="147">
        <f>主要材料预算!$N$13</f>
        <v>6.0616206482593</v>
      </c>
      <c r="G1092" s="150">
        <f t="shared" ref="G1092:G1094" si="78">E1092*F1092</f>
        <v>921.917946014405</v>
      </c>
    </row>
    <row r="1093" customHeight="1" spans="1:7">
      <c r="A1093" s="144" t="s">
        <v>906</v>
      </c>
      <c r="B1093" s="153" t="s">
        <v>772</v>
      </c>
      <c r="C1093" s="153"/>
      <c r="D1093" s="61"/>
      <c r="E1093" s="147">
        <f>G1078+G1089+G1090+G1091</f>
        <v>3587.1959059226</v>
      </c>
      <c r="F1093" s="156">
        <f>费率表!$J$7</f>
        <v>0.09</v>
      </c>
      <c r="G1093" s="150">
        <f t="shared" si="78"/>
        <v>322.847631533034</v>
      </c>
    </row>
    <row r="1094" customHeight="1" spans="1:7">
      <c r="A1094" s="144"/>
      <c r="B1094" s="153" t="s">
        <v>907</v>
      </c>
      <c r="C1094" s="153"/>
      <c r="D1094" s="61"/>
      <c r="E1094" s="147">
        <f>G1078+G1089+G1090+G1091+G1093</f>
        <v>3910.04353745563</v>
      </c>
      <c r="F1094" s="156">
        <f>费率表!$B$19</f>
        <v>0.03</v>
      </c>
      <c r="G1094" s="150">
        <f t="shared" si="78"/>
        <v>117.301306123669</v>
      </c>
    </row>
    <row r="1095" customHeight="1" spans="1:7">
      <c r="A1095" s="158"/>
      <c r="B1095" s="161" t="s">
        <v>39</v>
      </c>
      <c r="C1095" s="161"/>
      <c r="D1095" s="161"/>
      <c r="E1095" s="162"/>
      <c r="F1095" s="161"/>
      <c r="G1095" s="163">
        <f>G1078+G1089+G1090+G1091+G1093+G1094</f>
        <v>4027.3448435793</v>
      </c>
    </row>
    <row r="1097" customHeight="1" spans="1:7">
      <c r="A1097" s="176" t="s">
        <v>868</v>
      </c>
      <c r="B1097" s="176"/>
      <c r="C1097" s="176"/>
      <c r="D1097" s="176"/>
      <c r="E1097" s="176"/>
      <c r="F1097" s="176"/>
      <c r="G1097" s="176"/>
    </row>
    <row r="1098" customHeight="1" spans="1:7">
      <c r="A1098" s="165" t="s">
        <v>869</v>
      </c>
      <c r="B1098" s="129"/>
      <c r="C1098" s="129"/>
      <c r="D1098" s="129" t="s">
        <v>870</v>
      </c>
      <c r="E1098" s="177" t="s">
        <v>1385</v>
      </c>
      <c r="F1098" s="177"/>
      <c r="G1098" s="178"/>
    </row>
    <row r="1099" customHeight="1" spans="1:7">
      <c r="A1099" s="144" t="s">
        <v>507</v>
      </c>
      <c r="B1099" s="166"/>
      <c r="C1099" s="167" t="s">
        <v>1386</v>
      </c>
      <c r="D1099" s="167"/>
      <c r="E1099" s="167"/>
      <c r="F1099" s="61" t="s">
        <v>873</v>
      </c>
      <c r="G1099" s="138" t="s">
        <v>874</v>
      </c>
    </row>
    <row r="1100" customHeight="1" spans="1:7">
      <c r="A1100" s="141" t="s">
        <v>1387</v>
      </c>
      <c r="B1100" s="142"/>
      <c r="C1100" s="170"/>
      <c r="D1100" s="170"/>
      <c r="E1100" s="170"/>
      <c r="F1100" s="170"/>
      <c r="G1100" s="171"/>
    </row>
    <row r="1101" customHeight="1" spans="1:7">
      <c r="A1101" s="144" t="s">
        <v>34</v>
      </c>
      <c r="B1101" s="61" t="s">
        <v>761</v>
      </c>
      <c r="C1101" s="61"/>
      <c r="D1101" s="61" t="s">
        <v>60</v>
      </c>
      <c r="E1101" s="147" t="s">
        <v>877</v>
      </c>
      <c r="F1101" s="61" t="s">
        <v>878</v>
      </c>
      <c r="G1101" s="138" t="s">
        <v>879</v>
      </c>
    </row>
    <row r="1102" customHeight="1" spans="1:7">
      <c r="A1102" s="144" t="s">
        <v>8</v>
      </c>
      <c r="B1102" s="153" t="s">
        <v>880</v>
      </c>
      <c r="C1102" s="153"/>
      <c r="D1102" s="61"/>
      <c r="E1102" s="147"/>
      <c r="F1102" s="147"/>
      <c r="G1102" s="150">
        <f>G1103+G1112</f>
        <v>2997.95013228415</v>
      </c>
    </row>
    <row r="1103" customHeight="1" spans="1:7">
      <c r="A1103" s="144" t="s">
        <v>881</v>
      </c>
      <c r="B1103" s="153" t="s">
        <v>882</v>
      </c>
      <c r="C1103" s="153"/>
      <c r="D1103" s="61"/>
      <c r="E1103" s="147"/>
      <c r="F1103" s="147"/>
      <c r="G1103" s="150">
        <f>G1104+G1107+G1109</f>
        <v>2860.63943920243</v>
      </c>
    </row>
    <row r="1104" customHeight="1" spans="1:7">
      <c r="A1104" s="144" t="s">
        <v>17</v>
      </c>
      <c r="B1104" s="153" t="s">
        <v>510</v>
      </c>
      <c r="C1104" s="153"/>
      <c r="D1104" s="61"/>
      <c r="E1104" s="147"/>
      <c r="F1104" s="147"/>
      <c r="G1104" s="150">
        <f>SUM(G1105:G1106)</f>
        <v>706.558</v>
      </c>
    </row>
    <row r="1105" customHeight="1" spans="1:9">
      <c r="A1105" s="144"/>
      <c r="B1105" s="153" t="s">
        <v>704</v>
      </c>
      <c r="C1105" s="153"/>
      <c r="D1105" s="61" t="s">
        <v>705</v>
      </c>
      <c r="E1105" s="147">
        <v>3.6</v>
      </c>
      <c r="F1105" s="147">
        <f>主要材料预算!$D$19</f>
        <v>8.1</v>
      </c>
      <c r="G1105" s="150">
        <f t="shared" ref="G1105:G1114" si="79">E1105*F1105</f>
        <v>29.16</v>
      </c>
    </row>
    <row r="1106" customHeight="1" spans="1:9">
      <c r="A1106" s="144"/>
      <c r="B1106" s="153" t="s">
        <v>706</v>
      </c>
      <c r="C1106" s="153"/>
      <c r="D1106" s="61" t="s">
        <v>705</v>
      </c>
      <c r="E1106" s="151">
        <v>117.4</v>
      </c>
      <c r="F1106" s="147">
        <f>主要材料预算!$D$20</f>
        <v>5.77</v>
      </c>
      <c r="G1106" s="150">
        <f t="shared" si="79"/>
        <v>677.398</v>
      </c>
    </row>
    <row r="1107" customHeight="1" spans="1:9">
      <c r="A1107" s="144" t="s">
        <v>19</v>
      </c>
      <c r="B1107" s="148" t="s">
        <v>511</v>
      </c>
      <c r="C1107" s="149"/>
      <c r="D1107" s="61"/>
      <c r="E1107" s="147"/>
      <c r="F1107" s="147"/>
      <c r="G1107" s="150">
        <f>G1108</f>
        <v>136.220925676306</v>
      </c>
    </row>
    <row r="1108" customHeight="1" spans="1:9">
      <c r="A1108" s="144"/>
      <c r="B1108" s="153" t="s">
        <v>1008</v>
      </c>
      <c r="C1108" s="153"/>
      <c r="D1108" s="61" t="s">
        <v>894</v>
      </c>
      <c r="E1108" s="147">
        <f>G1104+G1109</f>
        <v>2724.41851352613</v>
      </c>
      <c r="F1108" s="152">
        <v>5</v>
      </c>
      <c r="G1108" s="150">
        <f>E1108*F1108/100</f>
        <v>136.220925676306</v>
      </c>
    </row>
    <row r="1109" customHeight="1" spans="1:9">
      <c r="A1109" s="144" t="s">
        <v>21</v>
      </c>
      <c r="B1109" s="153" t="s">
        <v>895</v>
      </c>
      <c r="C1109" s="153"/>
      <c r="D1109" s="153"/>
      <c r="E1109" s="147"/>
      <c r="F1109" s="147"/>
      <c r="G1109" s="150">
        <f>SUM(G1110:G1111)</f>
        <v>2017.86051352613</v>
      </c>
    </row>
    <row r="1110" customHeight="1" spans="1:9">
      <c r="A1110" s="144"/>
      <c r="B1110" s="179" t="s">
        <v>1383</v>
      </c>
      <c r="C1110" s="179"/>
      <c r="D1110" s="61" t="s">
        <v>896</v>
      </c>
      <c r="E1110" s="147">
        <v>15.24</v>
      </c>
      <c r="F1110" s="147">
        <f>施工机械台时费!$E$5</f>
        <v>98.885849621061</v>
      </c>
      <c r="G1110" s="150">
        <f t="shared" si="79"/>
        <v>1507.02034822497</v>
      </c>
    </row>
    <row r="1111" customHeight="1" spans="1:9">
      <c r="A1111" s="144"/>
      <c r="B1111" s="148" t="s">
        <v>1384</v>
      </c>
      <c r="C1111" s="149"/>
      <c r="D1111" s="61"/>
      <c r="E1111" s="147">
        <v>4.57</v>
      </c>
      <c r="F1111" s="147">
        <f>施工机械台时费!$E$43</f>
        <v>111.781217790187</v>
      </c>
      <c r="G1111" s="150">
        <f t="shared" si="79"/>
        <v>510.840165301157</v>
      </c>
    </row>
    <row r="1112" customHeight="1" spans="1:9">
      <c r="A1112" s="144" t="s">
        <v>905</v>
      </c>
      <c r="B1112" s="153" t="s">
        <v>514</v>
      </c>
      <c r="C1112" s="153"/>
      <c r="D1112" s="61"/>
      <c r="E1112" s="154">
        <f>G1103</f>
        <v>2860.63943920243</v>
      </c>
      <c r="F1112" s="155">
        <f>费率表!$J$4</f>
        <v>0.048</v>
      </c>
      <c r="G1112" s="150">
        <f t="shared" si="79"/>
        <v>137.310693081717</v>
      </c>
    </row>
    <row r="1113" customHeight="1" spans="1:9">
      <c r="A1113" s="144" t="s">
        <v>10</v>
      </c>
      <c r="B1113" s="153" t="s">
        <v>770</v>
      </c>
      <c r="C1113" s="153"/>
      <c r="D1113" s="61"/>
      <c r="E1113" s="147">
        <f>G1102</f>
        <v>2997.95013228415</v>
      </c>
      <c r="F1113" s="156">
        <f>费率表!$J$5</f>
        <v>0.075</v>
      </c>
      <c r="G1113" s="150">
        <f t="shared" si="79"/>
        <v>224.846259921311</v>
      </c>
    </row>
    <row r="1114" customHeight="1" spans="1:9">
      <c r="A1114" s="144" t="s">
        <v>12</v>
      </c>
      <c r="B1114" s="153" t="s">
        <v>771</v>
      </c>
      <c r="C1114" s="153"/>
      <c r="D1114" s="61"/>
      <c r="E1114" s="147">
        <f>G1102+G1113</f>
        <v>3222.79639220546</v>
      </c>
      <c r="F1114" s="156">
        <f>费率表!$J$6</f>
        <v>0.07</v>
      </c>
      <c r="G1114" s="150">
        <f t="shared" si="79"/>
        <v>225.595747454382</v>
      </c>
    </row>
    <row r="1115" customHeight="1" spans="1:9">
      <c r="A1115" s="144" t="s">
        <v>15</v>
      </c>
      <c r="B1115" s="148" t="s">
        <v>517</v>
      </c>
      <c r="C1115" s="149"/>
      <c r="D1115" s="61"/>
      <c r="E1115" s="147"/>
      <c r="F1115" s="157"/>
      <c r="G1115" s="150">
        <f>G1116</f>
        <v>1185.08926807923</v>
      </c>
    </row>
    <row r="1116" customHeight="1" spans="1:9">
      <c r="A1116" s="144" t="s">
        <v>17</v>
      </c>
      <c r="B1116" s="148" t="s">
        <v>694</v>
      </c>
      <c r="C1116" s="149"/>
      <c r="D1116" s="61"/>
      <c r="E1116" s="147">
        <f>E1111*施工机械台时费!$L$43+E1110*施工机械台时费!$L$5</f>
        <v>195.507</v>
      </c>
      <c r="F1116" s="147">
        <f>主要材料预算!$N$13</f>
        <v>6.0616206482593</v>
      </c>
      <c r="G1116" s="150">
        <f t="shared" ref="G1116:G1118" si="80">E1116*F1116</f>
        <v>1185.08926807923</v>
      </c>
      <c r="I1116" s="92">
        <f>E1110*施工机械台时费!L5+施工机械台时费!L43*设备维修养护!E1111</f>
        <v>195.507</v>
      </c>
    </row>
    <row r="1117" customHeight="1" spans="1:9">
      <c r="A1117" s="144" t="s">
        <v>906</v>
      </c>
      <c r="B1117" s="153" t="s">
        <v>772</v>
      </c>
      <c r="C1117" s="153"/>
      <c r="D1117" s="61"/>
      <c r="E1117" s="147">
        <f>G1102+G1113+G1114+G1115</f>
        <v>4633.48140773907</v>
      </c>
      <c r="F1117" s="156">
        <f>费率表!$J$7</f>
        <v>0.09</v>
      </c>
      <c r="G1117" s="150">
        <f t="shared" si="80"/>
        <v>417.013326696517</v>
      </c>
    </row>
    <row r="1118" customHeight="1" spans="1:9">
      <c r="A1118" s="144"/>
      <c r="B1118" s="153" t="s">
        <v>907</v>
      </c>
      <c r="C1118" s="153"/>
      <c r="D1118" s="61"/>
      <c r="E1118" s="147">
        <f>G1102+G1113+G1114+G1115+G1117</f>
        <v>5050.49473443559</v>
      </c>
      <c r="F1118" s="156">
        <f>费率表!$B$19</f>
        <v>0.03</v>
      </c>
      <c r="G1118" s="150">
        <f t="shared" si="80"/>
        <v>151.514842033068</v>
      </c>
    </row>
    <row r="1119" customHeight="1" spans="1:9">
      <c r="A1119" s="158"/>
      <c r="B1119" s="161" t="s">
        <v>39</v>
      </c>
      <c r="C1119" s="161"/>
      <c r="D1119" s="161"/>
      <c r="E1119" s="162"/>
      <c r="F1119" s="161"/>
      <c r="G1119" s="163">
        <f>G1102+G1113+G1114+G1115+G1117+G1118</f>
        <v>5202.00957646866</v>
      </c>
    </row>
    <row r="1121" customHeight="1" spans="1:7">
      <c r="A1121" s="164" t="s">
        <v>868</v>
      </c>
      <c r="B1121" s="164"/>
      <c r="C1121" s="164"/>
      <c r="D1121" s="164"/>
      <c r="E1121" s="164"/>
      <c r="F1121" s="164"/>
      <c r="G1121" s="164"/>
    </row>
    <row r="1122" customHeight="1" spans="1:7">
      <c r="A1122" s="165" t="s">
        <v>869</v>
      </c>
      <c r="B1122" s="129"/>
      <c r="C1122" s="129"/>
      <c r="D1122" s="129" t="s">
        <v>870</v>
      </c>
      <c r="E1122" s="130" t="s">
        <v>1392</v>
      </c>
      <c r="F1122" s="131"/>
      <c r="G1122" s="132"/>
    </row>
    <row r="1123" customHeight="1" spans="1:7">
      <c r="A1123" s="144" t="s">
        <v>507</v>
      </c>
      <c r="B1123" s="166"/>
      <c r="C1123" s="167" t="s">
        <v>1393</v>
      </c>
      <c r="D1123" s="167"/>
      <c r="E1123" s="167"/>
      <c r="F1123" s="61" t="s">
        <v>873</v>
      </c>
      <c r="G1123" s="138" t="s">
        <v>70</v>
      </c>
    </row>
    <row r="1124" customHeight="1" spans="1:7">
      <c r="A1124" s="168" t="s">
        <v>875</v>
      </c>
      <c r="B1124" s="167"/>
      <c r="C1124" s="167"/>
      <c r="D1124" s="167"/>
      <c r="E1124" s="167"/>
      <c r="F1124" s="167"/>
      <c r="G1124" s="169"/>
    </row>
    <row r="1125" customHeight="1" spans="1:7">
      <c r="A1125" s="141" t="s">
        <v>1390</v>
      </c>
      <c r="B1125" s="142"/>
      <c r="C1125" s="170"/>
      <c r="D1125" s="170"/>
      <c r="E1125" s="170"/>
      <c r="F1125" s="170"/>
      <c r="G1125" s="171"/>
    </row>
    <row r="1126" customHeight="1" spans="1:7">
      <c r="A1126" s="144" t="s">
        <v>34</v>
      </c>
      <c r="B1126" s="61" t="s">
        <v>761</v>
      </c>
      <c r="C1126" s="61"/>
      <c r="D1126" s="61" t="s">
        <v>60</v>
      </c>
      <c r="E1126" s="147" t="s">
        <v>877</v>
      </c>
      <c r="F1126" s="61" t="s">
        <v>878</v>
      </c>
      <c r="G1126" s="138" t="s">
        <v>879</v>
      </c>
    </row>
    <row r="1127" customHeight="1" spans="1:7">
      <c r="A1127" s="144" t="s">
        <v>8</v>
      </c>
      <c r="B1127" s="153" t="s">
        <v>880</v>
      </c>
      <c r="C1127" s="153"/>
      <c r="D1127" s="61"/>
      <c r="E1127" s="147"/>
      <c r="F1127" s="147"/>
      <c r="G1127" s="150">
        <f>G1128+G1143</f>
        <v>353.166626688088</v>
      </c>
    </row>
    <row r="1128" customHeight="1" spans="1:7">
      <c r="A1128" s="144" t="s">
        <v>881</v>
      </c>
      <c r="B1128" s="153" t="s">
        <v>882</v>
      </c>
      <c r="C1128" s="153"/>
      <c r="D1128" s="61"/>
      <c r="E1128" s="147"/>
      <c r="F1128" s="147"/>
      <c r="G1128" s="150">
        <f>G1129+G1132+G1138</f>
        <v>336.991056000084</v>
      </c>
    </row>
    <row r="1129" customHeight="1" spans="1:7">
      <c r="A1129" s="144" t="s">
        <v>17</v>
      </c>
      <c r="B1129" s="153" t="s">
        <v>510</v>
      </c>
      <c r="C1129" s="153"/>
      <c r="D1129" s="61"/>
      <c r="E1129" s="147"/>
      <c r="F1129" s="147"/>
      <c r="G1129" s="150">
        <f>SUM(G1130:G1131)</f>
        <v>131.344</v>
      </c>
    </row>
    <row r="1130" customHeight="1" spans="1:7">
      <c r="A1130" s="144"/>
      <c r="B1130" s="153" t="s">
        <v>704</v>
      </c>
      <c r="C1130" s="153"/>
      <c r="D1130" s="61" t="s">
        <v>705</v>
      </c>
      <c r="E1130" s="147">
        <v>6.1</v>
      </c>
      <c r="F1130" s="147">
        <f>主要材料预算!$D$19</f>
        <v>8.1</v>
      </c>
      <c r="G1130" s="150">
        <f t="shared" ref="G1130:G1137" si="81">E1130*F1130</f>
        <v>49.41</v>
      </c>
    </row>
    <row r="1131" customHeight="1" spans="1:7">
      <c r="A1131" s="144"/>
      <c r="B1131" s="153" t="s">
        <v>706</v>
      </c>
      <c r="C1131" s="153"/>
      <c r="D1131" s="61" t="s">
        <v>705</v>
      </c>
      <c r="E1131" s="151">
        <v>14.2</v>
      </c>
      <c r="F1131" s="147">
        <f>主要材料预算!$D$20</f>
        <v>5.77</v>
      </c>
      <c r="G1131" s="150">
        <f t="shared" si="81"/>
        <v>81.934</v>
      </c>
    </row>
    <row r="1132" customHeight="1" spans="1:7">
      <c r="A1132" s="144" t="s">
        <v>19</v>
      </c>
      <c r="B1132" s="148" t="s">
        <v>511</v>
      </c>
      <c r="C1132" s="149"/>
      <c r="D1132" s="61"/>
      <c r="E1132" s="147"/>
      <c r="F1132" s="147"/>
      <c r="G1132" s="150">
        <f>SUM(G1133:G1137)</f>
        <v>145.20704</v>
      </c>
    </row>
    <row r="1133" customHeight="1" spans="1:7">
      <c r="A1133" s="144"/>
      <c r="B1133" s="148" t="s">
        <v>1394</v>
      </c>
      <c r="C1133" s="149"/>
      <c r="D1133" s="61" t="s">
        <v>70</v>
      </c>
      <c r="E1133" s="147">
        <v>0.4</v>
      </c>
      <c r="F1133" s="147">
        <f>混凝土单价计算表!$M$13</f>
        <v>135.58885</v>
      </c>
      <c r="G1133" s="150">
        <f t="shared" si="81"/>
        <v>54.23554</v>
      </c>
    </row>
    <row r="1134" customHeight="1" spans="1:7">
      <c r="A1134" s="144"/>
      <c r="B1134" s="148" t="s">
        <v>688</v>
      </c>
      <c r="C1134" s="149"/>
      <c r="D1134" s="61" t="s">
        <v>70</v>
      </c>
      <c r="E1134" s="147">
        <v>1.13</v>
      </c>
      <c r="F1134" s="147">
        <f>主要材料预算!$M$10</f>
        <v>70</v>
      </c>
      <c r="G1134" s="150">
        <f t="shared" si="81"/>
        <v>79.1</v>
      </c>
    </row>
    <row r="1135" customHeight="1" spans="1:7">
      <c r="A1135" s="144"/>
      <c r="B1135" s="180" t="s">
        <v>1395</v>
      </c>
      <c r="C1135" s="181"/>
      <c r="D1135" s="61" t="s">
        <v>1396</v>
      </c>
      <c r="E1135" s="147">
        <v>1.89</v>
      </c>
      <c r="F1135" s="147">
        <f>基础材料!$D$17</f>
        <v>3</v>
      </c>
      <c r="G1135" s="150">
        <f t="shared" si="81"/>
        <v>5.67</v>
      </c>
    </row>
    <row r="1136" customHeight="1" spans="1:7">
      <c r="A1136" s="144"/>
      <c r="B1136" s="148" t="s">
        <v>730</v>
      </c>
      <c r="C1136" s="149"/>
      <c r="D1136" s="61" t="s">
        <v>70</v>
      </c>
      <c r="E1136" s="147">
        <v>0.41</v>
      </c>
      <c r="F1136" s="147">
        <f>主要材料预算!$D$16</f>
        <v>4.15</v>
      </c>
      <c r="G1136" s="150">
        <f t="shared" si="81"/>
        <v>1.7015</v>
      </c>
    </row>
    <row r="1137" customHeight="1" spans="1:7">
      <c r="A1137" s="144"/>
      <c r="B1137" s="148" t="s">
        <v>1397</v>
      </c>
      <c r="C1137" s="149"/>
      <c r="D1137" s="61" t="s">
        <v>1398</v>
      </c>
      <c r="E1137" s="147">
        <v>0.3</v>
      </c>
      <c r="F1137" s="147">
        <f>基础材料!$D$16</f>
        <v>15</v>
      </c>
      <c r="G1137" s="150">
        <f t="shared" si="81"/>
        <v>4.5</v>
      </c>
    </row>
    <row r="1138" customHeight="1" spans="1:7">
      <c r="A1138" s="144" t="s">
        <v>21</v>
      </c>
      <c r="B1138" s="153" t="s">
        <v>895</v>
      </c>
      <c r="C1138" s="153"/>
      <c r="D1138" s="153"/>
      <c r="E1138" s="147"/>
      <c r="F1138" s="147"/>
      <c r="G1138" s="150">
        <f>SUM(G1139:G1142)</f>
        <v>60.4400160000838</v>
      </c>
    </row>
    <row r="1139" customHeight="1" spans="1:7">
      <c r="A1139" s="144"/>
      <c r="B1139" s="148" t="s">
        <v>848</v>
      </c>
      <c r="C1139" s="149"/>
      <c r="D1139" s="61" t="s">
        <v>896</v>
      </c>
      <c r="E1139" s="147">
        <v>0.18</v>
      </c>
      <c r="F1139" s="147">
        <f>施工机械台时费!$E$50</f>
        <v>26.7734822497008</v>
      </c>
      <c r="G1139" s="150">
        <f t="shared" ref="G1139:G1141" si="82">E1139*F1139</f>
        <v>4.81922680494615</v>
      </c>
    </row>
    <row r="1140" customHeight="1" spans="1:7">
      <c r="A1140" s="144"/>
      <c r="B1140" s="182" t="s">
        <v>851</v>
      </c>
      <c r="C1140" s="183"/>
      <c r="D1140" s="61" t="s">
        <v>896</v>
      </c>
      <c r="E1140" s="147">
        <v>0.78</v>
      </c>
      <c r="F1140" s="147">
        <f>施工机械台时费!$E$53</f>
        <v>46.7913282808137</v>
      </c>
      <c r="G1140" s="150">
        <f t="shared" si="82"/>
        <v>36.4972360590347</v>
      </c>
    </row>
    <row r="1141" customHeight="1" spans="1:7">
      <c r="A1141" s="144"/>
      <c r="B1141" s="148" t="s">
        <v>1399</v>
      </c>
      <c r="C1141" s="149"/>
      <c r="D1141" s="61" t="s">
        <v>896</v>
      </c>
      <c r="E1141" s="147">
        <v>1.42</v>
      </c>
      <c r="F1141" s="147">
        <f>施工机械台时费!$E$19</f>
        <v>13.1336757080175</v>
      </c>
      <c r="G1141" s="150">
        <f t="shared" si="82"/>
        <v>18.6498195053849</v>
      </c>
    </row>
    <row r="1142" customHeight="1" spans="1:7">
      <c r="A1142" s="144"/>
      <c r="B1142" s="148" t="s">
        <v>902</v>
      </c>
      <c r="C1142" s="149"/>
      <c r="D1142" s="61" t="s">
        <v>894</v>
      </c>
      <c r="E1142" s="147">
        <f>SUM(G1139:G1141)</f>
        <v>59.9662823693658</v>
      </c>
      <c r="F1142" s="147">
        <v>0.79</v>
      </c>
      <c r="G1142" s="150">
        <f>E1142*F1142/100</f>
        <v>0.47373363071799</v>
      </c>
    </row>
    <row r="1143" customHeight="1" spans="1:7">
      <c r="A1143" s="144" t="s">
        <v>905</v>
      </c>
      <c r="B1143" s="153" t="s">
        <v>514</v>
      </c>
      <c r="C1143" s="153"/>
      <c r="D1143" s="61"/>
      <c r="E1143" s="154">
        <f>G1128</f>
        <v>336.991056000084</v>
      </c>
      <c r="F1143" s="155">
        <f>费率表!$F$4</f>
        <v>0.048</v>
      </c>
      <c r="G1143" s="150">
        <f t="shared" ref="G1143:G1145" si="83">E1143*F1143</f>
        <v>16.175570688004</v>
      </c>
    </row>
    <row r="1144" customHeight="1" spans="1:7">
      <c r="A1144" s="144" t="s">
        <v>10</v>
      </c>
      <c r="B1144" s="153" t="s">
        <v>770</v>
      </c>
      <c r="C1144" s="153"/>
      <c r="D1144" s="61"/>
      <c r="E1144" s="147">
        <f>G1127</f>
        <v>353.166626688088</v>
      </c>
      <c r="F1144" s="156">
        <f>费率表!$F$5</f>
        <v>0.085</v>
      </c>
      <c r="G1144" s="150">
        <f t="shared" si="83"/>
        <v>30.0191632684875</v>
      </c>
    </row>
    <row r="1145" customHeight="1" spans="1:7">
      <c r="A1145" s="144" t="s">
        <v>12</v>
      </c>
      <c r="B1145" s="153" t="s">
        <v>771</v>
      </c>
      <c r="C1145" s="153"/>
      <c r="D1145" s="61"/>
      <c r="E1145" s="147">
        <f>G1127+G1144</f>
        <v>383.185789956575</v>
      </c>
      <c r="F1145" s="156">
        <f>费率表!$F$6</f>
        <v>0.07</v>
      </c>
      <c r="G1145" s="150">
        <f t="shared" si="83"/>
        <v>26.8230052969603</v>
      </c>
    </row>
    <row r="1146" customHeight="1" spans="1:7">
      <c r="A1146" s="144" t="s">
        <v>15</v>
      </c>
      <c r="B1146" s="148" t="s">
        <v>517</v>
      </c>
      <c r="C1146" s="149"/>
      <c r="D1146" s="61"/>
      <c r="E1146" s="147"/>
      <c r="F1146" s="157"/>
      <c r="G1146" s="150">
        <f>SUM(G1147:G1149)</f>
        <v>83.33182285776</v>
      </c>
    </row>
    <row r="1147" customHeight="1" spans="1:7">
      <c r="A1147" s="144"/>
      <c r="B1147" s="148" t="s">
        <v>688</v>
      </c>
      <c r="C1147" s="149"/>
      <c r="D1147" s="61" t="s">
        <v>70</v>
      </c>
      <c r="E1147" s="147">
        <f>E1134</f>
        <v>1.13</v>
      </c>
      <c r="F1147" s="147">
        <f>主要材料预算!$N$10</f>
        <v>48.11322</v>
      </c>
      <c r="G1147" s="150">
        <f t="shared" ref="G1147:G1151" si="84">E1147*F1147</f>
        <v>54.3679386</v>
      </c>
    </row>
    <row r="1148" customHeight="1" spans="1:7">
      <c r="A1148" s="144"/>
      <c r="B1148" s="148" t="s">
        <v>729</v>
      </c>
      <c r="C1148" s="149"/>
      <c r="D1148" s="61" t="s">
        <v>204</v>
      </c>
      <c r="E1148" s="147">
        <f>E1133*混凝土单价计算表!$E$13</f>
        <v>0.089784</v>
      </c>
      <c r="F1148" s="147">
        <f>主要材料预算!$N$5</f>
        <v>139.17214</v>
      </c>
      <c r="G1148" s="150">
        <f t="shared" si="84"/>
        <v>12.49543141776</v>
      </c>
    </row>
    <row r="1149" customHeight="1" spans="1:7">
      <c r="A1149" s="144"/>
      <c r="B1149" s="148" t="s">
        <v>684</v>
      </c>
      <c r="C1149" s="149"/>
      <c r="D1149" s="61" t="s">
        <v>70</v>
      </c>
      <c r="E1149" s="147">
        <f>E1133*混凝土单价计算表!$G$13</f>
        <v>0.444</v>
      </c>
      <c r="F1149" s="147">
        <f>主要材料预算!$N$7</f>
        <v>37.09111</v>
      </c>
      <c r="G1149" s="150">
        <f t="shared" si="84"/>
        <v>16.46845284</v>
      </c>
    </row>
    <row r="1150" customHeight="1" spans="1:7">
      <c r="A1150" s="144" t="s">
        <v>906</v>
      </c>
      <c r="B1150" s="153" t="s">
        <v>772</v>
      </c>
      <c r="C1150" s="153"/>
      <c r="D1150" s="61"/>
      <c r="E1150" s="147">
        <f>G1127+G1144+G1145+G1146</f>
        <v>493.340618111296</v>
      </c>
      <c r="F1150" s="156">
        <f>费率表!$F$7</f>
        <v>0.09</v>
      </c>
      <c r="G1150" s="150">
        <f t="shared" si="84"/>
        <v>44.4006556300166</v>
      </c>
    </row>
    <row r="1151" customHeight="1" spans="1:7">
      <c r="A1151" s="144"/>
      <c r="B1151" s="153" t="s">
        <v>907</v>
      </c>
      <c r="C1151" s="153"/>
      <c r="D1151" s="61"/>
      <c r="E1151" s="147">
        <f>G1127+G1144+G1145+G1146+G1150</f>
        <v>537.741273741312</v>
      </c>
      <c r="F1151" s="156">
        <f>费率表!$B$19</f>
        <v>0.03</v>
      </c>
      <c r="G1151" s="150">
        <f t="shared" si="84"/>
        <v>16.1322382122394</v>
      </c>
    </row>
    <row r="1152" customHeight="1" spans="1:7">
      <c r="A1152" s="158"/>
      <c r="B1152" s="161" t="s">
        <v>39</v>
      </c>
      <c r="C1152" s="161"/>
      <c r="D1152" s="161"/>
      <c r="E1152" s="162"/>
      <c r="F1152" s="161"/>
      <c r="G1152" s="163">
        <f>G1127+G1144+G1145+G1146+G1150+G1151</f>
        <v>553.873511953552</v>
      </c>
    </row>
    <row r="1154" customHeight="1" spans="1:7">
      <c r="A1154" s="164" t="s">
        <v>868</v>
      </c>
      <c r="B1154" s="164"/>
      <c r="C1154" s="164"/>
      <c r="D1154" s="164"/>
      <c r="E1154" s="164"/>
      <c r="F1154" s="164"/>
      <c r="G1154" s="164"/>
    </row>
    <row r="1155" customHeight="1" spans="1:7">
      <c r="A1155" s="165" t="s">
        <v>869</v>
      </c>
      <c r="B1155" s="129"/>
      <c r="C1155" s="129"/>
      <c r="D1155" s="129" t="s">
        <v>870</v>
      </c>
      <c r="E1155" s="130" t="s">
        <v>1400</v>
      </c>
      <c r="F1155" s="131"/>
      <c r="G1155" s="132"/>
    </row>
    <row r="1156" customHeight="1" spans="1:7">
      <c r="A1156" s="144" t="s">
        <v>507</v>
      </c>
      <c r="B1156" s="166"/>
      <c r="C1156" s="167" t="s">
        <v>1401</v>
      </c>
      <c r="D1156" s="167"/>
      <c r="E1156" s="167"/>
      <c r="F1156" s="61" t="s">
        <v>873</v>
      </c>
      <c r="G1156" s="138" t="s">
        <v>70</v>
      </c>
    </row>
    <row r="1157" customHeight="1" spans="1:7">
      <c r="A1157" s="168" t="s">
        <v>875</v>
      </c>
      <c r="B1157" s="167"/>
      <c r="C1157" s="167"/>
      <c r="D1157" s="167"/>
      <c r="E1157" s="167"/>
      <c r="F1157" s="167"/>
      <c r="G1157" s="169"/>
    </row>
    <row r="1158" customHeight="1" spans="1:7">
      <c r="A1158" s="141" t="s">
        <v>1390</v>
      </c>
      <c r="B1158" s="142"/>
      <c r="C1158" s="170"/>
      <c r="D1158" s="170"/>
      <c r="E1158" s="170"/>
      <c r="F1158" s="170"/>
      <c r="G1158" s="171"/>
    </row>
    <row r="1159" customHeight="1" spans="1:7">
      <c r="A1159" s="144" t="s">
        <v>34</v>
      </c>
      <c r="B1159" s="61" t="s">
        <v>761</v>
      </c>
      <c r="C1159" s="61"/>
      <c r="D1159" s="61" t="s">
        <v>60</v>
      </c>
      <c r="E1159" s="147" t="s">
        <v>877</v>
      </c>
      <c r="F1159" s="61" t="s">
        <v>878</v>
      </c>
      <c r="G1159" s="138" t="s">
        <v>879</v>
      </c>
    </row>
    <row r="1160" customHeight="1" spans="1:7">
      <c r="A1160" s="144" t="s">
        <v>8</v>
      </c>
      <c r="B1160" s="153" t="s">
        <v>880</v>
      </c>
      <c r="C1160" s="153"/>
      <c r="D1160" s="61"/>
      <c r="E1160" s="147"/>
      <c r="F1160" s="147"/>
      <c r="G1160" s="150">
        <f>G1161+G1176</f>
        <v>360.014782688088</v>
      </c>
    </row>
    <row r="1161" customHeight="1" spans="1:7">
      <c r="A1161" s="144" t="s">
        <v>881</v>
      </c>
      <c r="B1161" s="153" t="s">
        <v>882</v>
      </c>
      <c r="C1161" s="153"/>
      <c r="D1161" s="61"/>
      <c r="E1161" s="147"/>
      <c r="F1161" s="147"/>
      <c r="G1161" s="150">
        <f>G1162+G1165+G1171</f>
        <v>343.525556000084</v>
      </c>
    </row>
    <row r="1162" customHeight="1" spans="1:7">
      <c r="A1162" s="144" t="s">
        <v>17</v>
      </c>
      <c r="B1162" s="153" t="s">
        <v>510</v>
      </c>
      <c r="C1162" s="153"/>
      <c r="D1162" s="61"/>
      <c r="E1162" s="147"/>
      <c r="F1162" s="147"/>
      <c r="G1162" s="150">
        <f>SUM(G1163:G1164)</f>
        <v>134.462</v>
      </c>
    </row>
    <row r="1163" customHeight="1" spans="1:7">
      <c r="A1163" s="144"/>
      <c r="B1163" s="153" t="s">
        <v>704</v>
      </c>
      <c r="C1163" s="153"/>
      <c r="D1163" s="61" t="s">
        <v>705</v>
      </c>
      <c r="E1163" s="147">
        <v>6.2</v>
      </c>
      <c r="F1163" s="147">
        <f>主要材料预算!$D$19</f>
        <v>8.1</v>
      </c>
      <c r="G1163" s="150">
        <f t="shared" ref="G1163:G1170" si="85">E1163*F1163</f>
        <v>50.22</v>
      </c>
    </row>
    <row r="1164" customHeight="1" spans="1:7">
      <c r="A1164" s="144"/>
      <c r="B1164" s="153" t="s">
        <v>706</v>
      </c>
      <c r="C1164" s="153"/>
      <c r="D1164" s="61" t="s">
        <v>705</v>
      </c>
      <c r="E1164" s="151">
        <v>14.6</v>
      </c>
      <c r="F1164" s="147">
        <f>主要材料预算!$D$20</f>
        <v>5.77</v>
      </c>
      <c r="G1164" s="150">
        <f t="shared" si="85"/>
        <v>84.242</v>
      </c>
    </row>
    <row r="1165" customHeight="1" spans="1:7">
      <c r="A1165" s="144" t="s">
        <v>19</v>
      </c>
      <c r="B1165" s="148" t="s">
        <v>511</v>
      </c>
      <c r="C1165" s="149"/>
      <c r="D1165" s="61"/>
      <c r="E1165" s="147"/>
      <c r="F1165" s="147"/>
      <c r="G1165" s="150">
        <f>SUM(G1166:G1170)</f>
        <v>148.62354</v>
      </c>
    </row>
    <row r="1166" customHeight="1" spans="1:7">
      <c r="A1166" s="144"/>
      <c r="B1166" s="148" t="s">
        <v>1394</v>
      </c>
      <c r="C1166" s="149"/>
      <c r="D1166" s="61" t="s">
        <v>70</v>
      </c>
      <c r="E1166" s="147">
        <v>0.4</v>
      </c>
      <c r="F1166" s="147">
        <f>混凝土单价计算表!$M$13</f>
        <v>135.58885</v>
      </c>
      <c r="G1166" s="150">
        <f t="shared" si="85"/>
        <v>54.23554</v>
      </c>
    </row>
    <row r="1167" customHeight="1" spans="1:7">
      <c r="A1167" s="144"/>
      <c r="B1167" s="148" t="s">
        <v>688</v>
      </c>
      <c r="C1167" s="149"/>
      <c r="D1167" s="61" t="s">
        <v>70</v>
      </c>
      <c r="E1167" s="147">
        <v>1.13</v>
      </c>
      <c r="F1167" s="147">
        <f>主要材料预算!$M$10</f>
        <v>70</v>
      </c>
      <c r="G1167" s="150">
        <f t="shared" si="85"/>
        <v>79.1</v>
      </c>
    </row>
    <row r="1168" customHeight="1" spans="1:7">
      <c r="A1168" s="144"/>
      <c r="B1168" s="180" t="s">
        <v>1395</v>
      </c>
      <c r="C1168" s="181"/>
      <c r="D1168" s="61" t="s">
        <v>1396</v>
      </c>
      <c r="E1168" s="147">
        <v>2.6</v>
      </c>
      <c r="F1168" s="147">
        <f>基础材料!$D$17</f>
        <v>3</v>
      </c>
      <c r="G1168" s="150">
        <f t="shared" si="85"/>
        <v>7.8</v>
      </c>
    </row>
    <row r="1169" customHeight="1" spans="1:7">
      <c r="A1169" s="144"/>
      <c r="B1169" s="148" t="s">
        <v>730</v>
      </c>
      <c r="C1169" s="149"/>
      <c r="D1169" s="61" t="s">
        <v>70</v>
      </c>
      <c r="E1169" s="147">
        <v>0.72</v>
      </c>
      <c r="F1169" s="147">
        <f>主要材料预算!$D$16</f>
        <v>4.15</v>
      </c>
      <c r="G1169" s="150">
        <f t="shared" si="85"/>
        <v>2.988</v>
      </c>
    </row>
    <row r="1170" customHeight="1" spans="1:7">
      <c r="A1170" s="144"/>
      <c r="B1170" s="148" t="s">
        <v>1397</v>
      </c>
      <c r="C1170" s="149"/>
      <c r="D1170" s="61" t="s">
        <v>1398</v>
      </c>
      <c r="E1170" s="147">
        <v>0.3</v>
      </c>
      <c r="F1170" s="147">
        <f>基础材料!$D$16</f>
        <v>15</v>
      </c>
      <c r="G1170" s="150">
        <f t="shared" si="85"/>
        <v>4.5</v>
      </c>
    </row>
    <row r="1171" customHeight="1" spans="1:7">
      <c r="A1171" s="144" t="s">
        <v>21</v>
      </c>
      <c r="B1171" s="153" t="s">
        <v>895</v>
      </c>
      <c r="C1171" s="153"/>
      <c r="D1171" s="153"/>
      <c r="E1171" s="147"/>
      <c r="F1171" s="147"/>
      <c r="G1171" s="150">
        <f>SUM(G1172:G1175)</f>
        <v>60.4400160000838</v>
      </c>
    </row>
    <row r="1172" customHeight="1" spans="1:7">
      <c r="A1172" s="144"/>
      <c r="B1172" s="148" t="s">
        <v>848</v>
      </c>
      <c r="C1172" s="149"/>
      <c r="D1172" s="61" t="s">
        <v>896</v>
      </c>
      <c r="E1172" s="147">
        <v>0.18</v>
      </c>
      <c r="F1172" s="147">
        <f>施工机械台时费!$E$50</f>
        <v>26.7734822497008</v>
      </c>
      <c r="G1172" s="150">
        <f t="shared" ref="G1172:G1174" si="86">E1172*F1172</f>
        <v>4.81922680494615</v>
      </c>
    </row>
    <row r="1173" customHeight="1" spans="1:7">
      <c r="A1173" s="144"/>
      <c r="B1173" s="182" t="s">
        <v>851</v>
      </c>
      <c r="C1173" s="183"/>
      <c r="D1173" s="61" t="s">
        <v>896</v>
      </c>
      <c r="E1173" s="147">
        <v>0.78</v>
      </c>
      <c r="F1173" s="147">
        <f>施工机械台时费!$E$53</f>
        <v>46.7913282808137</v>
      </c>
      <c r="G1173" s="150">
        <f t="shared" si="86"/>
        <v>36.4972360590347</v>
      </c>
    </row>
    <row r="1174" customHeight="1" spans="1:7">
      <c r="A1174" s="144"/>
      <c r="B1174" s="148" t="s">
        <v>1399</v>
      </c>
      <c r="C1174" s="149"/>
      <c r="D1174" s="61" t="s">
        <v>896</v>
      </c>
      <c r="E1174" s="147">
        <v>1.42</v>
      </c>
      <c r="F1174" s="147">
        <f>施工机械台时费!$E$19</f>
        <v>13.1336757080175</v>
      </c>
      <c r="G1174" s="150">
        <f t="shared" si="86"/>
        <v>18.6498195053849</v>
      </c>
    </row>
    <row r="1175" customHeight="1" spans="1:7">
      <c r="A1175" s="144"/>
      <c r="B1175" s="148" t="s">
        <v>902</v>
      </c>
      <c r="C1175" s="149"/>
      <c r="D1175" s="61" t="s">
        <v>894</v>
      </c>
      <c r="E1175" s="147">
        <f>SUM(G1172:G1174)</f>
        <v>59.9662823693658</v>
      </c>
      <c r="F1175" s="147">
        <v>0.79</v>
      </c>
      <c r="G1175" s="150">
        <f>E1175*F1175/100</f>
        <v>0.47373363071799</v>
      </c>
    </row>
    <row r="1176" customHeight="1" spans="1:7">
      <c r="A1176" s="144" t="s">
        <v>905</v>
      </c>
      <c r="B1176" s="153" t="s">
        <v>514</v>
      </c>
      <c r="C1176" s="153"/>
      <c r="D1176" s="61"/>
      <c r="E1176" s="154">
        <f>G1161</f>
        <v>343.525556000084</v>
      </c>
      <c r="F1176" s="155">
        <f>费率表!$F$4</f>
        <v>0.048</v>
      </c>
      <c r="G1176" s="150">
        <f t="shared" ref="G1176:G1178" si="87">E1176*F1176</f>
        <v>16.489226688004</v>
      </c>
    </row>
    <row r="1177" customHeight="1" spans="1:7">
      <c r="A1177" s="144" t="s">
        <v>10</v>
      </c>
      <c r="B1177" s="153" t="s">
        <v>770</v>
      </c>
      <c r="C1177" s="153"/>
      <c r="D1177" s="61"/>
      <c r="E1177" s="147">
        <f>G1160</f>
        <v>360.014782688088</v>
      </c>
      <c r="F1177" s="156">
        <f>费率表!$F$5</f>
        <v>0.085</v>
      </c>
      <c r="G1177" s="150">
        <f t="shared" si="87"/>
        <v>30.6012565284875</v>
      </c>
    </row>
    <row r="1178" customHeight="1" spans="1:7">
      <c r="A1178" s="144" t="s">
        <v>12</v>
      </c>
      <c r="B1178" s="153" t="s">
        <v>771</v>
      </c>
      <c r="C1178" s="153"/>
      <c r="D1178" s="61"/>
      <c r="E1178" s="147">
        <f>G1160+G1177</f>
        <v>390.616039216575</v>
      </c>
      <c r="F1178" s="156">
        <f>费率表!$F$6</f>
        <v>0.07</v>
      </c>
      <c r="G1178" s="150">
        <f t="shared" si="87"/>
        <v>27.3431227451603</v>
      </c>
    </row>
    <row r="1179" customHeight="1" spans="1:7">
      <c r="A1179" s="144" t="s">
        <v>15</v>
      </c>
      <c r="B1179" s="148" t="s">
        <v>517</v>
      </c>
      <c r="C1179" s="149"/>
      <c r="D1179" s="61"/>
      <c r="E1179" s="147"/>
      <c r="F1179" s="157"/>
      <c r="G1179" s="150">
        <f>SUM(G1180:G1182)</f>
        <v>83.33182285776</v>
      </c>
    </row>
    <row r="1180" customHeight="1" spans="1:7">
      <c r="A1180" s="144"/>
      <c r="B1180" s="148" t="s">
        <v>688</v>
      </c>
      <c r="C1180" s="149"/>
      <c r="D1180" s="61" t="s">
        <v>70</v>
      </c>
      <c r="E1180" s="147">
        <f>E1167</f>
        <v>1.13</v>
      </c>
      <c r="F1180" s="147">
        <f>主要材料预算!$N$10</f>
        <v>48.11322</v>
      </c>
      <c r="G1180" s="150">
        <f t="shared" ref="G1180:G1184" si="88">E1180*F1180</f>
        <v>54.3679386</v>
      </c>
    </row>
    <row r="1181" customHeight="1" spans="1:7">
      <c r="A1181" s="144"/>
      <c r="B1181" s="148" t="s">
        <v>729</v>
      </c>
      <c r="C1181" s="149"/>
      <c r="D1181" s="61" t="s">
        <v>204</v>
      </c>
      <c r="E1181" s="147">
        <f>E1166*混凝土单价计算表!$E$13</f>
        <v>0.089784</v>
      </c>
      <c r="F1181" s="147">
        <f>主要材料预算!$N$5</f>
        <v>139.17214</v>
      </c>
      <c r="G1181" s="150">
        <f t="shared" si="88"/>
        <v>12.49543141776</v>
      </c>
    </row>
    <row r="1182" customHeight="1" spans="1:7">
      <c r="A1182" s="144"/>
      <c r="B1182" s="148" t="s">
        <v>684</v>
      </c>
      <c r="C1182" s="149"/>
      <c r="D1182" s="61" t="s">
        <v>70</v>
      </c>
      <c r="E1182" s="147">
        <f>E1166*混凝土单价计算表!$G$13</f>
        <v>0.444</v>
      </c>
      <c r="F1182" s="147">
        <f>主要材料预算!$N$7</f>
        <v>37.09111</v>
      </c>
      <c r="G1182" s="150">
        <f t="shared" si="88"/>
        <v>16.46845284</v>
      </c>
    </row>
    <row r="1183" customHeight="1" spans="1:7">
      <c r="A1183" s="144" t="s">
        <v>906</v>
      </c>
      <c r="B1183" s="153" t="s">
        <v>772</v>
      </c>
      <c r="C1183" s="153"/>
      <c r="D1183" s="61"/>
      <c r="E1183" s="147">
        <f>G1160+G1177+G1178+G1179</f>
        <v>501.290984819496</v>
      </c>
      <c r="F1183" s="156">
        <f>费率表!$F$7</f>
        <v>0.09</v>
      </c>
      <c r="G1183" s="150">
        <f t="shared" si="88"/>
        <v>45.1161886337546</v>
      </c>
    </row>
    <row r="1184" customHeight="1" spans="1:7">
      <c r="A1184" s="144"/>
      <c r="B1184" s="153" t="s">
        <v>907</v>
      </c>
      <c r="C1184" s="153"/>
      <c r="D1184" s="61"/>
      <c r="E1184" s="147">
        <f>G1160+G1177+G1178+G1179+G1183</f>
        <v>546.40717345325</v>
      </c>
      <c r="F1184" s="156">
        <f>费率表!$B$19</f>
        <v>0.03</v>
      </c>
      <c r="G1184" s="150">
        <f t="shared" si="88"/>
        <v>16.3922152035975</v>
      </c>
    </row>
    <row r="1185" customHeight="1" spans="1:7">
      <c r="A1185" s="158"/>
      <c r="B1185" s="161" t="s">
        <v>39</v>
      </c>
      <c r="C1185" s="161"/>
      <c r="D1185" s="161"/>
      <c r="E1185" s="162"/>
      <c r="F1185" s="161"/>
      <c r="G1185" s="163">
        <f>G1160+G1177+G1178+G1179+G1183+G1184</f>
        <v>562.799388656848</v>
      </c>
    </row>
    <row r="1187" customHeight="1" spans="1:7">
      <c r="A1187" s="164" t="s">
        <v>868</v>
      </c>
      <c r="B1187" s="164"/>
      <c r="C1187" s="164"/>
      <c r="D1187" s="164"/>
      <c r="E1187" s="164"/>
      <c r="F1187" s="164"/>
      <c r="G1187" s="164"/>
    </row>
    <row r="1188" customHeight="1" spans="1:7">
      <c r="A1188" s="165" t="s">
        <v>869</v>
      </c>
      <c r="B1188" s="129"/>
      <c r="C1188" s="129"/>
      <c r="D1188" s="129" t="s">
        <v>870</v>
      </c>
      <c r="E1188" s="130" t="s">
        <v>1403</v>
      </c>
      <c r="F1188" s="131"/>
      <c r="G1188" s="132"/>
    </row>
    <row r="1189" customHeight="1" spans="1:7">
      <c r="A1189" s="144" t="s">
        <v>507</v>
      </c>
      <c r="B1189" s="166"/>
      <c r="C1189" s="167" t="s">
        <v>1404</v>
      </c>
      <c r="D1189" s="167"/>
      <c r="E1189" s="167"/>
      <c r="F1189" s="61" t="s">
        <v>873</v>
      </c>
      <c r="G1189" s="138" t="s">
        <v>70</v>
      </c>
    </row>
    <row r="1190" customHeight="1" spans="1:7">
      <c r="A1190" s="168" t="s">
        <v>875</v>
      </c>
      <c r="B1190" s="167"/>
      <c r="C1190" s="167"/>
      <c r="D1190" s="167"/>
      <c r="E1190" s="167"/>
      <c r="F1190" s="167"/>
      <c r="G1190" s="169"/>
    </row>
    <row r="1191" customHeight="1" spans="1:7">
      <c r="A1191" s="141" t="s">
        <v>1390</v>
      </c>
      <c r="B1191" s="142"/>
      <c r="C1191" s="170"/>
      <c r="D1191" s="170"/>
      <c r="E1191" s="170"/>
      <c r="F1191" s="170"/>
      <c r="G1191" s="171"/>
    </row>
    <row r="1192" customHeight="1" spans="1:7">
      <c r="A1192" s="144" t="s">
        <v>34</v>
      </c>
      <c r="B1192" s="61" t="s">
        <v>761</v>
      </c>
      <c r="C1192" s="61"/>
      <c r="D1192" s="61" t="s">
        <v>60</v>
      </c>
      <c r="E1192" s="147" t="s">
        <v>877</v>
      </c>
      <c r="F1192" s="61" t="s">
        <v>878</v>
      </c>
      <c r="G1192" s="138" t="s">
        <v>879</v>
      </c>
    </row>
    <row r="1193" customHeight="1" spans="1:7">
      <c r="A1193" s="144" t="s">
        <v>8</v>
      </c>
      <c r="B1193" s="153" t="s">
        <v>880</v>
      </c>
      <c r="C1193" s="153"/>
      <c r="D1193" s="61"/>
      <c r="E1193" s="147"/>
      <c r="F1193" s="147"/>
      <c r="G1193" s="150">
        <f>G1194+G1209</f>
        <v>359.589294688088</v>
      </c>
    </row>
    <row r="1194" customHeight="1" spans="1:7">
      <c r="A1194" s="144" t="s">
        <v>881</v>
      </c>
      <c r="B1194" s="153" t="s">
        <v>882</v>
      </c>
      <c r="C1194" s="153"/>
      <c r="D1194" s="61"/>
      <c r="E1194" s="147"/>
      <c r="F1194" s="147"/>
      <c r="G1194" s="150">
        <f>G1195+G1198+G1204</f>
        <v>343.119556000084</v>
      </c>
    </row>
    <row r="1195" customHeight="1" spans="1:7">
      <c r="A1195" s="144" t="s">
        <v>17</v>
      </c>
      <c r="B1195" s="153" t="s">
        <v>510</v>
      </c>
      <c r="C1195" s="153"/>
      <c r="D1195" s="61"/>
      <c r="E1195" s="147"/>
      <c r="F1195" s="147"/>
      <c r="G1195" s="150">
        <f>SUM(G1196:G1197)</f>
        <v>140.931</v>
      </c>
    </row>
    <row r="1196" customHeight="1" spans="1:7">
      <c r="A1196" s="144"/>
      <c r="B1196" s="153" t="s">
        <v>704</v>
      </c>
      <c r="C1196" s="153"/>
      <c r="D1196" s="61" t="s">
        <v>705</v>
      </c>
      <c r="E1196" s="147">
        <v>6.5</v>
      </c>
      <c r="F1196" s="147">
        <f>主要材料预算!$D$19</f>
        <v>8.1</v>
      </c>
      <c r="G1196" s="150">
        <f t="shared" ref="G1196:G1203" si="89">E1196*F1196</f>
        <v>52.65</v>
      </c>
    </row>
    <row r="1197" customHeight="1" spans="1:7">
      <c r="A1197" s="144"/>
      <c r="B1197" s="153" t="s">
        <v>706</v>
      </c>
      <c r="C1197" s="153"/>
      <c r="D1197" s="61" t="s">
        <v>705</v>
      </c>
      <c r="E1197" s="151">
        <v>15.3</v>
      </c>
      <c r="F1197" s="147">
        <f>主要材料预算!$D$20</f>
        <v>5.77</v>
      </c>
      <c r="G1197" s="150">
        <f t="shared" si="89"/>
        <v>88.281</v>
      </c>
    </row>
    <row r="1198" customHeight="1" spans="1:7">
      <c r="A1198" s="144" t="s">
        <v>19</v>
      </c>
      <c r="B1198" s="148" t="s">
        <v>511</v>
      </c>
      <c r="C1198" s="149"/>
      <c r="D1198" s="61"/>
      <c r="E1198" s="147"/>
      <c r="F1198" s="147"/>
      <c r="G1198" s="150">
        <f>SUM(G1199:G1203)</f>
        <v>141.74854</v>
      </c>
    </row>
    <row r="1199" customHeight="1" spans="1:7">
      <c r="A1199" s="144"/>
      <c r="B1199" s="148" t="s">
        <v>1394</v>
      </c>
      <c r="C1199" s="149"/>
      <c r="D1199" s="61" t="s">
        <v>70</v>
      </c>
      <c r="E1199" s="147">
        <v>0.4</v>
      </c>
      <c r="F1199" s="147">
        <f>混凝土单价计算表!$M$13</f>
        <v>135.58885</v>
      </c>
      <c r="G1199" s="150">
        <f t="shared" si="89"/>
        <v>54.23554</v>
      </c>
    </row>
    <row r="1200" customHeight="1" spans="1:7">
      <c r="A1200" s="144"/>
      <c r="B1200" s="148" t="s">
        <v>688</v>
      </c>
      <c r="C1200" s="149"/>
      <c r="D1200" s="61" t="s">
        <v>70</v>
      </c>
      <c r="E1200" s="147">
        <v>1.13</v>
      </c>
      <c r="F1200" s="147">
        <f>主要材料预算!$M$10</f>
        <v>70</v>
      </c>
      <c r="G1200" s="150">
        <f t="shared" si="89"/>
        <v>79.1</v>
      </c>
    </row>
    <row r="1201" customHeight="1" spans="1:7">
      <c r="A1201" s="144"/>
      <c r="B1201" s="180" t="s">
        <v>1395</v>
      </c>
      <c r="C1201" s="181"/>
      <c r="D1201" s="61" t="s">
        <v>1396</v>
      </c>
      <c r="E1201" s="147">
        <v>1</v>
      </c>
      <c r="F1201" s="147">
        <f>基础材料!$D$17</f>
        <v>3</v>
      </c>
      <c r="G1201" s="150">
        <f t="shared" si="89"/>
        <v>3</v>
      </c>
    </row>
    <row r="1202" customHeight="1" spans="1:7">
      <c r="A1202" s="144"/>
      <c r="B1202" s="148" t="s">
        <v>730</v>
      </c>
      <c r="C1202" s="149"/>
      <c r="D1202" s="61" t="s">
        <v>70</v>
      </c>
      <c r="E1202" s="147">
        <v>0.22</v>
      </c>
      <c r="F1202" s="147">
        <f>主要材料预算!$D$16</f>
        <v>4.15</v>
      </c>
      <c r="G1202" s="150">
        <f t="shared" si="89"/>
        <v>0.913</v>
      </c>
    </row>
    <row r="1203" customHeight="1" spans="1:7">
      <c r="A1203" s="144"/>
      <c r="B1203" s="148" t="s">
        <v>1397</v>
      </c>
      <c r="C1203" s="149"/>
      <c r="D1203" s="61" t="s">
        <v>1398</v>
      </c>
      <c r="E1203" s="147">
        <v>0.3</v>
      </c>
      <c r="F1203" s="147">
        <f>基础材料!$D$16</f>
        <v>15</v>
      </c>
      <c r="G1203" s="150">
        <f t="shared" si="89"/>
        <v>4.5</v>
      </c>
    </row>
    <row r="1204" customHeight="1" spans="1:7">
      <c r="A1204" s="144" t="s">
        <v>21</v>
      </c>
      <c r="B1204" s="153" t="s">
        <v>895</v>
      </c>
      <c r="C1204" s="153"/>
      <c r="D1204" s="153"/>
      <c r="E1204" s="147"/>
      <c r="F1204" s="147"/>
      <c r="G1204" s="150">
        <f>SUM(G1205:G1208)</f>
        <v>60.4400160000838</v>
      </c>
    </row>
    <row r="1205" customHeight="1" spans="1:7">
      <c r="A1205" s="144"/>
      <c r="B1205" s="148" t="s">
        <v>848</v>
      </c>
      <c r="C1205" s="149"/>
      <c r="D1205" s="61" t="s">
        <v>896</v>
      </c>
      <c r="E1205" s="147">
        <v>0.18</v>
      </c>
      <c r="F1205" s="147">
        <f>施工机械台时费!$E$50</f>
        <v>26.7734822497008</v>
      </c>
      <c r="G1205" s="150">
        <f t="shared" ref="G1205:G1207" si="90">E1205*F1205</f>
        <v>4.81922680494615</v>
      </c>
    </row>
    <row r="1206" customHeight="1" spans="1:7">
      <c r="A1206" s="144"/>
      <c r="B1206" s="182" t="s">
        <v>851</v>
      </c>
      <c r="C1206" s="183"/>
      <c r="D1206" s="61" t="s">
        <v>896</v>
      </c>
      <c r="E1206" s="147">
        <v>0.78</v>
      </c>
      <c r="F1206" s="147">
        <f>施工机械台时费!$E$53</f>
        <v>46.7913282808137</v>
      </c>
      <c r="G1206" s="150">
        <f t="shared" si="90"/>
        <v>36.4972360590347</v>
      </c>
    </row>
    <row r="1207" customHeight="1" spans="1:7">
      <c r="A1207" s="144"/>
      <c r="B1207" s="148" t="s">
        <v>1399</v>
      </c>
      <c r="C1207" s="149"/>
      <c r="D1207" s="61" t="s">
        <v>896</v>
      </c>
      <c r="E1207" s="147">
        <v>1.42</v>
      </c>
      <c r="F1207" s="147">
        <f>施工机械台时费!$E$19</f>
        <v>13.1336757080175</v>
      </c>
      <c r="G1207" s="150">
        <f t="shared" si="90"/>
        <v>18.6498195053849</v>
      </c>
    </row>
    <row r="1208" customHeight="1" spans="1:7">
      <c r="A1208" s="144"/>
      <c r="B1208" s="148" t="s">
        <v>902</v>
      </c>
      <c r="C1208" s="149"/>
      <c r="D1208" s="61" t="s">
        <v>894</v>
      </c>
      <c r="E1208" s="147">
        <f>SUM(G1205:G1207)</f>
        <v>59.9662823693658</v>
      </c>
      <c r="F1208" s="147">
        <v>0.79</v>
      </c>
      <c r="G1208" s="150">
        <f>E1208*F1208/100</f>
        <v>0.47373363071799</v>
      </c>
    </row>
    <row r="1209" customHeight="1" spans="1:7">
      <c r="A1209" s="144" t="s">
        <v>905</v>
      </c>
      <c r="B1209" s="153" t="s">
        <v>514</v>
      </c>
      <c r="C1209" s="153"/>
      <c r="D1209" s="61"/>
      <c r="E1209" s="154">
        <f>G1194</f>
        <v>343.119556000084</v>
      </c>
      <c r="F1209" s="155">
        <f>费率表!$F$4</f>
        <v>0.048</v>
      </c>
      <c r="G1209" s="150">
        <f t="shared" ref="G1209:G1211" si="91">E1209*F1209</f>
        <v>16.469738688004</v>
      </c>
    </row>
    <row r="1210" customHeight="1" spans="1:7">
      <c r="A1210" s="144" t="s">
        <v>10</v>
      </c>
      <c r="B1210" s="153" t="s">
        <v>770</v>
      </c>
      <c r="C1210" s="153"/>
      <c r="D1210" s="61"/>
      <c r="E1210" s="147">
        <f>G1193</f>
        <v>359.589294688088</v>
      </c>
      <c r="F1210" s="156">
        <f>费率表!$F$5</f>
        <v>0.085</v>
      </c>
      <c r="G1210" s="150">
        <f t="shared" si="91"/>
        <v>30.5650900484875</v>
      </c>
    </row>
    <row r="1211" customHeight="1" spans="1:7">
      <c r="A1211" s="144" t="s">
        <v>12</v>
      </c>
      <c r="B1211" s="153" t="s">
        <v>771</v>
      </c>
      <c r="C1211" s="153"/>
      <c r="D1211" s="61"/>
      <c r="E1211" s="147">
        <f>G1193+G1210</f>
        <v>390.154384736575</v>
      </c>
      <c r="F1211" s="156">
        <f>费率表!$F$6</f>
        <v>0.07</v>
      </c>
      <c r="G1211" s="150">
        <f t="shared" si="91"/>
        <v>27.3108069315603</v>
      </c>
    </row>
    <row r="1212" customHeight="1" spans="1:7">
      <c r="A1212" s="144" t="s">
        <v>15</v>
      </c>
      <c r="B1212" s="148" t="s">
        <v>517</v>
      </c>
      <c r="C1212" s="149"/>
      <c r="D1212" s="61"/>
      <c r="E1212" s="147"/>
      <c r="F1212" s="157"/>
      <c r="G1212" s="150">
        <f>SUM(G1213:G1215)</f>
        <v>83.33182285776</v>
      </c>
    </row>
    <row r="1213" customHeight="1" spans="1:7">
      <c r="A1213" s="144"/>
      <c r="B1213" s="148" t="s">
        <v>688</v>
      </c>
      <c r="C1213" s="149"/>
      <c r="D1213" s="61" t="s">
        <v>70</v>
      </c>
      <c r="E1213" s="147">
        <f>E1200</f>
        <v>1.13</v>
      </c>
      <c r="F1213" s="147">
        <f>主要材料预算!$N$10</f>
        <v>48.11322</v>
      </c>
      <c r="G1213" s="150">
        <f t="shared" ref="G1213:G1217" si="92">E1213*F1213</f>
        <v>54.3679386</v>
      </c>
    </row>
    <row r="1214" customHeight="1" spans="1:7">
      <c r="A1214" s="144"/>
      <c r="B1214" s="148" t="s">
        <v>729</v>
      </c>
      <c r="C1214" s="149"/>
      <c r="D1214" s="61" t="s">
        <v>204</v>
      </c>
      <c r="E1214" s="147">
        <f>E1199*混凝土单价计算表!$E$13</f>
        <v>0.089784</v>
      </c>
      <c r="F1214" s="147">
        <f>主要材料预算!$N$5</f>
        <v>139.17214</v>
      </c>
      <c r="G1214" s="150">
        <f t="shared" si="92"/>
        <v>12.49543141776</v>
      </c>
    </row>
    <row r="1215" customHeight="1" spans="1:7">
      <c r="A1215" s="144"/>
      <c r="B1215" s="148" t="s">
        <v>684</v>
      </c>
      <c r="C1215" s="149"/>
      <c r="D1215" s="61" t="s">
        <v>70</v>
      </c>
      <c r="E1215" s="147">
        <f>E1199*混凝土单价计算表!$G$13</f>
        <v>0.444</v>
      </c>
      <c r="F1215" s="147">
        <f>主要材料预算!$N$7</f>
        <v>37.09111</v>
      </c>
      <c r="G1215" s="150">
        <f t="shared" si="92"/>
        <v>16.46845284</v>
      </c>
    </row>
    <row r="1216" customHeight="1" spans="1:7">
      <c r="A1216" s="144" t="s">
        <v>906</v>
      </c>
      <c r="B1216" s="153" t="s">
        <v>772</v>
      </c>
      <c r="C1216" s="153"/>
      <c r="D1216" s="61"/>
      <c r="E1216" s="147">
        <f>G1193+G1210+G1211+G1212</f>
        <v>500.797014525896</v>
      </c>
      <c r="F1216" s="156">
        <f>费率表!$F$7</f>
        <v>0.09</v>
      </c>
      <c r="G1216" s="150">
        <f t="shared" si="92"/>
        <v>45.0717313073306</v>
      </c>
    </row>
    <row r="1217" customHeight="1" spans="1:7">
      <c r="A1217" s="144"/>
      <c r="B1217" s="153" t="s">
        <v>907</v>
      </c>
      <c r="C1217" s="153"/>
      <c r="D1217" s="61"/>
      <c r="E1217" s="147">
        <f>G1193+G1210+G1211+G1212+G1216</f>
        <v>545.868745833226</v>
      </c>
      <c r="F1217" s="156">
        <f>费率表!$B$19</f>
        <v>0.03</v>
      </c>
      <c r="G1217" s="150">
        <f t="shared" si="92"/>
        <v>16.3760623749968</v>
      </c>
    </row>
    <row r="1218" customHeight="1" spans="1:7">
      <c r="A1218" s="158"/>
      <c r="B1218" s="161" t="s">
        <v>39</v>
      </c>
      <c r="C1218" s="161"/>
      <c r="D1218" s="161"/>
      <c r="E1218" s="162"/>
      <c r="F1218" s="161"/>
      <c r="G1218" s="163">
        <f>G1193+G1210+G1211+G1212+G1216+G1217</f>
        <v>562.244808208223</v>
      </c>
    </row>
    <row r="1220" customHeight="1" spans="1:7">
      <c r="A1220" s="164" t="s">
        <v>868</v>
      </c>
      <c r="B1220" s="164"/>
      <c r="C1220" s="164"/>
      <c r="D1220" s="164"/>
      <c r="E1220" s="164"/>
      <c r="F1220" s="164"/>
      <c r="G1220" s="164"/>
    </row>
    <row r="1221" customHeight="1" spans="1:7">
      <c r="A1221" s="127" t="s">
        <v>869</v>
      </c>
      <c r="B1221" s="128"/>
      <c r="C1221" s="129"/>
      <c r="D1221" s="129" t="s">
        <v>870</v>
      </c>
      <c r="E1221" s="184" t="s">
        <v>1405</v>
      </c>
      <c r="F1221" s="185"/>
      <c r="G1221" s="186"/>
    </row>
    <row r="1222" customHeight="1" spans="1:7">
      <c r="A1222" s="133" t="s">
        <v>507</v>
      </c>
      <c r="B1222" s="134"/>
      <c r="C1222" s="135" t="s">
        <v>1406</v>
      </c>
      <c r="D1222" s="136"/>
      <c r="E1222" s="137"/>
      <c r="F1222" s="61" t="s">
        <v>873</v>
      </c>
      <c r="G1222" s="138" t="s">
        <v>1146</v>
      </c>
    </row>
    <row r="1223" customHeight="1" spans="1:7">
      <c r="A1223" s="141" t="s">
        <v>875</v>
      </c>
      <c r="B1223" s="142"/>
      <c r="C1223" s="142"/>
      <c r="D1223" s="142"/>
      <c r="E1223" s="142"/>
      <c r="F1223" s="142"/>
      <c r="G1223" s="143"/>
    </row>
    <row r="1224" customHeight="1" spans="1:7">
      <c r="A1224" s="141" t="s">
        <v>1407</v>
      </c>
      <c r="B1224" s="142"/>
      <c r="C1224" s="142"/>
      <c r="D1224" s="142"/>
      <c r="E1224" s="142"/>
      <c r="F1224" s="142"/>
      <c r="G1224" s="143"/>
    </row>
    <row r="1225" customHeight="1" spans="1:7">
      <c r="A1225" s="144" t="s">
        <v>34</v>
      </c>
      <c r="B1225" s="145" t="s">
        <v>761</v>
      </c>
      <c r="C1225" s="146"/>
      <c r="D1225" s="61" t="s">
        <v>60</v>
      </c>
      <c r="E1225" s="147" t="s">
        <v>877</v>
      </c>
      <c r="F1225" s="61" t="s">
        <v>878</v>
      </c>
      <c r="G1225" s="138" t="s">
        <v>879</v>
      </c>
    </row>
    <row r="1226" customHeight="1" spans="1:7">
      <c r="A1226" s="144" t="s">
        <v>8</v>
      </c>
      <c r="B1226" s="148" t="s">
        <v>880</v>
      </c>
      <c r="C1226" s="149"/>
      <c r="D1226" s="61"/>
      <c r="E1226" s="147"/>
      <c r="F1226" s="147"/>
      <c r="G1226" s="150">
        <f>G1227+G1235</f>
        <v>12.9444060338</v>
      </c>
    </row>
    <row r="1227" customHeight="1" spans="1:7">
      <c r="A1227" s="144" t="s">
        <v>881</v>
      </c>
      <c r="B1227" s="148" t="s">
        <v>882</v>
      </c>
      <c r="C1227" s="149"/>
      <c r="D1227" s="61"/>
      <c r="E1227" s="147"/>
      <c r="F1227" s="147"/>
      <c r="G1227" s="150">
        <f>G1228+G1231</f>
        <v>12.351532475</v>
      </c>
    </row>
    <row r="1228" customHeight="1" spans="1:7">
      <c r="A1228" s="144" t="s">
        <v>17</v>
      </c>
      <c r="B1228" s="148" t="s">
        <v>510</v>
      </c>
      <c r="C1228" s="149"/>
      <c r="D1228" s="61"/>
      <c r="E1228" s="147"/>
      <c r="F1228" s="147"/>
      <c r="G1228" s="150">
        <f>SUM(G1229:G1230)</f>
        <v>10.397</v>
      </c>
    </row>
    <row r="1229" customHeight="1" spans="1:7">
      <c r="A1229" s="144"/>
      <c r="B1229" s="148" t="s">
        <v>704</v>
      </c>
      <c r="C1229" s="149"/>
      <c r="D1229" s="61" t="s">
        <v>705</v>
      </c>
      <c r="E1229" s="147">
        <v>0.5</v>
      </c>
      <c r="F1229" s="147">
        <f>主要材料预算!$D$19</f>
        <v>8.1</v>
      </c>
      <c r="G1229" s="150">
        <f t="shared" ref="G1229:G1233" si="93">E1229*F1229</f>
        <v>4.05</v>
      </c>
    </row>
    <row r="1230" customHeight="1" spans="1:7">
      <c r="A1230" s="144"/>
      <c r="B1230" s="148" t="s">
        <v>706</v>
      </c>
      <c r="C1230" s="149"/>
      <c r="D1230" s="61" t="s">
        <v>705</v>
      </c>
      <c r="E1230" s="151">
        <v>1.1</v>
      </c>
      <c r="F1230" s="147">
        <f>主要材料预算!$D$20</f>
        <v>5.77</v>
      </c>
      <c r="G1230" s="150">
        <f t="shared" si="93"/>
        <v>6.347</v>
      </c>
    </row>
    <row r="1231" customHeight="1" spans="1:7">
      <c r="A1231" s="144" t="s">
        <v>19</v>
      </c>
      <c r="B1231" s="148" t="s">
        <v>511</v>
      </c>
      <c r="C1231" s="149"/>
      <c r="D1231" s="61"/>
      <c r="E1231" s="147"/>
      <c r="F1231" s="147"/>
      <c r="G1231" s="150">
        <f>SUM(G1232:G1234)</f>
        <v>1.954532475</v>
      </c>
    </row>
    <row r="1232" customHeight="1" spans="1:7">
      <c r="A1232" s="144"/>
      <c r="B1232" s="148" t="s">
        <v>1408</v>
      </c>
      <c r="C1232" s="149"/>
      <c r="D1232" s="61" t="s">
        <v>70</v>
      </c>
      <c r="E1232" s="147">
        <v>0.01</v>
      </c>
      <c r="F1232" s="147">
        <f>混凝土单价计算表!$M$14</f>
        <v>144.64595</v>
      </c>
      <c r="G1232" s="150">
        <f t="shared" si="93"/>
        <v>1.4464595</v>
      </c>
    </row>
    <row r="1233" customHeight="1" spans="1:7">
      <c r="A1233" s="144"/>
      <c r="B1233" s="148" t="s">
        <v>730</v>
      </c>
      <c r="C1233" s="149"/>
      <c r="D1233" s="61" t="s">
        <v>70</v>
      </c>
      <c r="E1233" s="147">
        <v>0.1</v>
      </c>
      <c r="F1233" s="147">
        <f>主要材料预算!$D$16</f>
        <v>4.15</v>
      </c>
      <c r="G1233" s="150">
        <f t="shared" si="93"/>
        <v>0.415</v>
      </c>
    </row>
    <row r="1234" customHeight="1" spans="1:7">
      <c r="A1234" s="144"/>
      <c r="B1234" s="148" t="s">
        <v>893</v>
      </c>
      <c r="C1234" s="149"/>
      <c r="D1234" s="61" t="s">
        <v>894</v>
      </c>
      <c r="E1234" s="147">
        <f>SUM(G1232:G1233)</f>
        <v>1.8614595</v>
      </c>
      <c r="F1234" s="147">
        <v>5</v>
      </c>
      <c r="G1234" s="150">
        <f>E1234*F1234/100</f>
        <v>0.093072975</v>
      </c>
    </row>
    <row r="1235" customHeight="1" spans="1:7">
      <c r="A1235" s="144" t="s">
        <v>905</v>
      </c>
      <c r="B1235" s="148" t="s">
        <v>514</v>
      </c>
      <c r="C1235" s="149"/>
      <c r="D1235" s="61"/>
      <c r="E1235" s="154">
        <f>G1227</f>
        <v>12.351532475</v>
      </c>
      <c r="F1235" s="155">
        <f>费率表!$J$4</f>
        <v>0.048</v>
      </c>
      <c r="G1235" s="150">
        <f t="shared" ref="G1235:G1237" si="94">E1235*F1235</f>
        <v>0.5928735588</v>
      </c>
    </row>
    <row r="1236" customHeight="1" spans="1:7">
      <c r="A1236" s="144" t="s">
        <v>10</v>
      </c>
      <c r="B1236" s="148" t="s">
        <v>770</v>
      </c>
      <c r="C1236" s="149"/>
      <c r="D1236" s="61"/>
      <c r="E1236" s="147">
        <f>G1226</f>
        <v>12.9444060338</v>
      </c>
      <c r="F1236" s="156">
        <f>费率表!$J$5</f>
        <v>0.075</v>
      </c>
      <c r="G1236" s="150">
        <f t="shared" si="94"/>
        <v>0.970830452535</v>
      </c>
    </row>
    <row r="1237" customHeight="1" spans="1:7">
      <c r="A1237" s="144" t="s">
        <v>12</v>
      </c>
      <c r="B1237" s="148" t="s">
        <v>771</v>
      </c>
      <c r="C1237" s="149"/>
      <c r="D1237" s="61"/>
      <c r="E1237" s="147">
        <f>G1226+G1236</f>
        <v>13.915236486335</v>
      </c>
      <c r="F1237" s="156">
        <f>费率表!$J$6</f>
        <v>0.07</v>
      </c>
      <c r="G1237" s="150">
        <f t="shared" si="94"/>
        <v>0.97406655404345</v>
      </c>
    </row>
    <row r="1238" customHeight="1" spans="1:7">
      <c r="A1238" s="144" t="s">
        <v>15</v>
      </c>
      <c r="B1238" s="148" t="s">
        <v>517</v>
      </c>
      <c r="C1238" s="149"/>
      <c r="D1238" s="61"/>
      <c r="E1238" s="147"/>
      <c r="F1238" s="157"/>
      <c r="G1238" s="150">
        <f>SUM(G1239:G1240)</f>
        <v>0.77305073322</v>
      </c>
    </row>
    <row r="1239" customHeight="1" spans="1:7">
      <c r="A1239" s="144"/>
      <c r="B1239" s="148" t="s">
        <v>729</v>
      </c>
      <c r="C1239" s="149"/>
      <c r="D1239" s="61" t="s">
        <v>204</v>
      </c>
      <c r="E1239" s="187">
        <f>E1232*混凝土单价计算表!E14</f>
        <v>0.002623</v>
      </c>
      <c r="F1239" s="147">
        <f>主要材料预算!$N$5</f>
        <v>139.17214</v>
      </c>
      <c r="G1239" s="150">
        <f t="shared" ref="G1239:G1242" si="95">E1239*F1239</f>
        <v>0.36504852322</v>
      </c>
    </row>
    <row r="1240" customHeight="1" spans="1:7">
      <c r="A1240" s="144"/>
      <c r="B1240" s="148" t="s">
        <v>684</v>
      </c>
      <c r="C1240" s="149"/>
      <c r="D1240" s="61" t="s">
        <v>70</v>
      </c>
      <c r="E1240" s="147">
        <f>E1232*混凝土单价计算表!G14</f>
        <v>0.011</v>
      </c>
      <c r="F1240" s="147">
        <f>主要材料预算!$N$7</f>
        <v>37.09111</v>
      </c>
      <c r="G1240" s="150">
        <f t="shared" si="95"/>
        <v>0.40800221</v>
      </c>
    </row>
    <row r="1241" customHeight="1" spans="1:7">
      <c r="A1241" s="144" t="s">
        <v>906</v>
      </c>
      <c r="B1241" s="148" t="s">
        <v>772</v>
      </c>
      <c r="C1241" s="149"/>
      <c r="D1241" s="61"/>
      <c r="E1241" s="147">
        <f>G1226+G1236+G1237+G1238</f>
        <v>15.6623537735985</v>
      </c>
      <c r="F1241" s="156">
        <f>费率表!$J$7</f>
        <v>0.09</v>
      </c>
      <c r="G1241" s="150">
        <f t="shared" si="95"/>
        <v>1.40961183962386</v>
      </c>
    </row>
    <row r="1242" customHeight="1" spans="1:7">
      <c r="A1242" s="144"/>
      <c r="B1242" s="148" t="s">
        <v>907</v>
      </c>
      <c r="C1242" s="149"/>
      <c r="D1242" s="61"/>
      <c r="E1242" s="147">
        <f>G1226+G1236+G1237+G1238+G1241</f>
        <v>17.0719656132223</v>
      </c>
      <c r="F1242" s="156">
        <f>费率表!$B$19</f>
        <v>0.03</v>
      </c>
      <c r="G1242" s="150">
        <f t="shared" si="95"/>
        <v>0.512158968396669</v>
      </c>
    </row>
    <row r="1243" customHeight="1" spans="1:7">
      <c r="A1243" s="158"/>
      <c r="B1243" s="159" t="s">
        <v>39</v>
      </c>
      <c r="C1243" s="160"/>
      <c r="D1243" s="161"/>
      <c r="E1243" s="162"/>
      <c r="F1243" s="161"/>
      <c r="G1243" s="163">
        <f>G1226+G1236+G1237+G1238+G1241+G1242</f>
        <v>17.584124581619</v>
      </c>
    </row>
    <row r="1245" customHeight="1" spans="1:7">
      <c r="A1245" s="176" t="s">
        <v>868</v>
      </c>
      <c r="B1245" s="176"/>
      <c r="C1245" s="176"/>
      <c r="D1245" s="176"/>
      <c r="E1245" s="176"/>
      <c r="F1245" s="176"/>
      <c r="G1245" s="176"/>
    </row>
    <row r="1246" customHeight="1" spans="1:7">
      <c r="A1246" s="165" t="s">
        <v>869</v>
      </c>
      <c r="B1246" s="129"/>
      <c r="C1246" s="129"/>
      <c r="D1246" s="129" t="s">
        <v>870</v>
      </c>
      <c r="E1246" s="177" t="s">
        <v>1409</v>
      </c>
      <c r="F1246" s="177"/>
      <c r="G1246" s="178"/>
    </row>
    <row r="1247" customHeight="1" spans="1:7">
      <c r="A1247" s="144" t="s">
        <v>507</v>
      </c>
      <c r="B1247" s="166"/>
      <c r="C1247" s="167" t="s">
        <v>1410</v>
      </c>
      <c r="D1247" s="167"/>
      <c r="E1247" s="167"/>
      <c r="F1247" s="61" t="s">
        <v>873</v>
      </c>
      <c r="G1247" s="138" t="s">
        <v>874</v>
      </c>
    </row>
    <row r="1248" customHeight="1" spans="1:7">
      <c r="A1248" s="141" t="s">
        <v>1411</v>
      </c>
      <c r="B1248" s="142"/>
      <c r="C1248" s="170"/>
      <c r="D1248" s="170"/>
      <c r="E1248" s="170"/>
      <c r="F1248" s="170"/>
      <c r="G1248" s="171"/>
    </row>
    <row r="1249" customHeight="1" spans="1:7">
      <c r="A1249" s="141" t="s">
        <v>1164</v>
      </c>
      <c r="B1249" s="142"/>
      <c r="C1249" s="170"/>
      <c r="D1249" s="170"/>
      <c r="E1249" s="170"/>
      <c r="F1249" s="170"/>
      <c r="G1249" s="171"/>
    </row>
    <row r="1250" customHeight="1" spans="1:7">
      <c r="A1250" s="144" t="s">
        <v>34</v>
      </c>
      <c r="B1250" s="61" t="s">
        <v>761</v>
      </c>
      <c r="C1250" s="61"/>
      <c r="D1250" s="61" t="s">
        <v>60</v>
      </c>
      <c r="E1250" s="147" t="s">
        <v>877</v>
      </c>
      <c r="F1250" s="61" t="s">
        <v>878</v>
      </c>
      <c r="G1250" s="138" t="s">
        <v>879</v>
      </c>
    </row>
    <row r="1251" customHeight="1" spans="1:7">
      <c r="A1251" s="144" t="s">
        <v>8</v>
      </c>
      <c r="B1251" s="153" t="s">
        <v>880</v>
      </c>
      <c r="C1251" s="153"/>
      <c r="D1251" s="61"/>
      <c r="E1251" s="147"/>
      <c r="F1251" s="147"/>
      <c r="G1251" s="150">
        <f>G1252+G1258</f>
        <v>5404.2586992</v>
      </c>
    </row>
    <row r="1252" customHeight="1" spans="1:7">
      <c r="A1252" s="144" t="s">
        <v>881</v>
      </c>
      <c r="B1252" s="153" t="s">
        <v>882</v>
      </c>
      <c r="C1252" s="153"/>
      <c r="D1252" s="61"/>
      <c r="E1252" s="147"/>
      <c r="F1252" s="147"/>
      <c r="G1252" s="150">
        <f>G1253+G1256</f>
        <v>5156.7354</v>
      </c>
    </row>
    <row r="1253" customHeight="1" spans="1:7">
      <c r="A1253" s="144" t="s">
        <v>17</v>
      </c>
      <c r="B1253" s="153" t="s">
        <v>510</v>
      </c>
      <c r="C1253" s="153"/>
      <c r="D1253" s="61"/>
      <c r="E1253" s="147"/>
      <c r="F1253" s="147"/>
      <c r="G1253" s="150">
        <f>SUM(G1254:G1255)</f>
        <v>5131.08</v>
      </c>
    </row>
    <row r="1254" customHeight="1" spans="1:7">
      <c r="A1254" s="144"/>
      <c r="B1254" s="153" t="s">
        <v>704</v>
      </c>
      <c r="C1254" s="153"/>
      <c r="D1254" s="61" t="s">
        <v>705</v>
      </c>
      <c r="E1254" s="147">
        <v>18</v>
      </c>
      <c r="F1254" s="147">
        <f>主要材料预算!$D$19</f>
        <v>8.1</v>
      </c>
      <c r="G1254" s="150">
        <f t="shared" ref="G1254:G1262" si="96">E1254*F1254</f>
        <v>145.8</v>
      </c>
    </row>
    <row r="1255" customHeight="1" spans="1:7">
      <c r="A1255" s="144"/>
      <c r="B1255" s="153" t="s">
        <v>706</v>
      </c>
      <c r="C1255" s="153"/>
      <c r="D1255" s="61" t="s">
        <v>705</v>
      </c>
      <c r="E1255" s="151">
        <v>864</v>
      </c>
      <c r="F1255" s="147">
        <f>主要材料预算!$D$20</f>
        <v>5.77</v>
      </c>
      <c r="G1255" s="150">
        <f t="shared" si="96"/>
        <v>4985.28</v>
      </c>
    </row>
    <row r="1256" customHeight="1" spans="1:7">
      <c r="A1256" s="144" t="s">
        <v>19</v>
      </c>
      <c r="B1256" s="148" t="s">
        <v>511</v>
      </c>
      <c r="C1256" s="149"/>
      <c r="D1256" s="61"/>
      <c r="E1256" s="147"/>
      <c r="F1256" s="147"/>
      <c r="G1256" s="150">
        <f>G1257</f>
        <v>25.6554</v>
      </c>
    </row>
    <row r="1257" customHeight="1" spans="1:7">
      <c r="A1257" s="144"/>
      <c r="B1257" s="153" t="s">
        <v>1008</v>
      </c>
      <c r="C1257" s="153"/>
      <c r="D1257" s="61" t="s">
        <v>894</v>
      </c>
      <c r="E1257" s="147">
        <f>G1253</f>
        <v>5131.08</v>
      </c>
      <c r="F1257" s="151">
        <v>0.5</v>
      </c>
      <c r="G1257" s="150">
        <f>E1257*F1257/100</f>
        <v>25.6554</v>
      </c>
    </row>
    <row r="1258" customHeight="1" spans="1:7">
      <c r="A1258" s="144" t="s">
        <v>905</v>
      </c>
      <c r="B1258" s="153" t="s">
        <v>514</v>
      </c>
      <c r="C1258" s="153"/>
      <c r="D1258" s="61"/>
      <c r="E1258" s="154">
        <f>G1252</f>
        <v>5156.7354</v>
      </c>
      <c r="F1258" s="155">
        <f>费率表!$J$4</f>
        <v>0.048</v>
      </c>
      <c r="G1258" s="150">
        <f t="shared" si="96"/>
        <v>247.5232992</v>
      </c>
    </row>
    <row r="1259" customHeight="1" spans="1:7">
      <c r="A1259" s="144" t="s">
        <v>10</v>
      </c>
      <c r="B1259" s="153" t="s">
        <v>770</v>
      </c>
      <c r="C1259" s="153"/>
      <c r="D1259" s="61"/>
      <c r="E1259" s="147">
        <f>G1251</f>
        <v>5404.2586992</v>
      </c>
      <c r="F1259" s="156">
        <f>费率表!$J$5</f>
        <v>0.075</v>
      </c>
      <c r="G1259" s="150">
        <f t="shared" si="96"/>
        <v>405.31940244</v>
      </c>
    </row>
    <row r="1260" customHeight="1" spans="1:7">
      <c r="A1260" s="144" t="s">
        <v>12</v>
      </c>
      <c r="B1260" s="153" t="s">
        <v>771</v>
      </c>
      <c r="C1260" s="153"/>
      <c r="D1260" s="61"/>
      <c r="E1260" s="147">
        <f>G1251+G1259</f>
        <v>5809.57810164</v>
      </c>
      <c r="F1260" s="156">
        <f>费率表!$J$6</f>
        <v>0.07</v>
      </c>
      <c r="G1260" s="150">
        <f t="shared" si="96"/>
        <v>406.6704671148</v>
      </c>
    </row>
    <row r="1261" customHeight="1" spans="1:7">
      <c r="A1261" s="144" t="s">
        <v>15</v>
      </c>
      <c r="B1261" s="153" t="s">
        <v>772</v>
      </c>
      <c r="C1261" s="153"/>
      <c r="D1261" s="61"/>
      <c r="E1261" s="147">
        <f>G1251+G1259+G1260</f>
        <v>6216.2485687548</v>
      </c>
      <c r="F1261" s="156">
        <f>费率表!$J$7</f>
        <v>0.09</v>
      </c>
      <c r="G1261" s="150">
        <f t="shared" si="96"/>
        <v>559.462371187932</v>
      </c>
    </row>
    <row r="1262" customHeight="1" spans="1:7">
      <c r="A1262" s="144"/>
      <c r="B1262" s="153" t="s">
        <v>907</v>
      </c>
      <c r="C1262" s="153"/>
      <c r="D1262" s="61"/>
      <c r="E1262" s="147">
        <f>G1251+G1259+G1260+G1261</f>
        <v>6775.71093994273</v>
      </c>
      <c r="F1262" s="156">
        <f>费率表!$B$19</f>
        <v>0.03</v>
      </c>
      <c r="G1262" s="150">
        <f t="shared" si="96"/>
        <v>203.271328198282</v>
      </c>
    </row>
    <row r="1263" customHeight="1" spans="1:7">
      <c r="A1263" s="158"/>
      <c r="B1263" s="161" t="s">
        <v>39</v>
      </c>
      <c r="C1263" s="161"/>
      <c r="D1263" s="161"/>
      <c r="E1263" s="162"/>
      <c r="F1263" s="161"/>
      <c r="G1263" s="163">
        <f>G1251+G1259+G1260+G1261+G1262</f>
        <v>6978.98226814101</v>
      </c>
    </row>
    <row r="1266" customHeight="1" spans="1:7">
      <c r="A1266" s="176" t="s">
        <v>868</v>
      </c>
      <c r="B1266" s="176"/>
      <c r="C1266" s="176"/>
      <c r="D1266" s="176"/>
      <c r="E1266" s="176"/>
      <c r="F1266" s="176"/>
      <c r="G1266" s="176"/>
    </row>
    <row r="1267" customHeight="1" spans="1:7">
      <c r="A1267" s="165" t="s">
        <v>869</v>
      </c>
      <c r="B1267" s="129"/>
      <c r="C1267" s="129"/>
      <c r="D1267" s="129" t="s">
        <v>870</v>
      </c>
      <c r="E1267" s="177" t="s">
        <v>1412</v>
      </c>
      <c r="F1267" s="177"/>
      <c r="G1267" s="178"/>
    </row>
    <row r="1268" customHeight="1" spans="1:7">
      <c r="A1268" s="144" t="s">
        <v>507</v>
      </c>
      <c r="B1268" s="166"/>
      <c r="C1268" s="167" t="s">
        <v>1413</v>
      </c>
      <c r="D1268" s="167"/>
      <c r="E1268" s="167"/>
      <c r="F1268" s="61" t="s">
        <v>873</v>
      </c>
      <c r="G1268" s="138" t="s">
        <v>874</v>
      </c>
    </row>
    <row r="1269" customHeight="1" spans="1:7">
      <c r="A1269" s="141" t="s">
        <v>1164</v>
      </c>
      <c r="B1269" s="142"/>
      <c r="C1269" s="170"/>
      <c r="D1269" s="170"/>
      <c r="E1269" s="170"/>
      <c r="F1269" s="170"/>
      <c r="G1269" s="171"/>
    </row>
    <row r="1270" customHeight="1" spans="1:7">
      <c r="A1270" s="144" t="s">
        <v>34</v>
      </c>
      <c r="B1270" s="61" t="s">
        <v>761</v>
      </c>
      <c r="C1270" s="61"/>
      <c r="D1270" s="61" t="s">
        <v>60</v>
      </c>
      <c r="E1270" s="147" t="s">
        <v>877</v>
      </c>
      <c r="F1270" s="61" t="s">
        <v>878</v>
      </c>
      <c r="G1270" s="138" t="s">
        <v>879</v>
      </c>
    </row>
    <row r="1271" customHeight="1" spans="1:7">
      <c r="A1271" s="144" t="s">
        <v>8</v>
      </c>
      <c r="B1271" s="153" t="s">
        <v>880</v>
      </c>
      <c r="C1271" s="153"/>
      <c r="D1271" s="61"/>
      <c r="E1271" s="147"/>
      <c r="F1271" s="147"/>
      <c r="G1271" s="150">
        <f>G1272+G1280</f>
        <v>1088.95506230834</v>
      </c>
    </row>
    <row r="1272" customHeight="1" spans="1:7">
      <c r="A1272" s="144" t="s">
        <v>881</v>
      </c>
      <c r="B1272" s="153" t="s">
        <v>882</v>
      </c>
      <c r="C1272" s="153"/>
      <c r="D1272" s="61"/>
      <c r="E1272" s="147"/>
      <c r="F1272" s="147"/>
      <c r="G1272" s="150">
        <f>G1273+G1276+G1278</f>
        <v>1039.0792579278</v>
      </c>
    </row>
    <row r="1273" customHeight="1" spans="1:7">
      <c r="A1273" s="144" t="s">
        <v>17</v>
      </c>
      <c r="B1273" s="153" t="s">
        <v>510</v>
      </c>
      <c r="C1273" s="153"/>
      <c r="D1273" s="61"/>
      <c r="E1273" s="147"/>
      <c r="F1273" s="147"/>
      <c r="G1273" s="150">
        <f>SUM(G1274:G1275)</f>
        <v>623.16</v>
      </c>
    </row>
    <row r="1274" customHeight="1" spans="1:7">
      <c r="A1274" s="144"/>
      <c r="B1274" s="153" t="s">
        <v>704</v>
      </c>
      <c r="C1274" s="153"/>
      <c r="D1274" s="61" t="s">
        <v>705</v>
      </c>
      <c r="E1274" s="147"/>
      <c r="F1274" s="147">
        <f>主要材料预算!$D$19</f>
        <v>8.1</v>
      </c>
      <c r="G1274" s="150">
        <f t="shared" ref="G1274:G1282" si="97">E1274*F1274</f>
        <v>0</v>
      </c>
    </row>
    <row r="1275" customHeight="1" spans="1:7">
      <c r="A1275" s="144"/>
      <c r="B1275" s="153" t="s">
        <v>706</v>
      </c>
      <c r="C1275" s="153"/>
      <c r="D1275" s="61" t="s">
        <v>705</v>
      </c>
      <c r="E1275" s="151">
        <v>108</v>
      </c>
      <c r="F1275" s="147">
        <f>主要材料预算!$D$20</f>
        <v>5.77</v>
      </c>
      <c r="G1275" s="150">
        <f t="shared" si="97"/>
        <v>623.16</v>
      </c>
    </row>
    <row r="1276" customHeight="1" spans="1:7">
      <c r="A1276" s="144" t="s">
        <v>19</v>
      </c>
      <c r="B1276" s="148" t="s">
        <v>511</v>
      </c>
      <c r="C1276" s="149"/>
      <c r="D1276" s="61"/>
      <c r="E1276" s="147"/>
      <c r="F1276" s="147"/>
      <c r="G1276" s="150">
        <f>G1277</f>
        <v>30.2644444056641</v>
      </c>
    </row>
    <row r="1277" customHeight="1" spans="1:7">
      <c r="A1277" s="144"/>
      <c r="B1277" s="153" t="s">
        <v>1008</v>
      </c>
      <c r="C1277" s="153"/>
      <c r="D1277" s="61" t="s">
        <v>894</v>
      </c>
      <c r="E1277" s="147">
        <f>G1273+G1278</f>
        <v>1008.81481352214</v>
      </c>
      <c r="F1277" s="152">
        <v>3</v>
      </c>
      <c r="G1277" s="150">
        <f>E1277*F1277/100</f>
        <v>30.2644444056641</v>
      </c>
    </row>
    <row r="1278" customHeight="1" spans="1:7">
      <c r="A1278" s="144" t="s">
        <v>21</v>
      </c>
      <c r="B1278" s="153" t="s">
        <v>895</v>
      </c>
      <c r="C1278" s="153"/>
      <c r="D1278" s="153"/>
      <c r="E1278" s="147"/>
      <c r="F1278" s="147"/>
      <c r="G1278" s="150">
        <f>SUM(G1279:G1279)</f>
        <v>385.654813522138</v>
      </c>
    </row>
    <row r="1279" customHeight="1" spans="1:7">
      <c r="A1279" s="144"/>
      <c r="B1279" s="179" t="s">
        <v>1414</v>
      </c>
      <c r="C1279" s="179"/>
      <c r="D1279" s="61" t="s">
        <v>896</v>
      </c>
      <c r="E1279" s="147">
        <v>3.9</v>
      </c>
      <c r="F1279" s="147">
        <f>施工机械台时费!$E$5</f>
        <v>98.885849621061</v>
      </c>
      <c r="G1279" s="150">
        <f t="shared" si="97"/>
        <v>385.654813522138</v>
      </c>
    </row>
    <row r="1280" customHeight="1" spans="1:7">
      <c r="A1280" s="144" t="s">
        <v>905</v>
      </c>
      <c r="B1280" s="153" t="s">
        <v>514</v>
      </c>
      <c r="C1280" s="153"/>
      <c r="D1280" s="61"/>
      <c r="E1280" s="154">
        <f>G1272</f>
        <v>1039.0792579278</v>
      </c>
      <c r="F1280" s="155">
        <f>费率表!$J$4</f>
        <v>0.048</v>
      </c>
      <c r="G1280" s="150">
        <f t="shared" si="97"/>
        <v>49.8758043805345</v>
      </c>
    </row>
    <row r="1281" customHeight="1" spans="1:7">
      <c r="A1281" s="144" t="s">
        <v>10</v>
      </c>
      <c r="B1281" s="153" t="s">
        <v>770</v>
      </c>
      <c r="C1281" s="153"/>
      <c r="D1281" s="61"/>
      <c r="E1281" s="147">
        <f>G1271</f>
        <v>1088.95506230834</v>
      </c>
      <c r="F1281" s="156">
        <f>费率表!$J$5</f>
        <v>0.075</v>
      </c>
      <c r="G1281" s="150">
        <f t="shared" si="97"/>
        <v>81.6716296731253</v>
      </c>
    </row>
    <row r="1282" customHeight="1" spans="1:7">
      <c r="A1282" s="144" t="s">
        <v>12</v>
      </c>
      <c r="B1282" s="153" t="s">
        <v>771</v>
      </c>
      <c r="C1282" s="153"/>
      <c r="D1282" s="61"/>
      <c r="E1282" s="147">
        <f>G1271+G1281</f>
        <v>1170.62669198146</v>
      </c>
      <c r="F1282" s="156">
        <f>费率表!$J$6</f>
        <v>0.07</v>
      </c>
      <c r="G1282" s="150">
        <f t="shared" si="97"/>
        <v>81.9438684387023</v>
      </c>
    </row>
    <row r="1283" customHeight="1" spans="1:7">
      <c r="A1283" s="144" t="s">
        <v>15</v>
      </c>
      <c r="B1283" s="148" t="s">
        <v>517</v>
      </c>
      <c r="C1283" s="149"/>
      <c r="D1283" s="61"/>
      <c r="E1283" s="147"/>
      <c r="F1283" s="157"/>
      <c r="G1283" s="150">
        <f>G1284</f>
        <v>352.240775870348</v>
      </c>
    </row>
    <row r="1284" customHeight="1" spans="1:7">
      <c r="A1284" s="144" t="s">
        <v>17</v>
      </c>
      <c r="B1284" s="148" t="s">
        <v>694</v>
      </c>
      <c r="C1284" s="149"/>
      <c r="D1284" s="61"/>
      <c r="E1284" s="147">
        <f>E1279*施工机械台时费!$L$6</f>
        <v>58.11</v>
      </c>
      <c r="F1284" s="147">
        <f>主要材料预算!$N$13</f>
        <v>6.0616206482593</v>
      </c>
      <c r="G1284" s="150">
        <f t="shared" ref="G1284:G1286" si="98">E1284*F1284</f>
        <v>352.240775870348</v>
      </c>
    </row>
    <row r="1285" customHeight="1" spans="1:7">
      <c r="A1285" s="144" t="s">
        <v>906</v>
      </c>
      <c r="B1285" s="153" t="s">
        <v>772</v>
      </c>
      <c r="C1285" s="153"/>
      <c r="D1285" s="61"/>
      <c r="E1285" s="147">
        <f>G1271+G1281+G1282+G1283</f>
        <v>1604.81133629052</v>
      </c>
      <c r="F1285" s="156">
        <f>费率表!$J$7</f>
        <v>0.09</v>
      </c>
      <c r="G1285" s="150">
        <f t="shared" si="98"/>
        <v>144.433020266146</v>
      </c>
    </row>
    <row r="1286" customHeight="1" spans="1:7">
      <c r="A1286" s="144"/>
      <c r="B1286" s="153" t="s">
        <v>907</v>
      </c>
      <c r="C1286" s="153"/>
      <c r="D1286" s="61"/>
      <c r="E1286" s="147">
        <f>G1271+G1281+G1282+G1283+G1285</f>
        <v>1749.24435655666</v>
      </c>
      <c r="F1286" s="156">
        <f>费率表!$B$19</f>
        <v>0.03</v>
      </c>
      <c r="G1286" s="150">
        <f t="shared" si="98"/>
        <v>52.4773306966999</v>
      </c>
    </row>
    <row r="1287" customHeight="1" spans="1:7">
      <c r="A1287" s="158"/>
      <c r="B1287" s="161" t="s">
        <v>39</v>
      </c>
      <c r="C1287" s="161"/>
      <c r="D1287" s="161"/>
      <c r="E1287" s="162"/>
      <c r="F1287" s="161"/>
      <c r="G1287" s="163">
        <f>G1271+G1281+G1282+G1283+G1285+G1286</f>
        <v>1801.72168725336</v>
      </c>
    </row>
    <row r="1292" customHeight="1" spans="1:7">
      <c r="A1292" s="164" t="s">
        <v>868</v>
      </c>
      <c r="B1292" s="164"/>
      <c r="C1292" s="164"/>
      <c r="D1292" s="164"/>
      <c r="E1292" s="164"/>
      <c r="F1292" s="164"/>
      <c r="G1292" s="164"/>
    </row>
    <row r="1293" customHeight="1" spans="1:7">
      <c r="A1293" s="165" t="s">
        <v>869</v>
      </c>
      <c r="B1293" s="129"/>
      <c r="C1293" s="129"/>
      <c r="D1293" s="129" t="s">
        <v>870</v>
      </c>
      <c r="E1293" s="130" t="s">
        <v>1102</v>
      </c>
      <c r="F1293" s="131"/>
      <c r="G1293" s="132"/>
    </row>
    <row r="1294" customHeight="1" spans="1:7">
      <c r="A1294" s="144" t="s">
        <v>507</v>
      </c>
      <c r="B1294" s="166"/>
      <c r="C1294" s="167" t="s">
        <v>1416</v>
      </c>
      <c r="D1294" s="167"/>
      <c r="E1294" s="167"/>
      <c r="F1294" s="61" t="s">
        <v>873</v>
      </c>
      <c r="G1294" s="138" t="s">
        <v>1138</v>
      </c>
    </row>
    <row r="1295" customHeight="1" spans="1:7">
      <c r="A1295" s="168" t="s">
        <v>875</v>
      </c>
      <c r="B1295" s="167"/>
      <c r="C1295" s="167"/>
      <c r="D1295" s="167"/>
      <c r="E1295" s="167"/>
      <c r="F1295" s="167"/>
      <c r="G1295" s="169"/>
    </row>
    <row r="1296" customHeight="1" spans="1:7">
      <c r="A1296" s="141" t="s">
        <v>1104</v>
      </c>
      <c r="B1296" s="142"/>
      <c r="C1296" s="170"/>
      <c r="D1296" s="170"/>
      <c r="E1296" s="170"/>
      <c r="F1296" s="170"/>
      <c r="G1296" s="171"/>
    </row>
    <row r="1297" customHeight="1" spans="1:7">
      <c r="A1297" s="144" t="s">
        <v>34</v>
      </c>
      <c r="B1297" s="61" t="s">
        <v>761</v>
      </c>
      <c r="C1297" s="61"/>
      <c r="D1297" s="61" t="s">
        <v>60</v>
      </c>
      <c r="E1297" s="147" t="s">
        <v>877</v>
      </c>
      <c r="F1297" s="61" t="s">
        <v>878</v>
      </c>
      <c r="G1297" s="138" t="s">
        <v>879</v>
      </c>
    </row>
    <row r="1298" customHeight="1" spans="1:7">
      <c r="A1298" s="144" t="s">
        <v>8</v>
      </c>
      <c r="B1298" s="153" t="s">
        <v>880</v>
      </c>
      <c r="C1298" s="153"/>
      <c r="D1298" s="61"/>
      <c r="E1298" s="147"/>
      <c r="F1298" s="147"/>
      <c r="G1298" s="150">
        <f>G1299+G1307</f>
        <v>10561.663304</v>
      </c>
    </row>
    <row r="1299" customHeight="1" spans="1:7">
      <c r="A1299" s="144" t="s">
        <v>881</v>
      </c>
      <c r="B1299" s="153" t="s">
        <v>882</v>
      </c>
      <c r="C1299" s="153"/>
      <c r="D1299" s="61"/>
      <c r="E1299" s="147"/>
      <c r="F1299" s="147"/>
      <c r="G1299" s="150">
        <f>G1300+G1303</f>
        <v>10077.923</v>
      </c>
    </row>
    <row r="1300" customHeight="1" spans="1:7">
      <c r="A1300" s="144" t="s">
        <v>17</v>
      </c>
      <c r="B1300" s="153" t="s">
        <v>510</v>
      </c>
      <c r="C1300" s="153"/>
      <c r="D1300" s="61"/>
      <c r="E1300" s="147"/>
      <c r="F1300" s="147"/>
      <c r="G1300" s="150">
        <f>SUM(G1301:G1302)</f>
        <v>2866.523</v>
      </c>
    </row>
    <row r="1301" customHeight="1" spans="1:7">
      <c r="A1301" s="144"/>
      <c r="B1301" s="153" t="s">
        <v>704</v>
      </c>
      <c r="C1301" s="153"/>
      <c r="D1301" s="61" t="s">
        <v>705</v>
      </c>
      <c r="E1301" s="147">
        <v>9.9</v>
      </c>
      <c r="F1301" s="147">
        <f>主要材料预算!$D$19</f>
        <v>8.1</v>
      </c>
      <c r="G1301" s="150">
        <f t="shared" ref="G1301:G1305" si="99">E1301*F1301</f>
        <v>80.19</v>
      </c>
    </row>
    <row r="1302" customHeight="1" spans="1:7">
      <c r="A1302" s="144"/>
      <c r="B1302" s="153" t="s">
        <v>706</v>
      </c>
      <c r="C1302" s="153"/>
      <c r="D1302" s="61" t="s">
        <v>705</v>
      </c>
      <c r="E1302" s="151">
        <v>482.9</v>
      </c>
      <c r="F1302" s="147">
        <f>主要材料预算!$D$20</f>
        <v>5.77</v>
      </c>
      <c r="G1302" s="150">
        <f t="shared" si="99"/>
        <v>2786.333</v>
      </c>
    </row>
    <row r="1303" customHeight="1" spans="1:7">
      <c r="A1303" s="144" t="s">
        <v>19</v>
      </c>
      <c r="B1303" s="148" t="s">
        <v>511</v>
      </c>
      <c r="C1303" s="149"/>
      <c r="D1303" s="61"/>
      <c r="E1303" s="147"/>
      <c r="F1303" s="147"/>
      <c r="G1303" s="150">
        <f>SUM(G1304:G1306)</f>
        <v>7211.4</v>
      </c>
    </row>
    <row r="1304" customHeight="1" spans="1:7">
      <c r="A1304" s="144"/>
      <c r="B1304" s="148" t="s">
        <v>1069</v>
      </c>
      <c r="C1304" s="149"/>
      <c r="D1304" s="61" t="s">
        <v>70</v>
      </c>
      <c r="E1304" s="147">
        <v>102</v>
      </c>
      <c r="F1304" s="147">
        <f>主要材料预算!$M$10</f>
        <v>70</v>
      </c>
      <c r="G1304" s="150">
        <f t="shared" si="99"/>
        <v>7140</v>
      </c>
    </row>
    <row r="1305" customHeight="1" spans="1:7">
      <c r="A1305" s="144"/>
      <c r="B1305" s="180" t="s">
        <v>753</v>
      </c>
      <c r="C1305" s="181"/>
      <c r="D1305" s="61" t="s">
        <v>70</v>
      </c>
      <c r="E1305" s="147"/>
      <c r="F1305" s="147"/>
      <c r="G1305" s="150">
        <f t="shared" si="99"/>
        <v>0</v>
      </c>
    </row>
    <row r="1306" customHeight="1" spans="1:7">
      <c r="A1306" s="144"/>
      <c r="B1306" s="148" t="s">
        <v>893</v>
      </c>
      <c r="C1306" s="149"/>
      <c r="D1306" s="61" t="s">
        <v>894</v>
      </c>
      <c r="E1306" s="147">
        <f>SUM(G1304:G1305)</f>
        <v>7140</v>
      </c>
      <c r="F1306" s="147">
        <v>1</v>
      </c>
      <c r="G1306" s="150">
        <f>E1306*F1306/100</f>
        <v>71.4</v>
      </c>
    </row>
    <row r="1307" customHeight="1" spans="1:7">
      <c r="A1307" s="144" t="s">
        <v>905</v>
      </c>
      <c r="B1307" s="153" t="s">
        <v>514</v>
      </c>
      <c r="C1307" s="153"/>
      <c r="D1307" s="61"/>
      <c r="E1307" s="154">
        <f>G1299</f>
        <v>10077.923</v>
      </c>
      <c r="F1307" s="155">
        <f>费率表!$E$4</f>
        <v>0.048</v>
      </c>
      <c r="G1307" s="150">
        <f t="shared" ref="G1307:G1309" si="100">E1307*F1307</f>
        <v>483.740304</v>
      </c>
    </row>
    <row r="1308" customHeight="1" spans="1:7">
      <c r="A1308" s="144" t="s">
        <v>10</v>
      </c>
      <c r="B1308" s="153" t="s">
        <v>770</v>
      </c>
      <c r="C1308" s="153"/>
      <c r="D1308" s="61"/>
      <c r="E1308" s="147">
        <f>G1298</f>
        <v>10561.663304</v>
      </c>
      <c r="F1308" s="156">
        <f>费率表!$E$5</f>
        <v>0.085</v>
      </c>
      <c r="G1308" s="150">
        <f t="shared" si="100"/>
        <v>897.74138084</v>
      </c>
    </row>
    <row r="1309" customHeight="1" spans="1:7">
      <c r="A1309" s="144" t="s">
        <v>12</v>
      </c>
      <c r="B1309" s="153" t="s">
        <v>771</v>
      </c>
      <c r="C1309" s="153"/>
      <c r="D1309" s="61"/>
      <c r="E1309" s="147">
        <f>G1298+G1308</f>
        <v>11459.40468484</v>
      </c>
      <c r="F1309" s="156">
        <f>费率表!$E$6</f>
        <v>0.07</v>
      </c>
      <c r="G1309" s="150">
        <f t="shared" si="100"/>
        <v>802.1583279388</v>
      </c>
    </row>
    <row r="1310" customHeight="1" spans="1:7">
      <c r="A1310" s="144" t="s">
        <v>15</v>
      </c>
      <c r="B1310" s="148" t="s">
        <v>517</v>
      </c>
      <c r="C1310" s="149"/>
      <c r="D1310" s="61"/>
      <c r="E1310" s="147"/>
      <c r="F1310" s="157"/>
      <c r="G1310" s="150">
        <f>SUM(G1311:G1312)</f>
        <v>2732.7942</v>
      </c>
    </row>
    <row r="1311" customHeight="1" spans="1:7">
      <c r="A1311" s="144"/>
      <c r="B1311" s="148" t="s">
        <v>1069</v>
      </c>
      <c r="C1311" s="149"/>
      <c r="D1311" s="61" t="s">
        <v>70</v>
      </c>
      <c r="E1311" s="147">
        <f>E1304</f>
        <v>102</v>
      </c>
      <c r="F1311" s="147">
        <f>主要材料预算!$N$9</f>
        <v>26.7921</v>
      </c>
      <c r="G1311" s="150">
        <f t="shared" ref="G1311:G1314" si="101">E1311*F1311</f>
        <v>2732.7942</v>
      </c>
    </row>
    <row r="1312" customHeight="1" spans="1:7">
      <c r="A1312" s="144"/>
      <c r="B1312" s="180" t="s">
        <v>753</v>
      </c>
      <c r="C1312" s="181"/>
      <c r="D1312" s="61" t="s">
        <v>70</v>
      </c>
      <c r="E1312" s="147"/>
      <c r="F1312" s="147">
        <f>主要材料预算!$N$7</f>
        <v>37.09111</v>
      </c>
      <c r="G1312" s="150"/>
    </row>
    <row r="1313" customHeight="1" spans="1:7">
      <c r="A1313" s="144" t="s">
        <v>906</v>
      </c>
      <c r="B1313" s="153" t="s">
        <v>772</v>
      </c>
      <c r="C1313" s="153"/>
      <c r="D1313" s="61"/>
      <c r="E1313" s="147">
        <f>G1298+G1308+G1309+G1310</f>
        <v>14994.3572127788</v>
      </c>
      <c r="F1313" s="156">
        <f>费率表!$E$7</f>
        <v>0.09</v>
      </c>
      <c r="G1313" s="150">
        <f t="shared" si="101"/>
        <v>1349.49214915009</v>
      </c>
    </row>
    <row r="1314" customHeight="1" spans="1:7">
      <c r="A1314" s="144"/>
      <c r="B1314" s="153" t="s">
        <v>907</v>
      </c>
      <c r="C1314" s="153"/>
      <c r="D1314" s="61"/>
      <c r="E1314" s="147">
        <f>G1298+G1308+G1309+G1310+G1313</f>
        <v>16343.8493619289</v>
      </c>
      <c r="F1314" s="156">
        <f>费率表!$B$19</f>
        <v>0.03</v>
      </c>
      <c r="G1314" s="150">
        <f t="shared" si="101"/>
        <v>490.315480857867</v>
      </c>
    </row>
    <row r="1315" customHeight="1" spans="1:7">
      <c r="A1315" s="158"/>
      <c r="B1315" s="161" t="s">
        <v>39</v>
      </c>
      <c r="C1315" s="161"/>
      <c r="D1315" s="161"/>
      <c r="E1315" s="162"/>
      <c r="F1315" s="161"/>
      <c r="G1315" s="163">
        <f>G1298+G1308+G1309+G1310+G1313+G1314</f>
        <v>16834.1648427868</v>
      </c>
    </row>
    <row r="1317" customHeight="1" spans="1:7">
      <c r="A1317" s="164" t="s">
        <v>868</v>
      </c>
      <c r="B1317" s="164"/>
      <c r="C1317" s="164"/>
      <c r="D1317" s="164"/>
      <c r="E1317" s="164"/>
      <c r="F1317" s="164"/>
      <c r="G1317" s="164"/>
    </row>
    <row r="1318" customHeight="1" spans="1:7">
      <c r="A1318" s="165" t="s">
        <v>869</v>
      </c>
      <c r="B1318" s="129"/>
      <c r="C1318" s="129"/>
      <c r="D1318" s="129" t="s">
        <v>870</v>
      </c>
      <c r="E1318" s="130" t="s">
        <v>1417</v>
      </c>
      <c r="F1318" s="131"/>
      <c r="G1318" s="132"/>
    </row>
    <row r="1319" customHeight="1" spans="1:7">
      <c r="A1319" s="144" t="s">
        <v>507</v>
      </c>
      <c r="B1319" s="166"/>
      <c r="C1319" s="167" t="s">
        <v>1418</v>
      </c>
      <c r="D1319" s="167"/>
      <c r="E1319" s="167"/>
      <c r="F1319" s="61" t="s">
        <v>873</v>
      </c>
      <c r="G1319" s="138" t="s">
        <v>1138</v>
      </c>
    </row>
    <row r="1320" customHeight="1" spans="1:7">
      <c r="A1320" s="168" t="s">
        <v>875</v>
      </c>
      <c r="B1320" s="167"/>
      <c r="C1320" s="167"/>
      <c r="D1320" s="167"/>
      <c r="E1320" s="167"/>
      <c r="F1320" s="167"/>
      <c r="G1320" s="169"/>
    </row>
    <row r="1321" customHeight="1" spans="1:7">
      <c r="A1321" s="141" t="s">
        <v>1104</v>
      </c>
      <c r="B1321" s="142"/>
      <c r="C1321" s="170"/>
      <c r="D1321" s="170"/>
      <c r="E1321" s="170"/>
      <c r="F1321" s="170"/>
      <c r="G1321" s="171"/>
    </row>
    <row r="1322" customHeight="1" spans="1:7">
      <c r="A1322" s="144" t="s">
        <v>34</v>
      </c>
      <c r="B1322" s="61" t="s">
        <v>761</v>
      </c>
      <c r="C1322" s="61"/>
      <c r="D1322" s="61" t="s">
        <v>60</v>
      </c>
      <c r="E1322" s="147" t="s">
        <v>877</v>
      </c>
      <c r="F1322" s="61" t="s">
        <v>878</v>
      </c>
      <c r="G1322" s="138" t="s">
        <v>879</v>
      </c>
    </row>
    <row r="1323" customHeight="1" spans="1:7">
      <c r="A1323" s="144" t="s">
        <v>8</v>
      </c>
      <c r="B1323" s="153" t="s">
        <v>880</v>
      </c>
      <c r="C1323" s="153"/>
      <c r="D1323" s="61"/>
      <c r="E1323" s="147"/>
      <c r="F1323" s="147"/>
      <c r="G1323" s="150">
        <f>G1324+G1332</f>
        <v>10561.663304</v>
      </c>
    </row>
    <row r="1324" customHeight="1" spans="1:7">
      <c r="A1324" s="144" t="s">
        <v>881</v>
      </c>
      <c r="B1324" s="153" t="s">
        <v>882</v>
      </c>
      <c r="C1324" s="153"/>
      <c r="D1324" s="61"/>
      <c r="E1324" s="147"/>
      <c r="F1324" s="147"/>
      <c r="G1324" s="150">
        <f>G1325+G1328</f>
        <v>10077.923</v>
      </c>
    </row>
    <row r="1325" customHeight="1" spans="1:7">
      <c r="A1325" s="144" t="s">
        <v>17</v>
      </c>
      <c r="B1325" s="153" t="s">
        <v>510</v>
      </c>
      <c r="C1325" s="153"/>
      <c r="D1325" s="61"/>
      <c r="E1325" s="147"/>
      <c r="F1325" s="147"/>
      <c r="G1325" s="150">
        <f>SUM(G1326:G1327)</f>
        <v>2866.523</v>
      </c>
    </row>
    <row r="1326" customHeight="1" spans="1:7">
      <c r="A1326" s="144"/>
      <c r="B1326" s="153" t="s">
        <v>704</v>
      </c>
      <c r="C1326" s="153"/>
      <c r="D1326" s="61" t="s">
        <v>705</v>
      </c>
      <c r="E1326" s="147">
        <v>9.9</v>
      </c>
      <c r="F1326" s="147">
        <f>主要材料预算!$D$19</f>
        <v>8.1</v>
      </c>
      <c r="G1326" s="150">
        <f t="shared" ref="G1326:G1330" si="102">E1326*F1326</f>
        <v>80.19</v>
      </c>
    </row>
    <row r="1327" customHeight="1" spans="1:7">
      <c r="A1327" s="144"/>
      <c r="B1327" s="153" t="s">
        <v>706</v>
      </c>
      <c r="C1327" s="153"/>
      <c r="D1327" s="61" t="s">
        <v>705</v>
      </c>
      <c r="E1327" s="151">
        <v>482.9</v>
      </c>
      <c r="F1327" s="147">
        <f>主要材料预算!$D$20</f>
        <v>5.77</v>
      </c>
      <c r="G1327" s="150">
        <f t="shared" si="102"/>
        <v>2786.333</v>
      </c>
    </row>
    <row r="1328" customHeight="1" spans="1:7">
      <c r="A1328" s="144" t="s">
        <v>19</v>
      </c>
      <c r="B1328" s="148" t="s">
        <v>511</v>
      </c>
      <c r="C1328" s="149"/>
      <c r="D1328" s="61"/>
      <c r="E1328" s="147"/>
      <c r="F1328" s="147"/>
      <c r="G1328" s="150">
        <f>SUM(G1329:G1331)</f>
        <v>7211.4</v>
      </c>
    </row>
    <row r="1329" customHeight="1" spans="1:7">
      <c r="A1329" s="144"/>
      <c r="B1329" s="148" t="s">
        <v>1069</v>
      </c>
      <c r="C1329" s="149"/>
      <c r="D1329" s="61" t="s">
        <v>70</v>
      </c>
      <c r="E1329" s="147">
        <v>81.6</v>
      </c>
      <c r="F1329" s="147">
        <f>主要材料预算!$M$10</f>
        <v>70</v>
      </c>
      <c r="G1329" s="150">
        <f t="shared" si="102"/>
        <v>5712</v>
      </c>
    </row>
    <row r="1330" customHeight="1" spans="1:7">
      <c r="A1330" s="144"/>
      <c r="B1330" s="180" t="s">
        <v>753</v>
      </c>
      <c r="C1330" s="181"/>
      <c r="D1330" s="61" t="s">
        <v>70</v>
      </c>
      <c r="E1330" s="147">
        <v>20.4</v>
      </c>
      <c r="F1330" s="147">
        <f>主要材料预算!M7</f>
        <v>70</v>
      </c>
      <c r="G1330" s="150">
        <f t="shared" si="102"/>
        <v>1428</v>
      </c>
    </row>
    <row r="1331" customHeight="1" spans="1:7">
      <c r="A1331" s="144"/>
      <c r="B1331" s="148" t="s">
        <v>893</v>
      </c>
      <c r="C1331" s="149"/>
      <c r="D1331" s="61" t="s">
        <v>894</v>
      </c>
      <c r="E1331" s="147">
        <f>SUM(G1329:G1330)</f>
        <v>7140</v>
      </c>
      <c r="F1331" s="147">
        <v>1</v>
      </c>
      <c r="G1331" s="150">
        <f>E1331*F1331/100</f>
        <v>71.4</v>
      </c>
    </row>
    <row r="1332" customHeight="1" spans="1:7">
      <c r="A1332" s="144" t="s">
        <v>905</v>
      </c>
      <c r="B1332" s="153" t="s">
        <v>514</v>
      </c>
      <c r="C1332" s="153"/>
      <c r="D1332" s="61"/>
      <c r="E1332" s="154">
        <f>G1324</f>
        <v>10077.923</v>
      </c>
      <c r="F1332" s="155">
        <f>费率表!$E$4</f>
        <v>0.048</v>
      </c>
      <c r="G1332" s="150">
        <f t="shared" ref="G1332:G1334" si="103">E1332*F1332</f>
        <v>483.740304</v>
      </c>
    </row>
    <row r="1333" customHeight="1" spans="1:7">
      <c r="A1333" s="144" t="s">
        <v>10</v>
      </c>
      <c r="B1333" s="153" t="s">
        <v>770</v>
      </c>
      <c r="C1333" s="153"/>
      <c r="D1333" s="61"/>
      <c r="E1333" s="147">
        <f>G1323</f>
        <v>10561.663304</v>
      </c>
      <c r="F1333" s="156">
        <f>费率表!$E$5</f>
        <v>0.085</v>
      </c>
      <c r="G1333" s="150">
        <f t="shared" si="103"/>
        <v>897.74138084</v>
      </c>
    </row>
    <row r="1334" customHeight="1" spans="1:7">
      <c r="A1334" s="144" t="s">
        <v>12</v>
      </c>
      <c r="B1334" s="153" t="s">
        <v>771</v>
      </c>
      <c r="C1334" s="153"/>
      <c r="D1334" s="61"/>
      <c r="E1334" s="147">
        <f>G1323+G1333</f>
        <v>11459.40468484</v>
      </c>
      <c r="F1334" s="156">
        <f>费率表!$E$6</f>
        <v>0.07</v>
      </c>
      <c r="G1334" s="150">
        <f t="shared" si="103"/>
        <v>802.1583279388</v>
      </c>
    </row>
    <row r="1335" customHeight="1" spans="1:7">
      <c r="A1335" s="144" t="s">
        <v>15</v>
      </c>
      <c r="B1335" s="148" t="s">
        <v>517</v>
      </c>
      <c r="C1335" s="149"/>
      <c r="D1335" s="61"/>
      <c r="E1335" s="147"/>
      <c r="F1335" s="157"/>
      <c r="G1335" s="150">
        <f>SUM(G1336:G1337)</f>
        <v>2942.894004</v>
      </c>
    </row>
    <row r="1336" customHeight="1" spans="1:7">
      <c r="A1336" s="144"/>
      <c r="B1336" s="148" t="s">
        <v>1069</v>
      </c>
      <c r="C1336" s="149"/>
      <c r="D1336" s="61" t="s">
        <v>70</v>
      </c>
      <c r="E1336" s="147">
        <f>E1329</f>
        <v>81.6</v>
      </c>
      <c r="F1336" s="147">
        <f>主要材料预算!$N$9</f>
        <v>26.7921</v>
      </c>
      <c r="G1336" s="150">
        <f t="shared" ref="G1336:G1339" si="104">E1336*F1336</f>
        <v>2186.23536</v>
      </c>
    </row>
    <row r="1337" customHeight="1" spans="1:7">
      <c r="A1337" s="144"/>
      <c r="B1337" s="180" t="s">
        <v>753</v>
      </c>
      <c r="C1337" s="181"/>
      <c r="D1337" s="61" t="s">
        <v>70</v>
      </c>
      <c r="E1337" s="147">
        <f>E1330</f>
        <v>20.4</v>
      </c>
      <c r="F1337" s="147">
        <f>主要材料预算!$N$7</f>
        <v>37.09111</v>
      </c>
      <c r="G1337" s="150">
        <f t="shared" si="104"/>
        <v>756.658644</v>
      </c>
    </row>
    <row r="1338" customHeight="1" spans="1:7">
      <c r="A1338" s="144" t="s">
        <v>906</v>
      </c>
      <c r="B1338" s="153" t="s">
        <v>772</v>
      </c>
      <c r="C1338" s="153"/>
      <c r="D1338" s="61"/>
      <c r="E1338" s="147">
        <f>G1323+G1333+G1334+G1335</f>
        <v>15204.4570167788</v>
      </c>
      <c r="F1338" s="156">
        <f>费率表!$E$7</f>
        <v>0.09</v>
      </c>
      <c r="G1338" s="150">
        <f t="shared" si="104"/>
        <v>1368.40113151009</v>
      </c>
    </row>
    <row r="1339" customHeight="1" spans="1:7">
      <c r="A1339" s="144"/>
      <c r="B1339" s="153" t="s">
        <v>907</v>
      </c>
      <c r="C1339" s="153"/>
      <c r="D1339" s="61"/>
      <c r="E1339" s="147">
        <f>G1323+G1333+G1334+G1335+G1338</f>
        <v>16572.8581482889</v>
      </c>
      <c r="F1339" s="156">
        <f>费率表!$B$19</f>
        <v>0.03</v>
      </c>
      <c r="G1339" s="150">
        <f t="shared" si="104"/>
        <v>497.185744448667</v>
      </c>
    </row>
    <row r="1340" customHeight="1" spans="1:7">
      <c r="A1340" s="158"/>
      <c r="B1340" s="161" t="s">
        <v>39</v>
      </c>
      <c r="C1340" s="161"/>
      <c r="D1340" s="161"/>
      <c r="E1340" s="162"/>
      <c r="F1340" s="161"/>
      <c r="G1340" s="163">
        <f>G1323+G1333+G1334+G1335+G1338+G1339</f>
        <v>17070.0438927376</v>
      </c>
    </row>
    <row r="1343" customHeight="1" spans="1:7">
      <c r="A1343" s="126" t="s">
        <v>868</v>
      </c>
      <c r="B1343" s="126"/>
      <c r="C1343" s="126"/>
      <c r="D1343" s="126"/>
      <c r="E1343" s="126"/>
      <c r="F1343" s="126"/>
      <c r="G1343" s="126"/>
    </row>
    <row r="1344" customHeight="1" spans="1:7">
      <c r="A1344" s="127" t="s">
        <v>869</v>
      </c>
      <c r="B1344" s="128"/>
      <c r="C1344" s="129"/>
      <c r="D1344" s="129" t="s">
        <v>870</v>
      </c>
      <c r="E1344" s="130" t="s">
        <v>1158</v>
      </c>
      <c r="F1344" s="131"/>
      <c r="G1344" s="132"/>
    </row>
    <row r="1345" customHeight="1" spans="1:7">
      <c r="A1345" s="133" t="s">
        <v>507</v>
      </c>
      <c r="B1345" s="134"/>
      <c r="C1345" s="135" t="s">
        <v>1430</v>
      </c>
      <c r="D1345" s="136"/>
      <c r="E1345" s="137"/>
      <c r="F1345" s="61" t="s">
        <v>873</v>
      </c>
      <c r="G1345" s="138" t="s">
        <v>874</v>
      </c>
    </row>
    <row r="1346" customHeight="1" spans="1:7">
      <c r="A1346" s="139" t="s">
        <v>875</v>
      </c>
      <c r="B1346" s="136"/>
      <c r="C1346" s="136"/>
      <c r="D1346" s="136"/>
      <c r="E1346" s="136"/>
      <c r="F1346" s="136"/>
      <c r="G1346" s="140"/>
    </row>
    <row r="1347" customHeight="1" spans="1:7">
      <c r="A1347" s="141" t="s">
        <v>1161</v>
      </c>
      <c r="B1347" s="142"/>
      <c r="C1347" s="142"/>
      <c r="D1347" s="142"/>
      <c r="E1347" s="142"/>
      <c r="F1347" s="142"/>
      <c r="G1347" s="143"/>
    </row>
    <row r="1348" customHeight="1" spans="1:7">
      <c r="A1348" s="144" t="s">
        <v>34</v>
      </c>
      <c r="B1348" s="61" t="s">
        <v>761</v>
      </c>
      <c r="C1348" s="61"/>
      <c r="D1348" s="61" t="s">
        <v>60</v>
      </c>
      <c r="E1348" s="147" t="s">
        <v>877</v>
      </c>
      <c r="F1348" s="61" t="s">
        <v>878</v>
      </c>
      <c r="G1348" s="138" t="s">
        <v>879</v>
      </c>
    </row>
    <row r="1349" customHeight="1" spans="1:7">
      <c r="A1349" s="144" t="s">
        <v>8</v>
      </c>
      <c r="B1349" s="153" t="s">
        <v>880</v>
      </c>
      <c r="C1349" s="153"/>
      <c r="D1349" s="61"/>
      <c r="E1349" s="147"/>
      <c r="F1349" s="147"/>
      <c r="G1349" s="150">
        <f>G1350+G1358</f>
        <v>5062.04866845257</v>
      </c>
    </row>
    <row r="1350" customHeight="1" spans="1:7">
      <c r="A1350" s="144" t="s">
        <v>881</v>
      </c>
      <c r="B1350" s="153" t="s">
        <v>882</v>
      </c>
      <c r="C1350" s="153"/>
      <c r="D1350" s="61"/>
      <c r="E1350" s="147"/>
      <c r="F1350" s="147"/>
      <c r="G1350" s="150">
        <f>G1351+G1354+G1356</f>
        <v>4830.19911111887</v>
      </c>
    </row>
    <row r="1351" customHeight="1" spans="1:7">
      <c r="A1351" s="144" t="s">
        <v>17</v>
      </c>
      <c r="B1351" s="153" t="s">
        <v>510</v>
      </c>
      <c r="C1351" s="153"/>
      <c r="D1351" s="61"/>
      <c r="E1351" s="147"/>
      <c r="F1351" s="147"/>
      <c r="G1351" s="150">
        <f>SUM(G1352:G1353)</f>
        <v>69.24</v>
      </c>
    </row>
    <row r="1352" customHeight="1" spans="1:7">
      <c r="A1352" s="144"/>
      <c r="B1352" s="153" t="s">
        <v>704</v>
      </c>
      <c r="C1352" s="153"/>
      <c r="D1352" s="61" t="s">
        <v>705</v>
      </c>
      <c r="E1352" s="147"/>
      <c r="F1352" s="147"/>
      <c r="G1352" s="150"/>
    </row>
    <row r="1353" customHeight="1" spans="1:7">
      <c r="A1353" s="144"/>
      <c r="B1353" s="153" t="s">
        <v>706</v>
      </c>
      <c r="C1353" s="153"/>
      <c r="D1353" s="61" t="s">
        <v>705</v>
      </c>
      <c r="E1353" s="151">
        <v>12</v>
      </c>
      <c r="F1353" s="147">
        <f>主要材料预算!$D$20</f>
        <v>5.77</v>
      </c>
      <c r="G1353" s="150">
        <f t="shared" ref="G1353:G1360" si="105">E1353*F1353</f>
        <v>69.24</v>
      </c>
    </row>
    <row r="1354" customHeight="1" spans="1:7">
      <c r="A1354" s="144" t="s">
        <v>19</v>
      </c>
      <c r="B1354" s="148" t="s">
        <v>511</v>
      </c>
      <c r="C1354" s="149"/>
      <c r="D1354" s="61"/>
      <c r="E1354" s="147"/>
      <c r="F1354" s="147"/>
      <c r="G1354" s="150">
        <f>G1355</f>
        <v>230.009481481851</v>
      </c>
    </row>
    <row r="1355" customHeight="1" spans="1:7">
      <c r="A1355" s="144"/>
      <c r="B1355" s="153" t="s">
        <v>1008</v>
      </c>
      <c r="C1355" s="153"/>
      <c r="D1355" s="61" t="s">
        <v>894</v>
      </c>
      <c r="E1355" s="147">
        <f>G1351+G1356</f>
        <v>4600.18962963702</v>
      </c>
      <c r="F1355" s="152">
        <v>5</v>
      </c>
      <c r="G1355" s="150">
        <f>E1355*F1355/100</f>
        <v>230.009481481851</v>
      </c>
    </row>
    <row r="1356" customHeight="1" spans="1:7">
      <c r="A1356" s="144" t="s">
        <v>21</v>
      </c>
      <c r="B1356" s="153" t="s">
        <v>895</v>
      </c>
      <c r="C1356" s="153"/>
      <c r="D1356" s="153"/>
      <c r="E1356" s="147"/>
      <c r="F1356" s="147"/>
      <c r="G1356" s="150">
        <f>SUM(G1357:G1357)</f>
        <v>4530.94962963702</v>
      </c>
    </row>
    <row r="1357" customHeight="1" spans="1:7">
      <c r="A1357" s="144"/>
      <c r="B1357" s="148" t="s">
        <v>1431</v>
      </c>
      <c r="C1357" s="149"/>
      <c r="D1357" s="61" t="s">
        <v>896</v>
      </c>
      <c r="E1357" s="147">
        <v>45.82</v>
      </c>
      <c r="F1357" s="147">
        <f>施工机械台时费!$E$5</f>
        <v>98.885849621061</v>
      </c>
      <c r="G1357" s="150">
        <f t="shared" si="105"/>
        <v>4530.94962963702</v>
      </c>
    </row>
    <row r="1358" customHeight="1" spans="1:7">
      <c r="A1358" s="144" t="s">
        <v>905</v>
      </c>
      <c r="B1358" s="153" t="s">
        <v>514</v>
      </c>
      <c r="C1358" s="153"/>
      <c r="D1358" s="61"/>
      <c r="E1358" s="154">
        <f>G1350</f>
        <v>4830.19911111887</v>
      </c>
      <c r="F1358" s="155">
        <f>费率表!$J$4</f>
        <v>0.048</v>
      </c>
      <c r="G1358" s="150">
        <f t="shared" si="105"/>
        <v>231.849557333706</v>
      </c>
    </row>
    <row r="1359" customHeight="1" spans="1:7">
      <c r="A1359" s="144" t="s">
        <v>10</v>
      </c>
      <c r="B1359" s="153" t="s">
        <v>770</v>
      </c>
      <c r="C1359" s="153"/>
      <c r="D1359" s="61"/>
      <c r="E1359" s="147">
        <f>G1349</f>
        <v>5062.04866845257</v>
      </c>
      <c r="F1359" s="156">
        <f>费率表!$J$5</f>
        <v>0.075</v>
      </c>
      <c r="G1359" s="150">
        <f t="shared" si="105"/>
        <v>379.653650133943</v>
      </c>
    </row>
    <row r="1360" customHeight="1" spans="1:7">
      <c r="A1360" s="144" t="s">
        <v>12</v>
      </c>
      <c r="B1360" s="153" t="s">
        <v>771</v>
      </c>
      <c r="C1360" s="153"/>
      <c r="D1360" s="61"/>
      <c r="E1360" s="147">
        <f>G1349+G1359</f>
        <v>5441.70231858652</v>
      </c>
      <c r="F1360" s="156">
        <f>费率表!$J$6</f>
        <v>0.07</v>
      </c>
      <c r="G1360" s="150">
        <f t="shared" si="105"/>
        <v>380.919162301056</v>
      </c>
    </row>
    <row r="1361" customHeight="1" spans="1:7">
      <c r="A1361" s="144" t="s">
        <v>15</v>
      </c>
      <c r="B1361" s="148" t="s">
        <v>517</v>
      </c>
      <c r="C1361" s="149"/>
      <c r="D1361" s="61"/>
      <c r="E1361" s="147"/>
      <c r="F1361" s="157"/>
      <c r="G1361" s="150">
        <f>G1362</f>
        <v>2638.56285198079</v>
      </c>
    </row>
    <row r="1362" customHeight="1" spans="1:7">
      <c r="A1362" s="144"/>
      <c r="B1362" s="148" t="s">
        <v>694</v>
      </c>
      <c r="C1362" s="149"/>
      <c r="D1362" s="61" t="s">
        <v>695</v>
      </c>
      <c r="E1362" s="147">
        <f>E1357*施工机械台时费!$L$5</f>
        <v>435.29</v>
      </c>
      <c r="F1362" s="147">
        <f>主要材料预算!$N$13</f>
        <v>6.0616206482593</v>
      </c>
      <c r="G1362" s="150">
        <f t="shared" ref="G1362:G1364" si="106">E1362*F1362</f>
        <v>2638.56285198079</v>
      </c>
    </row>
    <row r="1363" customHeight="1" spans="1:7">
      <c r="A1363" s="144" t="s">
        <v>906</v>
      </c>
      <c r="B1363" s="153" t="s">
        <v>772</v>
      </c>
      <c r="C1363" s="153"/>
      <c r="D1363" s="61"/>
      <c r="E1363" s="147">
        <f>G1349+G1359+G1360+G1361</f>
        <v>8461.18433286836</v>
      </c>
      <c r="F1363" s="156">
        <f>费率表!$C$7</f>
        <v>0.09</v>
      </c>
      <c r="G1363" s="150">
        <f t="shared" si="106"/>
        <v>761.506589958152</v>
      </c>
    </row>
    <row r="1364" customHeight="1" spans="1:7">
      <c r="A1364" s="144"/>
      <c r="B1364" s="153" t="s">
        <v>907</v>
      </c>
      <c r="C1364" s="153"/>
      <c r="D1364" s="61"/>
      <c r="E1364" s="147">
        <f>G1349+G1359+G1360+G1361+G1363</f>
        <v>9222.69092282651</v>
      </c>
      <c r="F1364" s="156">
        <f>费率表!$B$19</f>
        <v>0.03</v>
      </c>
      <c r="G1364" s="150">
        <f t="shared" si="106"/>
        <v>276.680727684795</v>
      </c>
    </row>
    <row r="1365" customHeight="1" spans="1:7">
      <c r="A1365" s="158"/>
      <c r="B1365" s="161" t="s">
        <v>39</v>
      </c>
      <c r="C1365" s="161"/>
      <c r="D1365" s="161"/>
      <c r="E1365" s="162"/>
      <c r="F1365" s="161"/>
      <c r="G1365" s="163">
        <f>G1349+G1359+G1360+G1361+G1363+G1364</f>
        <v>9499.37165051131</v>
      </c>
    </row>
    <row r="1367" customHeight="1" spans="1:7">
      <c r="A1367" s="126" t="s">
        <v>868</v>
      </c>
      <c r="B1367" s="126"/>
      <c r="C1367" s="126"/>
      <c r="D1367" s="126"/>
      <c r="E1367" s="126"/>
      <c r="F1367" s="126"/>
      <c r="G1367" s="126"/>
    </row>
    <row r="1368" customHeight="1" spans="1:7">
      <c r="A1368" s="127" t="s">
        <v>869</v>
      </c>
      <c r="B1368" s="128"/>
      <c r="C1368" s="129"/>
      <c r="D1368" s="129" t="s">
        <v>870</v>
      </c>
      <c r="E1368" s="130" t="s">
        <v>1432</v>
      </c>
      <c r="F1368" s="131"/>
      <c r="G1368" s="132"/>
    </row>
    <row r="1369" customHeight="1" spans="1:7">
      <c r="A1369" s="133" t="s">
        <v>507</v>
      </c>
      <c r="B1369" s="134"/>
      <c r="C1369" s="135" t="s">
        <v>1433</v>
      </c>
      <c r="D1369" s="136"/>
      <c r="E1369" s="137"/>
      <c r="F1369" s="61" t="s">
        <v>873</v>
      </c>
      <c r="G1369" s="138" t="s">
        <v>874</v>
      </c>
    </row>
    <row r="1370" customHeight="1" spans="1:7">
      <c r="A1370" s="139" t="s">
        <v>875</v>
      </c>
      <c r="B1370" s="136"/>
      <c r="C1370" s="136"/>
      <c r="D1370" s="136"/>
      <c r="E1370" s="136"/>
      <c r="F1370" s="136"/>
      <c r="G1370" s="140"/>
    </row>
    <row r="1371" customHeight="1" spans="1:7">
      <c r="A1371" s="141" t="s">
        <v>1169</v>
      </c>
      <c r="B1371" s="142"/>
      <c r="C1371" s="142"/>
      <c r="D1371" s="142"/>
      <c r="E1371" s="142"/>
      <c r="F1371" s="142"/>
      <c r="G1371" s="143"/>
    </row>
    <row r="1372" customHeight="1" spans="1:7">
      <c r="A1372" s="144" t="s">
        <v>34</v>
      </c>
      <c r="B1372" s="61" t="s">
        <v>761</v>
      </c>
      <c r="C1372" s="61"/>
      <c r="D1372" s="61" t="s">
        <v>60</v>
      </c>
      <c r="E1372" s="147" t="s">
        <v>877</v>
      </c>
      <c r="F1372" s="61" t="s">
        <v>878</v>
      </c>
      <c r="G1372" s="138" t="s">
        <v>879</v>
      </c>
    </row>
    <row r="1373" customHeight="1" spans="1:7">
      <c r="A1373" s="144" t="s">
        <v>8</v>
      </c>
      <c r="B1373" s="153" t="s">
        <v>880</v>
      </c>
      <c r="C1373" s="153"/>
      <c r="D1373" s="61"/>
      <c r="E1373" s="147"/>
      <c r="F1373" s="147"/>
      <c r="G1373" s="150">
        <f>G1374+G1384</f>
        <v>3135.01012765892</v>
      </c>
    </row>
    <row r="1374" customHeight="1" spans="1:7">
      <c r="A1374" s="144" t="s">
        <v>881</v>
      </c>
      <c r="B1374" s="153" t="s">
        <v>882</v>
      </c>
      <c r="C1374" s="153"/>
      <c r="D1374" s="61"/>
      <c r="E1374" s="147"/>
      <c r="F1374" s="147"/>
      <c r="G1374" s="150">
        <f>G1375+G1378+G1380</f>
        <v>2991.42187753714</v>
      </c>
    </row>
    <row r="1375" customHeight="1" spans="1:7">
      <c r="A1375" s="144" t="s">
        <v>17</v>
      </c>
      <c r="B1375" s="153" t="s">
        <v>510</v>
      </c>
      <c r="C1375" s="153"/>
      <c r="D1375" s="61"/>
      <c r="E1375" s="147"/>
      <c r="F1375" s="147"/>
      <c r="G1375" s="150">
        <f>SUM(G1376:G1377)</f>
        <v>1774.275</v>
      </c>
    </row>
    <row r="1376" customHeight="1" spans="1:7">
      <c r="A1376" s="144"/>
      <c r="B1376" s="153" t="s">
        <v>704</v>
      </c>
      <c r="C1376" s="153"/>
      <c r="D1376" s="61" t="s">
        <v>705</v>
      </c>
      <c r="E1376" s="147"/>
      <c r="F1376" s="147"/>
      <c r="G1376" s="150"/>
    </row>
    <row r="1377" customHeight="1" spans="1:7">
      <c r="A1377" s="144"/>
      <c r="B1377" s="153" t="s">
        <v>706</v>
      </c>
      <c r="C1377" s="153"/>
      <c r="D1377" s="61" t="s">
        <v>705</v>
      </c>
      <c r="E1377" s="151">
        <v>307.5</v>
      </c>
      <c r="F1377" s="147">
        <f>主要材料预算!$D$20</f>
        <v>5.77</v>
      </c>
      <c r="G1377" s="150">
        <f t="shared" ref="G1377:G1382" si="107">E1377*F1377</f>
        <v>1774.275</v>
      </c>
    </row>
    <row r="1378" customHeight="1" spans="1:7">
      <c r="A1378" s="144" t="s">
        <v>19</v>
      </c>
      <c r="B1378" s="148" t="s">
        <v>511</v>
      </c>
      <c r="C1378" s="149"/>
      <c r="D1378" s="61"/>
      <c r="E1378" s="147"/>
      <c r="F1378" s="147"/>
      <c r="G1378" s="150">
        <f>G1379</f>
        <v>142.448660835102</v>
      </c>
    </row>
    <row r="1379" customHeight="1" spans="1:7">
      <c r="A1379" s="144"/>
      <c r="B1379" s="153" t="s">
        <v>1008</v>
      </c>
      <c r="C1379" s="153"/>
      <c r="D1379" s="61" t="s">
        <v>894</v>
      </c>
      <c r="E1379" s="147">
        <f>G1375+G1380</f>
        <v>2848.97321670203</v>
      </c>
      <c r="F1379" s="152">
        <v>5</v>
      </c>
      <c r="G1379" s="150">
        <f>E1379*F1379/100</f>
        <v>142.448660835102</v>
      </c>
    </row>
    <row r="1380" customHeight="1" spans="1:7">
      <c r="A1380" s="144" t="s">
        <v>21</v>
      </c>
      <c r="B1380" s="153" t="s">
        <v>895</v>
      </c>
      <c r="C1380" s="153"/>
      <c r="D1380" s="153"/>
      <c r="E1380" s="147"/>
      <c r="F1380" s="147"/>
      <c r="G1380" s="150">
        <f>SUM(G1381:G1383)</f>
        <v>1074.69821670203</v>
      </c>
    </row>
    <row r="1381" customHeight="1" spans="1:7">
      <c r="A1381" s="144"/>
      <c r="B1381" s="148" t="s">
        <v>1434</v>
      </c>
      <c r="C1381" s="149"/>
      <c r="D1381" s="61" t="s">
        <v>896</v>
      </c>
      <c r="E1381" s="147">
        <v>3.48</v>
      </c>
      <c r="F1381" s="147">
        <f>施工机械台时费!$E$6</f>
        <v>122.94140686079</v>
      </c>
      <c r="G1381" s="150">
        <f t="shared" si="107"/>
        <v>427.836095875548</v>
      </c>
    </row>
    <row r="1382" customHeight="1" spans="1:7">
      <c r="A1382" s="144"/>
      <c r="B1382" s="148" t="s">
        <v>807</v>
      </c>
      <c r="C1382" s="149"/>
      <c r="D1382" s="61" t="s">
        <v>896</v>
      </c>
      <c r="E1382" s="147">
        <v>6.66</v>
      </c>
      <c r="F1382" s="147">
        <f>施工机械台时费!$E$13</f>
        <v>89.4423446350219</v>
      </c>
      <c r="G1382" s="150">
        <f t="shared" si="107"/>
        <v>595.686015269246</v>
      </c>
    </row>
    <row r="1383" customHeight="1" spans="1:7">
      <c r="A1383" s="144"/>
      <c r="B1383" s="148" t="s">
        <v>902</v>
      </c>
      <c r="C1383" s="149"/>
      <c r="D1383" s="61" t="s">
        <v>894</v>
      </c>
      <c r="E1383" s="147">
        <f>SUM(G1381:G1382)</f>
        <v>1023.52211114479</v>
      </c>
      <c r="F1383" s="152">
        <v>5</v>
      </c>
      <c r="G1383" s="150">
        <f>E1383*F1383/100</f>
        <v>51.1761055572397</v>
      </c>
    </row>
    <row r="1384" customHeight="1" spans="1:7">
      <c r="A1384" s="144" t="s">
        <v>905</v>
      </c>
      <c r="B1384" s="153" t="s">
        <v>514</v>
      </c>
      <c r="C1384" s="153"/>
      <c r="D1384" s="61"/>
      <c r="E1384" s="154">
        <f>G1374</f>
        <v>2991.42187753714</v>
      </c>
      <c r="F1384" s="155">
        <f>费率表!$J$4</f>
        <v>0.048</v>
      </c>
      <c r="G1384" s="150">
        <f t="shared" ref="G1384:G1386" si="108">E1384*F1384</f>
        <v>143.588250121783</v>
      </c>
    </row>
    <row r="1385" customHeight="1" spans="1:7">
      <c r="A1385" s="144" t="s">
        <v>10</v>
      </c>
      <c r="B1385" s="153" t="s">
        <v>770</v>
      </c>
      <c r="C1385" s="153"/>
      <c r="D1385" s="61"/>
      <c r="E1385" s="147">
        <f>G1373</f>
        <v>3135.01012765892</v>
      </c>
      <c r="F1385" s="156">
        <f>费率表!$J$5</f>
        <v>0.075</v>
      </c>
      <c r="G1385" s="150">
        <f t="shared" si="108"/>
        <v>235.125759574419</v>
      </c>
    </row>
    <row r="1386" customHeight="1" spans="1:7">
      <c r="A1386" s="144" t="s">
        <v>12</v>
      </c>
      <c r="B1386" s="153" t="s">
        <v>771</v>
      </c>
      <c r="C1386" s="153"/>
      <c r="D1386" s="61"/>
      <c r="E1386" s="147">
        <f>G1373+G1385</f>
        <v>3370.13588723334</v>
      </c>
      <c r="F1386" s="156">
        <f>费率表!$J$6</f>
        <v>0.07</v>
      </c>
      <c r="G1386" s="150">
        <f t="shared" si="108"/>
        <v>235.909512106334</v>
      </c>
    </row>
    <row r="1387" customHeight="1" spans="1:7">
      <c r="A1387" s="144" t="s">
        <v>15</v>
      </c>
      <c r="B1387" s="148" t="s">
        <v>517</v>
      </c>
      <c r="C1387" s="149"/>
      <c r="D1387" s="61"/>
      <c r="E1387" s="147"/>
      <c r="F1387" s="157"/>
      <c r="G1387" s="150">
        <f>G1388</f>
        <v>742.233325138055</v>
      </c>
    </row>
    <row r="1388" customHeight="1" spans="1:7">
      <c r="A1388" s="144"/>
      <c r="B1388" s="148" t="s">
        <v>694</v>
      </c>
      <c r="C1388" s="149"/>
      <c r="D1388" s="61" t="s">
        <v>695</v>
      </c>
      <c r="E1388" s="147">
        <f>E1381*施工机械台时费!$L$6+施工机械台时费!$L$13*设备维修养护!E1382</f>
        <v>122.448</v>
      </c>
      <c r="F1388" s="147">
        <f>主要材料预算!$N$13</f>
        <v>6.0616206482593</v>
      </c>
      <c r="G1388" s="150">
        <f t="shared" ref="G1388:G1390" si="109">E1388*F1388</f>
        <v>742.233325138055</v>
      </c>
    </row>
    <row r="1389" customHeight="1" spans="1:7">
      <c r="A1389" s="144" t="s">
        <v>906</v>
      </c>
      <c r="B1389" s="153" t="s">
        <v>772</v>
      </c>
      <c r="C1389" s="153"/>
      <c r="D1389" s="61"/>
      <c r="E1389" s="147">
        <f>G1373+G1385+G1386+G1387</f>
        <v>4348.27872447773</v>
      </c>
      <c r="F1389" s="156">
        <f>费率表!$C$7</f>
        <v>0.09</v>
      </c>
      <c r="G1389" s="150">
        <f t="shared" si="109"/>
        <v>391.345085202996</v>
      </c>
    </row>
    <row r="1390" customHeight="1" spans="1:7">
      <c r="A1390" s="144"/>
      <c r="B1390" s="153" t="s">
        <v>907</v>
      </c>
      <c r="C1390" s="153"/>
      <c r="D1390" s="61"/>
      <c r="E1390" s="147">
        <f>G1373+G1385+G1386+G1387+G1389</f>
        <v>4739.62380968072</v>
      </c>
      <c r="F1390" s="156">
        <f>费率表!$B$19</f>
        <v>0.03</v>
      </c>
      <c r="G1390" s="150">
        <f t="shared" si="109"/>
        <v>142.188714290422</v>
      </c>
    </row>
    <row r="1391" customHeight="1" spans="1:7">
      <c r="A1391" s="158"/>
      <c r="B1391" s="161" t="s">
        <v>39</v>
      </c>
      <c r="C1391" s="161"/>
      <c r="D1391" s="161"/>
      <c r="E1391" s="162"/>
      <c r="F1391" s="161"/>
      <c r="G1391" s="163">
        <f>G1373+G1385+G1386+G1387+G1389+G1390</f>
        <v>4881.81252397115</v>
      </c>
    </row>
    <row r="1393" customHeight="1" spans="1:7">
      <c r="A1393" s="126" t="s">
        <v>868</v>
      </c>
      <c r="B1393" s="126"/>
      <c r="C1393" s="126"/>
      <c r="D1393" s="126"/>
      <c r="E1393" s="126"/>
      <c r="F1393" s="126"/>
      <c r="G1393" s="126"/>
    </row>
    <row r="1394" customHeight="1" spans="1:7">
      <c r="A1394" s="127" t="s">
        <v>869</v>
      </c>
      <c r="B1394" s="128"/>
      <c r="C1394" s="129"/>
      <c r="D1394" s="129" t="s">
        <v>870</v>
      </c>
      <c r="E1394" s="130" t="s">
        <v>1435</v>
      </c>
      <c r="F1394" s="131"/>
      <c r="G1394" s="132"/>
    </row>
    <row r="1395" customHeight="1" spans="1:7">
      <c r="A1395" s="133" t="s">
        <v>507</v>
      </c>
      <c r="B1395" s="134"/>
      <c r="C1395" s="135" t="s">
        <v>1436</v>
      </c>
      <c r="D1395" s="136"/>
      <c r="E1395" s="137"/>
      <c r="F1395" s="61" t="s">
        <v>873</v>
      </c>
      <c r="G1395" s="138" t="s">
        <v>874</v>
      </c>
    </row>
    <row r="1396" customHeight="1" spans="1:7">
      <c r="A1396" s="139" t="s">
        <v>875</v>
      </c>
      <c r="B1396" s="136"/>
      <c r="C1396" s="136"/>
      <c r="D1396" s="136"/>
      <c r="E1396" s="136"/>
      <c r="F1396" s="136"/>
      <c r="G1396" s="140"/>
    </row>
    <row r="1397" customHeight="1" spans="1:7">
      <c r="A1397" s="141" t="s">
        <v>1437</v>
      </c>
      <c r="B1397" s="142"/>
      <c r="C1397" s="142"/>
      <c r="D1397" s="142"/>
      <c r="E1397" s="142"/>
      <c r="F1397" s="142"/>
      <c r="G1397" s="143"/>
    </row>
    <row r="1398" customHeight="1" spans="1:7">
      <c r="A1398" s="144" t="s">
        <v>34</v>
      </c>
      <c r="B1398" s="61" t="s">
        <v>761</v>
      </c>
      <c r="C1398" s="61"/>
      <c r="D1398" s="61" t="s">
        <v>60</v>
      </c>
      <c r="E1398" s="147" t="s">
        <v>877</v>
      </c>
      <c r="F1398" s="61" t="s">
        <v>878</v>
      </c>
      <c r="G1398" s="138" t="s">
        <v>879</v>
      </c>
    </row>
    <row r="1399" customHeight="1" spans="1:7">
      <c r="A1399" s="144" t="s">
        <v>8</v>
      </c>
      <c r="B1399" s="153" t="s">
        <v>880</v>
      </c>
      <c r="C1399" s="153"/>
      <c r="D1399" s="61"/>
      <c r="E1399" s="147"/>
      <c r="F1399" s="147"/>
      <c r="G1399" s="150">
        <f>G1400+G1416</f>
        <v>36805.2152511492</v>
      </c>
    </row>
    <row r="1400" customHeight="1" spans="1:7">
      <c r="A1400" s="144" t="s">
        <v>881</v>
      </c>
      <c r="B1400" s="153" t="s">
        <v>882</v>
      </c>
      <c r="C1400" s="153"/>
      <c r="D1400" s="61"/>
      <c r="E1400" s="147"/>
      <c r="F1400" s="147"/>
      <c r="G1400" s="150">
        <f>G1401+G1404+G1410</f>
        <v>35119.4802014783</v>
      </c>
    </row>
    <row r="1401" customHeight="1" spans="1:7">
      <c r="A1401" s="144" t="s">
        <v>17</v>
      </c>
      <c r="B1401" s="153" t="s">
        <v>510</v>
      </c>
      <c r="C1401" s="153"/>
      <c r="D1401" s="61"/>
      <c r="E1401" s="147"/>
      <c r="F1401" s="147"/>
      <c r="G1401" s="150">
        <f>SUM(G1402:G1403)</f>
        <v>12161.72</v>
      </c>
    </row>
    <row r="1402" customHeight="1" spans="1:7">
      <c r="A1402" s="144"/>
      <c r="B1402" s="153" t="s">
        <v>704</v>
      </c>
      <c r="C1402" s="153"/>
      <c r="D1402" s="61" t="s">
        <v>705</v>
      </c>
      <c r="E1402" s="147">
        <v>564</v>
      </c>
      <c r="F1402" s="147">
        <f>主要材料预算!$D$19</f>
        <v>8.1</v>
      </c>
      <c r="G1402" s="150">
        <f t="shared" ref="G1402:G1408" si="110">E1402*F1402</f>
        <v>4568.4</v>
      </c>
    </row>
    <row r="1403" customHeight="1" spans="1:7">
      <c r="A1403" s="144"/>
      <c r="B1403" s="153" t="s">
        <v>706</v>
      </c>
      <c r="C1403" s="153"/>
      <c r="D1403" s="61" t="s">
        <v>705</v>
      </c>
      <c r="E1403" s="151">
        <v>1316</v>
      </c>
      <c r="F1403" s="147">
        <f>主要材料预算!$D$20</f>
        <v>5.77</v>
      </c>
      <c r="G1403" s="150">
        <f t="shared" si="110"/>
        <v>7593.32</v>
      </c>
    </row>
    <row r="1404" customHeight="1" spans="1:7">
      <c r="A1404" s="144" t="s">
        <v>19</v>
      </c>
      <c r="B1404" s="148" t="s">
        <v>511</v>
      </c>
      <c r="C1404" s="149"/>
      <c r="D1404" s="61"/>
      <c r="E1404" s="147"/>
      <c r="F1404" s="147"/>
      <c r="G1404" s="150">
        <f>SUM(G1405:G1409)</f>
        <v>20391.7604574404</v>
      </c>
    </row>
    <row r="1405" customHeight="1" spans="1:7">
      <c r="A1405" s="144"/>
      <c r="B1405" s="148" t="s">
        <v>921</v>
      </c>
      <c r="C1405" s="149"/>
      <c r="D1405" s="61" t="s">
        <v>70</v>
      </c>
      <c r="E1405" s="147">
        <v>108</v>
      </c>
      <c r="F1405" s="147">
        <f>混凝土单价计算表!$M$7</f>
        <v>176.454345</v>
      </c>
      <c r="G1405" s="150">
        <f t="shared" si="110"/>
        <v>19057.06926</v>
      </c>
    </row>
    <row r="1406" customHeight="1" spans="1:7">
      <c r="A1406" s="144"/>
      <c r="B1406" s="148" t="s">
        <v>885</v>
      </c>
      <c r="C1406" s="149"/>
      <c r="D1406" s="61" t="s">
        <v>695</v>
      </c>
      <c r="E1406" s="147">
        <v>102.1</v>
      </c>
      <c r="F1406" s="147">
        <f>基础材料!$D$9</f>
        <v>4.44</v>
      </c>
      <c r="G1406" s="150">
        <f t="shared" si="110"/>
        <v>453.324</v>
      </c>
    </row>
    <row r="1407" customHeight="1" spans="1:7">
      <c r="A1407" s="144"/>
      <c r="B1407" s="180" t="s">
        <v>1438</v>
      </c>
      <c r="C1407" s="181"/>
      <c r="D1407" s="61" t="s">
        <v>695</v>
      </c>
      <c r="E1407" s="147">
        <v>43.1</v>
      </c>
      <c r="F1407" s="147">
        <f>基础材料!$D$11</f>
        <v>4.9</v>
      </c>
      <c r="G1407" s="150">
        <f t="shared" si="110"/>
        <v>211.19</v>
      </c>
    </row>
    <row r="1408" customHeight="1" spans="1:7">
      <c r="A1408" s="144"/>
      <c r="B1408" s="148" t="s">
        <v>730</v>
      </c>
      <c r="C1408" s="149"/>
      <c r="D1408" s="61" t="s">
        <v>70</v>
      </c>
      <c r="E1408" s="147">
        <v>126</v>
      </c>
      <c r="F1408" s="147">
        <f>主要材料预算!$D$16</f>
        <v>4.15</v>
      </c>
      <c r="G1408" s="150">
        <f t="shared" si="110"/>
        <v>522.9</v>
      </c>
    </row>
    <row r="1409" customHeight="1" spans="1:7">
      <c r="A1409" s="144"/>
      <c r="B1409" s="153" t="s">
        <v>893</v>
      </c>
      <c r="C1409" s="153"/>
      <c r="D1409" s="61" t="s">
        <v>894</v>
      </c>
      <c r="E1409" s="147">
        <f>G1401+G1410</f>
        <v>14727.7197440379</v>
      </c>
      <c r="F1409" s="152">
        <v>1</v>
      </c>
      <c r="G1409" s="150">
        <f>E1409*F1409/100</f>
        <v>147.277197440379</v>
      </c>
    </row>
    <row r="1410" customHeight="1" spans="1:7">
      <c r="A1410" s="144" t="s">
        <v>21</v>
      </c>
      <c r="B1410" s="153" t="s">
        <v>895</v>
      </c>
      <c r="C1410" s="153"/>
      <c r="D1410" s="153"/>
      <c r="E1410" s="147"/>
      <c r="F1410" s="147"/>
      <c r="G1410" s="150">
        <f>SUM(G1411:G1415)</f>
        <v>2565.9997440379</v>
      </c>
    </row>
    <row r="1411" customHeight="1" spans="1:7">
      <c r="A1411" s="144"/>
      <c r="B1411" s="148" t="s">
        <v>1423</v>
      </c>
      <c r="C1411" s="149"/>
      <c r="D1411" s="61" t="s">
        <v>896</v>
      </c>
      <c r="E1411" s="147">
        <v>14.53</v>
      </c>
      <c r="F1411" s="147">
        <f>施工机械台时费!$E$21</f>
        <v>37.4199521340247</v>
      </c>
      <c r="G1411" s="150">
        <f t="shared" ref="G1411:G1414" si="111">E1411*F1411</f>
        <v>543.711904507379</v>
      </c>
    </row>
    <row r="1412" customHeight="1" spans="1:7">
      <c r="A1412" s="144"/>
      <c r="B1412" s="148" t="s">
        <v>1439</v>
      </c>
      <c r="C1412" s="149"/>
      <c r="D1412" s="61" t="s">
        <v>896</v>
      </c>
      <c r="E1412" s="147">
        <v>64.24</v>
      </c>
      <c r="F1412" s="147">
        <f>施工机械台时费!$E$24</f>
        <v>5.08152772237734</v>
      </c>
      <c r="G1412" s="150">
        <f t="shared" si="111"/>
        <v>326.43734088552</v>
      </c>
    </row>
    <row r="1413" customHeight="1" spans="1:7">
      <c r="A1413" s="144"/>
      <c r="B1413" s="148" t="s">
        <v>1440</v>
      </c>
      <c r="C1413" s="149"/>
      <c r="D1413" s="61" t="s">
        <v>896</v>
      </c>
      <c r="E1413" s="147">
        <v>94.73</v>
      </c>
      <c r="F1413" s="147">
        <f>施工机械台时费!$E$35</f>
        <v>17.1951356202633</v>
      </c>
      <c r="G1413" s="150">
        <f t="shared" si="111"/>
        <v>1628.89519730754</v>
      </c>
    </row>
    <row r="1414" customHeight="1" spans="1:7">
      <c r="A1414" s="144"/>
      <c r="B1414" s="148" t="s">
        <v>901</v>
      </c>
      <c r="C1414" s="149"/>
      <c r="D1414" s="61" t="s">
        <v>896</v>
      </c>
      <c r="E1414" s="147">
        <v>57.6</v>
      </c>
      <c r="F1414" s="147">
        <f>施工机械台时费!$E$36</f>
        <v>0.813242919824491</v>
      </c>
      <c r="G1414" s="150">
        <f t="shared" si="111"/>
        <v>46.8427921818907</v>
      </c>
    </row>
    <row r="1415" customHeight="1" spans="1:7">
      <c r="A1415" s="144"/>
      <c r="B1415" s="148" t="s">
        <v>902</v>
      </c>
      <c r="C1415" s="149"/>
      <c r="D1415" s="61" t="s">
        <v>894</v>
      </c>
      <c r="E1415" s="147">
        <f>SUM(G1411:G1414)</f>
        <v>2545.88723488233</v>
      </c>
      <c r="F1415" s="147">
        <v>0.79</v>
      </c>
      <c r="G1415" s="150">
        <f>E1415*F1415/100</f>
        <v>20.1125091555704</v>
      </c>
    </row>
    <row r="1416" customHeight="1" spans="1:7">
      <c r="A1416" s="144" t="s">
        <v>905</v>
      </c>
      <c r="B1416" s="153" t="s">
        <v>514</v>
      </c>
      <c r="C1416" s="153"/>
      <c r="D1416" s="61"/>
      <c r="E1416" s="154">
        <f>G1400</f>
        <v>35119.4802014783</v>
      </c>
      <c r="F1416" s="155">
        <f>费率表!$F$4</f>
        <v>0.048</v>
      </c>
      <c r="G1416" s="150">
        <f t="shared" ref="G1416:G1418" si="112">E1416*F1416</f>
        <v>1685.73504967096</v>
      </c>
    </row>
    <row r="1417" customHeight="1" spans="1:7">
      <c r="A1417" s="144" t="s">
        <v>10</v>
      </c>
      <c r="B1417" s="153" t="s">
        <v>770</v>
      </c>
      <c r="C1417" s="153"/>
      <c r="D1417" s="61"/>
      <c r="E1417" s="147">
        <f>G1399</f>
        <v>36805.2152511492</v>
      </c>
      <c r="F1417" s="156">
        <f>费率表!$F$5</f>
        <v>0.085</v>
      </c>
      <c r="G1417" s="150">
        <f t="shared" si="112"/>
        <v>3128.44329634769</v>
      </c>
    </row>
    <row r="1418" customHeight="1" spans="1:7">
      <c r="A1418" s="144" t="s">
        <v>12</v>
      </c>
      <c r="B1418" s="153" t="s">
        <v>771</v>
      </c>
      <c r="C1418" s="153"/>
      <c r="D1418" s="61"/>
      <c r="E1418" s="147">
        <f>G1399+G1417</f>
        <v>39933.6585474969</v>
      </c>
      <c r="F1418" s="156">
        <f>费率表!$F$6</f>
        <v>0.07</v>
      </c>
      <c r="G1418" s="150">
        <f t="shared" si="112"/>
        <v>2795.35609832478</v>
      </c>
    </row>
    <row r="1419" customHeight="1" spans="1:7">
      <c r="A1419" s="144" t="s">
        <v>15</v>
      </c>
      <c r="B1419" s="148" t="s">
        <v>517</v>
      </c>
      <c r="C1419" s="149"/>
      <c r="D1419" s="61"/>
      <c r="E1419" s="147"/>
      <c r="F1419" s="157"/>
      <c r="G1419" s="150">
        <f>SUM(G1420:G1422)</f>
        <v>7681.00913553144</v>
      </c>
    </row>
    <row r="1420" customHeight="1" spans="1:7">
      <c r="A1420" s="144"/>
      <c r="B1420" s="148" t="s">
        <v>729</v>
      </c>
      <c r="C1420" s="149"/>
      <c r="D1420" s="61" t="s">
        <v>70</v>
      </c>
      <c r="E1420" s="147">
        <f>E1405*混凝土单价计算表!$E$7</f>
        <v>33.177276</v>
      </c>
      <c r="F1420" s="147">
        <f>主要材料预算!$N$5</f>
        <v>139.17214</v>
      </c>
      <c r="G1420" s="150">
        <f t="shared" ref="G1420:G1424" si="113">E1420*F1420</f>
        <v>4617.35250029064</v>
      </c>
    </row>
    <row r="1421" customHeight="1" spans="1:7">
      <c r="A1421" s="144"/>
      <c r="B1421" s="148" t="s">
        <v>684</v>
      </c>
      <c r="C1421" s="149"/>
      <c r="D1421" s="61" t="s">
        <v>70</v>
      </c>
      <c r="E1421" s="147">
        <f>E1405*混凝土单价计算表!$G$7</f>
        <v>59.37624</v>
      </c>
      <c r="F1421" s="147">
        <f>主要材料预算!$N$7</f>
        <v>37.09111</v>
      </c>
      <c r="G1421" s="150">
        <f t="shared" si="113"/>
        <v>2202.3306492264</v>
      </c>
    </row>
    <row r="1422" customHeight="1" spans="1:7">
      <c r="A1422" s="144"/>
      <c r="B1422" s="148" t="s">
        <v>694</v>
      </c>
      <c r="C1422" s="149"/>
      <c r="D1422" s="61" t="s">
        <v>695</v>
      </c>
      <c r="E1422" s="147">
        <f>E1413*施工机械台时费!$L$35</f>
        <v>142.095</v>
      </c>
      <c r="F1422" s="147">
        <f>主要材料预算!$N$13</f>
        <v>6.0616206482593</v>
      </c>
      <c r="G1422" s="150">
        <f t="shared" si="113"/>
        <v>861.325986014405</v>
      </c>
    </row>
    <row r="1423" customHeight="1" spans="1:7">
      <c r="A1423" s="144" t="s">
        <v>906</v>
      </c>
      <c r="B1423" s="153" t="s">
        <v>772</v>
      </c>
      <c r="C1423" s="153"/>
      <c r="D1423" s="61"/>
      <c r="E1423" s="147">
        <f>G1399+G1417+G1418+G1419</f>
        <v>50410.0237813531</v>
      </c>
      <c r="F1423" s="156">
        <f>费率表!$F$7</f>
        <v>0.09</v>
      </c>
      <c r="G1423" s="150">
        <f t="shared" si="113"/>
        <v>4536.90214032178</v>
      </c>
    </row>
    <row r="1424" customHeight="1" spans="1:7">
      <c r="A1424" s="144"/>
      <c r="B1424" s="153" t="s">
        <v>907</v>
      </c>
      <c r="C1424" s="153"/>
      <c r="D1424" s="61"/>
      <c r="E1424" s="147">
        <f>G1399+G1417+G1418+G1419+G1423</f>
        <v>54946.9259216749</v>
      </c>
      <c r="F1424" s="156">
        <f>费率表!$B$19</f>
        <v>0.03</v>
      </c>
      <c r="G1424" s="150">
        <f t="shared" si="113"/>
        <v>1648.40777765025</v>
      </c>
    </row>
    <row r="1425" customHeight="1" spans="1:7">
      <c r="A1425" s="158"/>
      <c r="B1425" s="161" t="s">
        <v>39</v>
      </c>
      <c r="C1425" s="161"/>
      <c r="D1425" s="161"/>
      <c r="E1425" s="162"/>
      <c r="F1425" s="161"/>
      <c r="G1425" s="163">
        <f>G1399+G1417+G1418+G1419+G1423+G1424</f>
        <v>56595.3336993251</v>
      </c>
    </row>
    <row r="1427" customHeight="1" spans="1:7">
      <c r="A1427" s="126" t="s">
        <v>868</v>
      </c>
      <c r="B1427" s="126"/>
      <c r="C1427" s="126"/>
      <c r="D1427" s="126"/>
      <c r="E1427" s="126"/>
      <c r="F1427" s="126"/>
      <c r="G1427" s="126"/>
    </row>
    <row r="1428" customHeight="1" spans="1:7">
      <c r="A1428" s="127" t="s">
        <v>869</v>
      </c>
      <c r="B1428" s="128"/>
      <c r="C1428" s="129"/>
      <c r="D1428" s="129" t="s">
        <v>870</v>
      </c>
      <c r="E1428" s="130" t="s">
        <v>1441</v>
      </c>
      <c r="F1428" s="131"/>
      <c r="G1428" s="132"/>
    </row>
    <row r="1429" customHeight="1" spans="1:7">
      <c r="A1429" s="133" t="s">
        <v>507</v>
      </c>
      <c r="B1429" s="134"/>
      <c r="C1429" s="135" t="s">
        <v>1436</v>
      </c>
      <c r="D1429" s="136"/>
      <c r="E1429" s="137"/>
      <c r="F1429" s="61" t="s">
        <v>873</v>
      </c>
      <c r="G1429" s="138" t="s">
        <v>874</v>
      </c>
    </row>
    <row r="1430" customHeight="1" spans="1:7">
      <c r="A1430" s="139" t="s">
        <v>875</v>
      </c>
      <c r="B1430" s="136"/>
      <c r="C1430" s="136"/>
      <c r="D1430" s="136"/>
      <c r="E1430" s="136"/>
      <c r="F1430" s="136"/>
      <c r="G1430" s="140"/>
    </row>
    <row r="1431" customHeight="1" spans="1:7">
      <c r="A1431" s="141" t="s">
        <v>1437</v>
      </c>
      <c r="B1431" s="142"/>
      <c r="C1431" s="142"/>
      <c r="D1431" s="142"/>
      <c r="E1431" s="142"/>
      <c r="F1431" s="142"/>
      <c r="G1431" s="143"/>
    </row>
    <row r="1432" customHeight="1" spans="1:7">
      <c r="A1432" s="144" t="s">
        <v>34</v>
      </c>
      <c r="B1432" s="61" t="s">
        <v>761</v>
      </c>
      <c r="C1432" s="61"/>
      <c r="D1432" s="61" t="s">
        <v>60</v>
      </c>
      <c r="E1432" s="147" t="s">
        <v>877</v>
      </c>
      <c r="F1432" s="61" t="s">
        <v>878</v>
      </c>
      <c r="G1432" s="138" t="s">
        <v>879</v>
      </c>
    </row>
    <row r="1433" customHeight="1" spans="1:7">
      <c r="A1433" s="144" t="s">
        <v>8</v>
      </c>
      <c r="B1433" s="153" t="s">
        <v>880</v>
      </c>
      <c r="C1433" s="153"/>
      <c r="D1433" s="61"/>
      <c r="E1433" s="147"/>
      <c r="F1433" s="147"/>
      <c r="G1433" s="150">
        <f>G1434+G1450</f>
        <v>37576.0214938692</v>
      </c>
    </row>
    <row r="1434" customHeight="1" spans="1:7">
      <c r="A1434" s="144" t="s">
        <v>881</v>
      </c>
      <c r="B1434" s="153" t="s">
        <v>882</v>
      </c>
      <c r="C1434" s="153"/>
      <c r="D1434" s="61"/>
      <c r="E1434" s="147"/>
      <c r="F1434" s="147"/>
      <c r="G1434" s="150">
        <f>G1435+G1438+G1444</f>
        <v>35854.9823414783</v>
      </c>
    </row>
    <row r="1435" customHeight="1" spans="1:7">
      <c r="A1435" s="144" t="s">
        <v>17</v>
      </c>
      <c r="B1435" s="153" t="s">
        <v>510</v>
      </c>
      <c r="C1435" s="153"/>
      <c r="D1435" s="61"/>
      <c r="E1435" s="147"/>
      <c r="F1435" s="147"/>
      <c r="G1435" s="150">
        <f>SUM(G1436:G1437)</f>
        <v>12161.72</v>
      </c>
    </row>
    <row r="1436" customHeight="1" spans="1:7">
      <c r="A1436" s="144"/>
      <c r="B1436" s="153" t="s">
        <v>704</v>
      </c>
      <c r="C1436" s="153"/>
      <c r="D1436" s="61" t="s">
        <v>705</v>
      </c>
      <c r="E1436" s="147">
        <v>564</v>
      </c>
      <c r="F1436" s="147">
        <f>主要材料预算!$D$19</f>
        <v>8.1</v>
      </c>
      <c r="G1436" s="150">
        <f t="shared" ref="G1436:G1442" si="114">E1436*F1436</f>
        <v>4568.4</v>
      </c>
    </row>
    <row r="1437" customHeight="1" spans="1:7">
      <c r="A1437" s="144"/>
      <c r="B1437" s="153" t="s">
        <v>706</v>
      </c>
      <c r="C1437" s="153"/>
      <c r="D1437" s="61" t="s">
        <v>705</v>
      </c>
      <c r="E1437" s="151">
        <v>1316</v>
      </c>
      <c r="F1437" s="147">
        <f>主要材料预算!$D$20</f>
        <v>5.77</v>
      </c>
      <c r="G1437" s="150">
        <f t="shared" si="114"/>
        <v>7593.32</v>
      </c>
    </row>
    <row r="1438" customHeight="1" spans="1:7">
      <c r="A1438" s="144" t="s">
        <v>19</v>
      </c>
      <c r="B1438" s="148" t="s">
        <v>511</v>
      </c>
      <c r="C1438" s="149"/>
      <c r="D1438" s="61"/>
      <c r="E1438" s="147"/>
      <c r="F1438" s="147"/>
      <c r="G1438" s="150">
        <f>SUM(G1439:G1443)</f>
        <v>21127.2625974404</v>
      </c>
    </row>
    <row r="1439" customHeight="1" spans="1:7">
      <c r="A1439" s="144"/>
      <c r="B1439" s="148" t="s">
        <v>932</v>
      </c>
      <c r="C1439" s="149"/>
      <c r="D1439" s="61" t="s">
        <v>70</v>
      </c>
      <c r="E1439" s="147">
        <v>108</v>
      </c>
      <c r="F1439" s="147">
        <f>混凝土单价计算表!$M$10</f>
        <v>183.26455</v>
      </c>
      <c r="G1439" s="150">
        <f t="shared" si="114"/>
        <v>19792.5714</v>
      </c>
    </row>
    <row r="1440" customHeight="1" spans="1:7">
      <c r="A1440" s="144"/>
      <c r="B1440" s="148" t="s">
        <v>885</v>
      </c>
      <c r="C1440" s="149"/>
      <c r="D1440" s="61" t="s">
        <v>695</v>
      </c>
      <c r="E1440" s="147">
        <v>102.1</v>
      </c>
      <c r="F1440" s="147">
        <f>基础材料!$D$9</f>
        <v>4.44</v>
      </c>
      <c r="G1440" s="150">
        <f t="shared" si="114"/>
        <v>453.324</v>
      </c>
    </row>
    <row r="1441" customHeight="1" spans="1:7">
      <c r="A1441" s="144"/>
      <c r="B1441" s="180" t="s">
        <v>1438</v>
      </c>
      <c r="C1441" s="181"/>
      <c r="D1441" s="61" t="s">
        <v>695</v>
      </c>
      <c r="E1441" s="147">
        <v>43.1</v>
      </c>
      <c r="F1441" s="147">
        <f>基础材料!$D$11</f>
        <v>4.9</v>
      </c>
      <c r="G1441" s="150">
        <f t="shared" si="114"/>
        <v>211.19</v>
      </c>
    </row>
    <row r="1442" customHeight="1" spans="1:7">
      <c r="A1442" s="144"/>
      <c r="B1442" s="148" t="s">
        <v>730</v>
      </c>
      <c r="C1442" s="149"/>
      <c r="D1442" s="61" t="s">
        <v>70</v>
      </c>
      <c r="E1442" s="147">
        <v>126</v>
      </c>
      <c r="F1442" s="147">
        <f>主要材料预算!$D$16</f>
        <v>4.15</v>
      </c>
      <c r="G1442" s="150">
        <f t="shared" si="114"/>
        <v>522.9</v>
      </c>
    </row>
    <row r="1443" customHeight="1" spans="1:7">
      <c r="A1443" s="144"/>
      <c r="B1443" s="153" t="s">
        <v>893</v>
      </c>
      <c r="C1443" s="153"/>
      <c r="D1443" s="61" t="s">
        <v>894</v>
      </c>
      <c r="E1443" s="147">
        <f>G1435+G1444</f>
        <v>14727.7197440379</v>
      </c>
      <c r="F1443" s="152">
        <v>1</v>
      </c>
      <c r="G1443" s="150">
        <f>E1443*F1443/100</f>
        <v>147.277197440379</v>
      </c>
    </row>
    <row r="1444" customHeight="1" spans="1:7">
      <c r="A1444" s="144" t="s">
        <v>21</v>
      </c>
      <c r="B1444" s="153" t="s">
        <v>895</v>
      </c>
      <c r="C1444" s="153"/>
      <c r="D1444" s="153"/>
      <c r="E1444" s="147"/>
      <c r="F1444" s="147"/>
      <c r="G1444" s="150">
        <f>SUM(G1445:G1449)</f>
        <v>2565.9997440379</v>
      </c>
    </row>
    <row r="1445" customHeight="1" spans="1:7">
      <c r="A1445" s="144"/>
      <c r="B1445" s="148" t="s">
        <v>1423</v>
      </c>
      <c r="C1445" s="149"/>
      <c r="D1445" s="61" t="s">
        <v>896</v>
      </c>
      <c r="E1445" s="147">
        <v>14.53</v>
      </c>
      <c r="F1445" s="147">
        <f>施工机械台时费!$E$21</f>
        <v>37.4199521340247</v>
      </c>
      <c r="G1445" s="150">
        <f t="shared" ref="G1445:G1448" si="115">E1445*F1445</f>
        <v>543.711904507379</v>
      </c>
    </row>
    <row r="1446" customHeight="1" spans="1:7">
      <c r="A1446" s="144"/>
      <c r="B1446" s="148" t="s">
        <v>1439</v>
      </c>
      <c r="C1446" s="149"/>
      <c r="D1446" s="61" t="s">
        <v>896</v>
      </c>
      <c r="E1446" s="147">
        <v>64.24</v>
      </c>
      <c r="F1446" s="147">
        <f>施工机械台时费!$E$24</f>
        <v>5.08152772237734</v>
      </c>
      <c r="G1446" s="150">
        <f t="shared" si="115"/>
        <v>326.43734088552</v>
      </c>
    </row>
    <row r="1447" customHeight="1" spans="1:7">
      <c r="A1447" s="144"/>
      <c r="B1447" s="148" t="s">
        <v>1440</v>
      </c>
      <c r="C1447" s="149"/>
      <c r="D1447" s="61" t="s">
        <v>896</v>
      </c>
      <c r="E1447" s="147">
        <v>94.73</v>
      </c>
      <c r="F1447" s="147">
        <f>施工机械台时费!$E$35</f>
        <v>17.1951356202633</v>
      </c>
      <c r="G1447" s="150">
        <f t="shared" si="115"/>
        <v>1628.89519730754</v>
      </c>
    </row>
    <row r="1448" customHeight="1" spans="1:7">
      <c r="A1448" s="144"/>
      <c r="B1448" s="148" t="s">
        <v>901</v>
      </c>
      <c r="C1448" s="149"/>
      <c r="D1448" s="61" t="s">
        <v>896</v>
      </c>
      <c r="E1448" s="147">
        <v>57.6</v>
      </c>
      <c r="F1448" s="147">
        <f>施工机械台时费!$E$36</f>
        <v>0.813242919824491</v>
      </c>
      <c r="G1448" s="150">
        <f t="shared" si="115"/>
        <v>46.8427921818907</v>
      </c>
    </row>
    <row r="1449" customHeight="1" spans="1:7">
      <c r="A1449" s="144"/>
      <c r="B1449" s="148" t="s">
        <v>902</v>
      </c>
      <c r="C1449" s="149"/>
      <c r="D1449" s="61" t="s">
        <v>894</v>
      </c>
      <c r="E1449" s="147">
        <f>SUM(G1445:G1448)</f>
        <v>2545.88723488233</v>
      </c>
      <c r="F1449" s="147">
        <v>0.79</v>
      </c>
      <c r="G1449" s="150">
        <f>E1449*F1449/100</f>
        <v>20.1125091555704</v>
      </c>
    </row>
    <row r="1450" customHeight="1" spans="1:7">
      <c r="A1450" s="144" t="s">
        <v>905</v>
      </c>
      <c r="B1450" s="153" t="s">
        <v>514</v>
      </c>
      <c r="C1450" s="153"/>
      <c r="D1450" s="61"/>
      <c r="E1450" s="154">
        <f>G1434</f>
        <v>35854.9823414783</v>
      </c>
      <c r="F1450" s="155">
        <f>费率表!$F$4</f>
        <v>0.048</v>
      </c>
      <c r="G1450" s="150">
        <f t="shared" ref="G1450:G1452" si="116">E1450*F1450</f>
        <v>1721.03915239096</v>
      </c>
    </row>
    <row r="1451" customHeight="1" spans="1:7">
      <c r="A1451" s="144" t="s">
        <v>10</v>
      </c>
      <c r="B1451" s="153" t="s">
        <v>770</v>
      </c>
      <c r="C1451" s="153"/>
      <c r="D1451" s="61"/>
      <c r="E1451" s="147">
        <f>G1433</f>
        <v>37576.0214938692</v>
      </c>
      <c r="F1451" s="156">
        <f>费率表!$F$5</f>
        <v>0.085</v>
      </c>
      <c r="G1451" s="150">
        <f t="shared" si="116"/>
        <v>3193.96182697889</v>
      </c>
    </row>
    <row r="1452" customHeight="1" spans="1:7">
      <c r="A1452" s="144" t="s">
        <v>12</v>
      </c>
      <c r="B1452" s="153" t="s">
        <v>771</v>
      </c>
      <c r="C1452" s="153"/>
      <c r="D1452" s="61"/>
      <c r="E1452" s="147">
        <f>G1433+G1451</f>
        <v>40769.9833208481</v>
      </c>
      <c r="F1452" s="156">
        <f>费率表!$F$6</f>
        <v>0.07</v>
      </c>
      <c r="G1452" s="150">
        <f t="shared" si="116"/>
        <v>2853.89883245937</v>
      </c>
    </row>
    <row r="1453" customHeight="1" spans="1:7">
      <c r="A1453" s="144" t="s">
        <v>15</v>
      </c>
      <c r="B1453" s="148" t="s">
        <v>517</v>
      </c>
      <c r="C1453" s="149"/>
      <c r="D1453" s="61"/>
      <c r="E1453" s="147"/>
      <c r="F1453" s="157"/>
      <c r="G1453" s="150">
        <f>SUM(G1454:G1456)</f>
        <v>8086.81042345441</v>
      </c>
    </row>
    <row r="1454" customHeight="1" spans="1:7">
      <c r="A1454" s="144"/>
      <c r="B1454" s="148" t="s">
        <v>729</v>
      </c>
      <c r="C1454" s="149"/>
      <c r="D1454" s="61" t="s">
        <v>70</v>
      </c>
      <c r="E1454" s="147">
        <f>E1439*混凝土单价计算表!$E$10</f>
        <v>36.72</v>
      </c>
      <c r="F1454" s="147">
        <f>主要材料预算!$N$5</f>
        <v>139.17214</v>
      </c>
      <c r="G1454" s="150">
        <f t="shared" ref="G1454:G1458" si="117">E1454*F1454</f>
        <v>5110.4009808</v>
      </c>
    </row>
    <row r="1455" customHeight="1" spans="1:7">
      <c r="A1455" s="144"/>
      <c r="B1455" s="148" t="s">
        <v>684</v>
      </c>
      <c r="C1455" s="149"/>
      <c r="D1455" s="61" t="s">
        <v>70</v>
      </c>
      <c r="E1455" s="147">
        <f>E1439*混凝土单价计算表!$G$10</f>
        <v>57.024</v>
      </c>
      <c r="F1455" s="147">
        <f>主要材料预算!$N$7</f>
        <v>37.09111</v>
      </c>
      <c r="G1455" s="150">
        <f t="shared" si="117"/>
        <v>2115.08345664</v>
      </c>
    </row>
    <row r="1456" customHeight="1" spans="1:7">
      <c r="A1456" s="144"/>
      <c r="B1456" s="148" t="s">
        <v>694</v>
      </c>
      <c r="C1456" s="149"/>
      <c r="D1456" s="61" t="s">
        <v>695</v>
      </c>
      <c r="E1456" s="147">
        <f>E1447*施工机械台时费!$L$35</f>
        <v>142.095</v>
      </c>
      <c r="F1456" s="147">
        <f>主要材料预算!$N$13</f>
        <v>6.0616206482593</v>
      </c>
      <c r="G1456" s="150">
        <f t="shared" si="117"/>
        <v>861.325986014405</v>
      </c>
    </row>
    <row r="1457" customHeight="1" spans="1:7">
      <c r="A1457" s="144" t="s">
        <v>906</v>
      </c>
      <c r="B1457" s="153" t="s">
        <v>772</v>
      </c>
      <c r="C1457" s="153"/>
      <c r="D1457" s="61"/>
      <c r="E1457" s="147">
        <f>G1433+G1451+G1452+G1453</f>
        <v>51710.6925767619</v>
      </c>
      <c r="F1457" s="156">
        <f>费率表!$F$7</f>
        <v>0.09</v>
      </c>
      <c r="G1457" s="150">
        <f t="shared" si="117"/>
        <v>4653.96233190857</v>
      </c>
    </row>
    <row r="1458" customHeight="1" spans="1:7">
      <c r="A1458" s="144"/>
      <c r="B1458" s="153" t="s">
        <v>907</v>
      </c>
      <c r="C1458" s="153"/>
      <c r="D1458" s="61"/>
      <c r="E1458" s="147">
        <f>G1433+G1451+G1452+G1453+G1457</f>
        <v>56364.6549086704</v>
      </c>
      <c r="F1458" s="156">
        <f>费率表!$B$19</f>
        <v>0.03</v>
      </c>
      <c r="G1458" s="150">
        <f t="shared" si="117"/>
        <v>1690.93964726011</v>
      </c>
    </row>
    <row r="1459" customHeight="1" spans="1:7">
      <c r="A1459" s="158"/>
      <c r="B1459" s="161" t="s">
        <v>39</v>
      </c>
      <c r="C1459" s="161"/>
      <c r="D1459" s="161"/>
      <c r="E1459" s="162"/>
      <c r="F1459" s="161"/>
      <c r="G1459" s="163">
        <f>G1433+G1451+G1452+G1453+G1457+G1458</f>
        <v>58055.5945559306</v>
      </c>
    </row>
    <row r="1462" customHeight="1" spans="1:7">
      <c r="A1462" s="126" t="s">
        <v>868</v>
      </c>
      <c r="B1462" s="126"/>
      <c r="C1462" s="126"/>
      <c r="D1462" s="126"/>
      <c r="E1462" s="126"/>
      <c r="F1462" s="126"/>
      <c r="G1462" s="126"/>
    </row>
    <row r="1463" customHeight="1" spans="1:7">
      <c r="A1463" s="127" t="s">
        <v>869</v>
      </c>
      <c r="B1463" s="128"/>
      <c r="C1463" s="129"/>
      <c r="D1463" s="129" t="s">
        <v>870</v>
      </c>
      <c r="E1463" s="130" t="s">
        <v>1442</v>
      </c>
      <c r="F1463" s="131"/>
      <c r="G1463" s="132"/>
    </row>
    <row r="1464" customHeight="1" spans="1:7">
      <c r="A1464" s="133" t="s">
        <v>507</v>
      </c>
      <c r="B1464" s="134"/>
      <c r="C1464" s="135" t="s">
        <v>1443</v>
      </c>
      <c r="D1464" s="136"/>
      <c r="E1464" s="137"/>
      <c r="F1464" s="61" t="s">
        <v>873</v>
      </c>
      <c r="G1464" s="138" t="s">
        <v>874</v>
      </c>
    </row>
    <row r="1465" customHeight="1" spans="1:7">
      <c r="A1465" s="139" t="s">
        <v>875</v>
      </c>
      <c r="B1465" s="136"/>
      <c r="C1465" s="136"/>
      <c r="D1465" s="136"/>
      <c r="E1465" s="136"/>
      <c r="F1465" s="136"/>
      <c r="G1465" s="140"/>
    </row>
    <row r="1466" ht="25.5" customHeight="1" spans="1:7">
      <c r="A1466" s="141" t="s">
        <v>1444</v>
      </c>
      <c r="B1466" s="142"/>
      <c r="C1466" s="142"/>
      <c r="D1466" s="142"/>
      <c r="E1466" s="142"/>
      <c r="F1466" s="142"/>
      <c r="G1466" s="143"/>
    </row>
    <row r="1467" customHeight="1" spans="1:7">
      <c r="A1467" s="144" t="s">
        <v>34</v>
      </c>
      <c r="B1467" s="61" t="s">
        <v>761</v>
      </c>
      <c r="C1467" s="61"/>
      <c r="D1467" s="61" t="s">
        <v>60</v>
      </c>
      <c r="E1467" s="147" t="s">
        <v>877</v>
      </c>
      <c r="F1467" s="61" t="s">
        <v>878</v>
      </c>
      <c r="G1467" s="138" t="s">
        <v>879</v>
      </c>
    </row>
    <row r="1468" customHeight="1" spans="1:7">
      <c r="A1468" s="144" t="s">
        <v>8</v>
      </c>
      <c r="B1468" s="153" t="s">
        <v>880</v>
      </c>
      <c r="C1468" s="153"/>
      <c r="D1468" s="61"/>
      <c r="E1468" s="147"/>
      <c r="F1468" s="147"/>
      <c r="G1468" s="150">
        <f>G1469+G1490</f>
        <v>31649.8468876254</v>
      </c>
    </row>
    <row r="1469" customHeight="1" spans="1:7">
      <c r="A1469" s="144" t="s">
        <v>881</v>
      </c>
      <c r="B1469" s="153" t="s">
        <v>882</v>
      </c>
      <c r="C1469" s="153"/>
      <c r="D1469" s="61"/>
      <c r="E1469" s="147"/>
      <c r="F1469" s="147"/>
      <c r="G1469" s="150">
        <f>G1470+G1473+G1484</f>
        <v>30200.2355797952</v>
      </c>
    </row>
    <row r="1470" customHeight="1" spans="1:7">
      <c r="A1470" s="144" t="s">
        <v>17</v>
      </c>
      <c r="B1470" s="153" t="s">
        <v>510</v>
      </c>
      <c r="C1470" s="153"/>
      <c r="D1470" s="61"/>
      <c r="E1470" s="147"/>
      <c r="F1470" s="147"/>
      <c r="G1470" s="150">
        <f>SUM(G1471:G1472)</f>
        <v>7514.437</v>
      </c>
    </row>
    <row r="1471" customHeight="1" spans="1:7">
      <c r="A1471" s="144"/>
      <c r="B1471" s="153" t="s">
        <v>704</v>
      </c>
      <c r="C1471" s="153"/>
      <c r="D1471" s="61" t="s">
        <v>705</v>
      </c>
      <c r="E1471" s="147">
        <v>348.5</v>
      </c>
      <c r="F1471" s="147">
        <f>主要材料预算!$D$19</f>
        <v>8.1</v>
      </c>
      <c r="G1471" s="150">
        <f t="shared" ref="G1471:G1474" si="118">E1471*F1471</f>
        <v>2822.85</v>
      </c>
    </row>
    <row r="1472" customHeight="1" spans="1:7">
      <c r="A1472" s="144"/>
      <c r="B1472" s="153" t="s">
        <v>706</v>
      </c>
      <c r="C1472" s="153"/>
      <c r="D1472" s="61" t="s">
        <v>705</v>
      </c>
      <c r="E1472" s="151">
        <v>813.1</v>
      </c>
      <c r="F1472" s="147">
        <f>主要材料预算!$D$20</f>
        <v>5.77</v>
      </c>
      <c r="G1472" s="150">
        <f t="shared" si="118"/>
        <v>4691.587</v>
      </c>
    </row>
    <row r="1473" customHeight="1" spans="1:7">
      <c r="A1473" s="144" t="s">
        <v>19</v>
      </c>
      <c r="B1473" s="148" t="s">
        <v>511</v>
      </c>
      <c r="C1473" s="149"/>
      <c r="D1473" s="61"/>
      <c r="E1473" s="147"/>
      <c r="F1473" s="147"/>
      <c r="G1473" s="150">
        <f>SUM(G1474:G1483)</f>
        <v>19862.6828922505</v>
      </c>
    </row>
    <row r="1474" customHeight="1" spans="1:7">
      <c r="A1474" s="144"/>
      <c r="B1474" s="148" t="s">
        <v>921</v>
      </c>
      <c r="C1474" s="149"/>
      <c r="D1474" s="61" t="s">
        <v>70</v>
      </c>
      <c r="E1474" s="147">
        <v>108</v>
      </c>
      <c r="F1474" s="147">
        <f>混凝土单价计算表!$M$7</f>
        <v>176.454345</v>
      </c>
      <c r="G1474" s="150">
        <f t="shared" si="118"/>
        <v>19057.06926</v>
      </c>
    </row>
    <row r="1475" customHeight="1" spans="1:7">
      <c r="A1475" s="144"/>
      <c r="B1475" s="148" t="s">
        <v>1445</v>
      </c>
      <c r="C1475" s="149"/>
      <c r="D1475" s="61" t="s">
        <v>70</v>
      </c>
      <c r="E1475" s="147">
        <v>0.1</v>
      </c>
      <c r="F1475" s="147">
        <f>基础材料!$D$49</f>
        <v>1568</v>
      </c>
      <c r="G1475" s="150">
        <f t="shared" ref="G1475:G1482" si="119">E1475*F1475</f>
        <v>156.8</v>
      </c>
    </row>
    <row r="1476" customHeight="1" spans="1:7">
      <c r="A1476" s="144"/>
      <c r="B1476" s="148" t="s">
        <v>885</v>
      </c>
      <c r="C1476" s="149"/>
      <c r="D1476" s="61" t="s">
        <v>695</v>
      </c>
      <c r="E1476" s="147">
        <v>7.2</v>
      </c>
      <c r="F1476" s="147">
        <f>基础材料!$D$9</f>
        <v>4.44</v>
      </c>
      <c r="G1476" s="150">
        <f t="shared" si="119"/>
        <v>31.968</v>
      </c>
    </row>
    <row r="1477" customHeight="1" spans="1:7">
      <c r="A1477" s="144"/>
      <c r="B1477" s="180" t="s">
        <v>1438</v>
      </c>
      <c r="C1477" s="181"/>
      <c r="D1477" s="61" t="s">
        <v>695</v>
      </c>
      <c r="E1477" s="147">
        <v>7.3</v>
      </c>
      <c r="F1477" s="147">
        <f>基础材料!$D$11</f>
        <v>4.9</v>
      </c>
      <c r="G1477" s="150">
        <f t="shared" si="119"/>
        <v>35.77</v>
      </c>
    </row>
    <row r="1478" customHeight="1" spans="1:7">
      <c r="A1478" s="144"/>
      <c r="B1478" s="148" t="s">
        <v>1446</v>
      </c>
      <c r="C1478" s="149"/>
      <c r="D1478" s="61" t="s">
        <v>695</v>
      </c>
      <c r="E1478" s="147">
        <v>2.8</v>
      </c>
      <c r="F1478" s="147">
        <f>基础材料!$D$12</f>
        <v>4.8</v>
      </c>
      <c r="G1478" s="150">
        <f t="shared" si="119"/>
        <v>13.44</v>
      </c>
    </row>
    <row r="1479" customHeight="1" spans="1:7">
      <c r="A1479" s="144"/>
      <c r="B1479" s="148" t="s">
        <v>1447</v>
      </c>
      <c r="C1479" s="149"/>
      <c r="D1479" s="61" t="s">
        <v>1396</v>
      </c>
      <c r="E1479" s="147">
        <v>4.1</v>
      </c>
      <c r="F1479" s="147">
        <f>基础材料!$D$13</f>
        <v>12</v>
      </c>
      <c r="G1479" s="150">
        <f t="shared" si="119"/>
        <v>49.2</v>
      </c>
    </row>
    <row r="1480" customHeight="1" spans="1:7">
      <c r="A1480" s="144"/>
      <c r="B1480" s="148" t="s">
        <v>1448</v>
      </c>
      <c r="C1480" s="149"/>
      <c r="D1480" s="61" t="s">
        <v>695</v>
      </c>
      <c r="E1480" s="147">
        <v>0.2</v>
      </c>
      <c r="F1480" s="147">
        <f>基础材料!$D$14</f>
        <v>5.5</v>
      </c>
      <c r="G1480" s="150">
        <f t="shared" si="119"/>
        <v>1.1</v>
      </c>
    </row>
    <row r="1481" customHeight="1" spans="1:7">
      <c r="A1481" s="144"/>
      <c r="B1481" s="148" t="s">
        <v>1449</v>
      </c>
      <c r="C1481" s="149"/>
      <c r="D1481" s="61" t="s">
        <v>695</v>
      </c>
      <c r="E1481" s="147">
        <v>0.3</v>
      </c>
      <c r="F1481" s="147">
        <f>基础材料!$D$15</f>
        <v>3.7</v>
      </c>
      <c r="G1481" s="150">
        <f t="shared" si="119"/>
        <v>1.11</v>
      </c>
    </row>
    <row r="1482" customHeight="1" spans="1:7">
      <c r="A1482" s="144"/>
      <c r="B1482" s="148" t="s">
        <v>730</v>
      </c>
      <c r="C1482" s="149"/>
      <c r="D1482" s="61" t="s">
        <v>70</v>
      </c>
      <c r="E1482" s="147">
        <v>94.5</v>
      </c>
      <c r="F1482" s="147">
        <f>主要材料预算!$D$16</f>
        <v>4.15</v>
      </c>
      <c r="G1482" s="150">
        <f t="shared" si="119"/>
        <v>392.175</v>
      </c>
    </row>
    <row r="1483" customHeight="1" spans="1:7">
      <c r="A1483" s="144"/>
      <c r="B1483" s="153" t="s">
        <v>893</v>
      </c>
      <c r="C1483" s="153"/>
      <c r="D1483" s="61" t="s">
        <v>894</v>
      </c>
      <c r="E1483" s="147">
        <f>G1470+G1484</f>
        <v>10337.5526875447</v>
      </c>
      <c r="F1483" s="147">
        <v>1.2</v>
      </c>
      <c r="G1483" s="150">
        <f>E1483*F1483/100</f>
        <v>124.050632250536</v>
      </c>
    </row>
    <row r="1484" customHeight="1" spans="1:7">
      <c r="A1484" s="144" t="s">
        <v>21</v>
      </c>
      <c r="B1484" s="153" t="s">
        <v>895</v>
      </c>
      <c r="C1484" s="153"/>
      <c r="D1484" s="153"/>
      <c r="E1484" s="147"/>
      <c r="F1484" s="147"/>
      <c r="G1484" s="150">
        <f>SUM(G1485:G1489)</f>
        <v>2823.11568754466</v>
      </c>
    </row>
    <row r="1485" customHeight="1" spans="1:7">
      <c r="A1485" s="144"/>
      <c r="B1485" s="148" t="s">
        <v>1423</v>
      </c>
      <c r="C1485" s="149"/>
      <c r="D1485" s="61" t="s">
        <v>896</v>
      </c>
      <c r="E1485" s="147">
        <v>14.53</v>
      </c>
      <c r="F1485" s="147">
        <f>施工机械台时费!$E$21</f>
        <v>37.4199521340247</v>
      </c>
      <c r="G1485" s="150">
        <f t="shared" ref="G1485:G1488" si="120">E1485*F1485</f>
        <v>543.711904507379</v>
      </c>
    </row>
    <row r="1486" customHeight="1" spans="1:7">
      <c r="A1486" s="144"/>
      <c r="B1486" s="148" t="s">
        <v>1439</v>
      </c>
      <c r="C1486" s="149"/>
      <c r="D1486" s="61" t="s">
        <v>896</v>
      </c>
      <c r="E1486" s="147">
        <v>35.29</v>
      </c>
      <c r="F1486" s="147">
        <f>施工机械台时费!$E$24</f>
        <v>5.08152772237734</v>
      </c>
      <c r="G1486" s="150">
        <f t="shared" si="120"/>
        <v>179.327113322696</v>
      </c>
    </row>
    <row r="1487" customHeight="1" spans="1:7">
      <c r="A1487" s="144"/>
      <c r="B1487" s="148" t="s">
        <v>1440</v>
      </c>
      <c r="C1487" s="149"/>
      <c r="D1487" s="61" t="s">
        <v>896</v>
      </c>
      <c r="E1487" s="147">
        <v>119.93</v>
      </c>
      <c r="F1487" s="147">
        <f>施工机械台时费!$E$35</f>
        <v>17.1951356202633</v>
      </c>
      <c r="G1487" s="150">
        <f t="shared" si="120"/>
        <v>2062.21261493817</v>
      </c>
    </row>
    <row r="1488" customHeight="1" spans="1:7">
      <c r="A1488" s="144"/>
      <c r="B1488" s="148" t="s">
        <v>901</v>
      </c>
      <c r="C1488" s="149"/>
      <c r="D1488" s="61" t="s">
        <v>896</v>
      </c>
      <c r="E1488" s="147">
        <v>19.35</v>
      </c>
      <c r="F1488" s="147">
        <f>施工机械台时费!$E$36</f>
        <v>0.813242919824491</v>
      </c>
      <c r="G1488" s="150">
        <f t="shared" si="120"/>
        <v>15.7362504986039</v>
      </c>
    </row>
    <row r="1489" customHeight="1" spans="1:7">
      <c r="A1489" s="144"/>
      <c r="B1489" s="148" t="s">
        <v>902</v>
      </c>
      <c r="C1489" s="149"/>
      <c r="D1489" s="61" t="s">
        <v>894</v>
      </c>
      <c r="E1489" s="147">
        <f>SUM(G1485:G1488)</f>
        <v>2800.98788326685</v>
      </c>
      <c r="F1489" s="147">
        <v>0.79</v>
      </c>
      <c r="G1489" s="150">
        <f>E1489*F1489/100</f>
        <v>22.1278042778081</v>
      </c>
    </row>
    <row r="1490" customHeight="1" spans="1:7">
      <c r="A1490" s="144" t="s">
        <v>905</v>
      </c>
      <c r="B1490" s="153" t="s">
        <v>514</v>
      </c>
      <c r="C1490" s="153"/>
      <c r="D1490" s="61"/>
      <c r="E1490" s="154">
        <f>G1469</f>
        <v>30200.2355797952</v>
      </c>
      <c r="F1490" s="155">
        <f>费率表!$F$4</f>
        <v>0.048</v>
      </c>
      <c r="G1490" s="150">
        <f t="shared" ref="G1490:G1492" si="121">E1490*F1490</f>
        <v>1449.61130783017</v>
      </c>
    </row>
    <row r="1491" customHeight="1" spans="1:7">
      <c r="A1491" s="144" t="s">
        <v>10</v>
      </c>
      <c r="B1491" s="153" t="s">
        <v>770</v>
      </c>
      <c r="C1491" s="153"/>
      <c r="D1491" s="61"/>
      <c r="E1491" s="147">
        <f>G1468</f>
        <v>31649.8468876254</v>
      </c>
      <c r="F1491" s="156">
        <f>费率表!$F$5</f>
        <v>0.085</v>
      </c>
      <c r="G1491" s="150">
        <f t="shared" si="121"/>
        <v>2690.23698544816</v>
      </c>
    </row>
    <row r="1492" customHeight="1" spans="1:7">
      <c r="A1492" s="144" t="s">
        <v>12</v>
      </c>
      <c r="B1492" s="153" t="s">
        <v>771</v>
      </c>
      <c r="C1492" s="153"/>
      <c r="D1492" s="61"/>
      <c r="E1492" s="147">
        <f>G1468+G1491</f>
        <v>34340.0838730735</v>
      </c>
      <c r="F1492" s="156">
        <f>费率表!$F$6</f>
        <v>0.07</v>
      </c>
      <c r="G1492" s="150">
        <f t="shared" si="121"/>
        <v>2403.80587111515</v>
      </c>
    </row>
    <row r="1493" customHeight="1" spans="1:7">
      <c r="A1493" s="144" t="s">
        <v>15</v>
      </c>
      <c r="B1493" s="148" t="s">
        <v>517</v>
      </c>
      <c r="C1493" s="149"/>
      <c r="D1493" s="61"/>
      <c r="E1493" s="147"/>
      <c r="F1493" s="157"/>
      <c r="G1493" s="150">
        <f>SUM(G1494:G1496)</f>
        <v>7910.13839603565</v>
      </c>
    </row>
    <row r="1494" customHeight="1" spans="1:7">
      <c r="A1494" s="144"/>
      <c r="B1494" s="148" t="s">
        <v>729</v>
      </c>
      <c r="C1494" s="149"/>
      <c r="D1494" s="61" t="s">
        <v>70</v>
      </c>
      <c r="E1494" s="147">
        <f>E1474*混凝土单价计算表!$E$7</f>
        <v>33.177276</v>
      </c>
      <c r="F1494" s="147">
        <f>主要材料预算!$N$5</f>
        <v>139.17214</v>
      </c>
      <c r="G1494" s="150">
        <f t="shared" ref="G1494:G1498" si="122">E1494*F1494</f>
        <v>4617.35250029064</v>
      </c>
    </row>
    <row r="1495" customHeight="1" spans="1:7">
      <c r="A1495" s="144"/>
      <c r="B1495" s="148" t="s">
        <v>684</v>
      </c>
      <c r="C1495" s="149"/>
      <c r="D1495" s="61" t="s">
        <v>70</v>
      </c>
      <c r="E1495" s="147">
        <f>E1474*混凝土单价计算表!$G$7</f>
        <v>59.37624</v>
      </c>
      <c r="F1495" s="147">
        <f>主要材料预算!$N$7</f>
        <v>37.09111</v>
      </c>
      <c r="G1495" s="150">
        <f t="shared" si="122"/>
        <v>2202.3306492264</v>
      </c>
    </row>
    <row r="1496" customHeight="1" spans="1:7">
      <c r="A1496" s="144"/>
      <c r="B1496" s="148" t="s">
        <v>694</v>
      </c>
      <c r="C1496" s="149"/>
      <c r="D1496" s="61" t="s">
        <v>695</v>
      </c>
      <c r="E1496" s="147">
        <f>E1487*施工机械台时费!$L$35</f>
        <v>179.895</v>
      </c>
      <c r="F1496" s="147">
        <f>主要材料预算!$N$13</f>
        <v>6.0616206482593</v>
      </c>
      <c r="G1496" s="150">
        <f t="shared" si="122"/>
        <v>1090.45524651861</v>
      </c>
    </row>
    <row r="1497" customHeight="1" spans="1:7">
      <c r="A1497" s="144" t="s">
        <v>906</v>
      </c>
      <c r="B1497" s="153" t="s">
        <v>772</v>
      </c>
      <c r="C1497" s="153"/>
      <c r="D1497" s="61"/>
      <c r="E1497" s="147">
        <f>G1468+G1491+G1492+G1493</f>
        <v>44654.0281402244</v>
      </c>
      <c r="F1497" s="156">
        <f>费率表!$F$7</f>
        <v>0.09</v>
      </c>
      <c r="G1497" s="150">
        <f t="shared" si="122"/>
        <v>4018.86253262019</v>
      </c>
    </row>
    <row r="1498" customHeight="1" spans="1:7">
      <c r="A1498" s="144"/>
      <c r="B1498" s="153" t="s">
        <v>907</v>
      </c>
      <c r="C1498" s="153"/>
      <c r="D1498" s="61"/>
      <c r="E1498" s="147">
        <f>G1468+G1491+G1492+G1493+G1497</f>
        <v>48672.8906728446</v>
      </c>
      <c r="F1498" s="156">
        <f>费率表!$B$19</f>
        <v>0.03</v>
      </c>
      <c r="G1498" s="150">
        <f t="shared" si="122"/>
        <v>1460.18672018534</v>
      </c>
    </row>
    <row r="1499" customHeight="1" spans="1:7">
      <c r="A1499" s="158"/>
      <c r="B1499" s="161" t="s">
        <v>39</v>
      </c>
      <c r="C1499" s="161"/>
      <c r="D1499" s="161"/>
      <c r="E1499" s="162"/>
      <c r="F1499" s="161"/>
      <c r="G1499" s="163">
        <f>G1468+G1491+G1492+G1493+G1497+G1498</f>
        <v>50133.0773930299</v>
      </c>
    </row>
    <row r="1500" customHeight="1" spans="1:7">
      <c r="A1500" s="123"/>
      <c r="B1500" s="123"/>
      <c r="C1500" s="123"/>
      <c r="D1500" s="123"/>
      <c r="E1500" s="124"/>
      <c r="F1500" s="123"/>
      <c r="G1500" s="124"/>
    </row>
    <row r="1501" customHeight="1" spans="1:7">
      <c r="A1501" s="126" t="s">
        <v>868</v>
      </c>
      <c r="B1501" s="126"/>
      <c r="C1501" s="126"/>
      <c r="D1501" s="126"/>
      <c r="E1501" s="126"/>
      <c r="F1501" s="126"/>
      <c r="G1501" s="126"/>
    </row>
    <row r="1502" customHeight="1" spans="1:7">
      <c r="A1502" s="127" t="s">
        <v>869</v>
      </c>
      <c r="B1502" s="128"/>
      <c r="C1502" s="129"/>
      <c r="D1502" s="129" t="s">
        <v>870</v>
      </c>
      <c r="E1502" s="130" t="s">
        <v>1450</v>
      </c>
      <c r="F1502" s="131"/>
      <c r="G1502" s="132"/>
    </row>
    <row r="1503" customHeight="1" spans="1:7">
      <c r="A1503" s="133" t="s">
        <v>507</v>
      </c>
      <c r="B1503" s="134"/>
      <c r="C1503" s="135" t="s">
        <v>1451</v>
      </c>
      <c r="D1503" s="136"/>
      <c r="E1503" s="137"/>
      <c r="F1503" s="61" t="s">
        <v>873</v>
      </c>
      <c r="G1503" s="138" t="s">
        <v>874</v>
      </c>
    </row>
    <row r="1504" customHeight="1" spans="1:7">
      <c r="A1504" s="139" t="s">
        <v>875</v>
      </c>
      <c r="B1504" s="136"/>
      <c r="C1504" s="136"/>
      <c r="D1504" s="136"/>
      <c r="E1504" s="136"/>
      <c r="F1504" s="136"/>
      <c r="G1504" s="140"/>
    </row>
    <row r="1505" customHeight="1" spans="1:7">
      <c r="A1505" s="141" t="s">
        <v>1444</v>
      </c>
      <c r="B1505" s="142"/>
      <c r="C1505" s="142"/>
      <c r="D1505" s="142"/>
      <c r="E1505" s="142"/>
      <c r="F1505" s="142"/>
      <c r="G1505" s="143"/>
    </row>
    <row r="1506" customHeight="1" spans="1:7">
      <c r="A1506" s="144" t="s">
        <v>34</v>
      </c>
      <c r="B1506" s="61" t="s">
        <v>761</v>
      </c>
      <c r="C1506" s="61"/>
      <c r="D1506" s="61" t="s">
        <v>60</v>
      </c>
      <c r="E1506" s="147" t="s">
        <v>877</v>
      </c>
      <c r="F1506" s="61" t="s">
        <v>878</v>
      </c>
      <c r="G1506" s="138" t="s">
        <v>879</v>
      </c>
    </row>
    <row r="1507" customHeight="1" spans="1:7">
      <c r="A1507" s="144" t="s">
        <v>8</v>
      </c>
      <c r="B1507" s="153" t="s">
        <v>880</v>
      </c>
      <c r="C1507" s="153"/>
      <c r="D1507" s="61"/>
      <c r="E1507" s="147"/>
      <c r="F1507" s="147"/>
      <c r="G1507" s="150">
        <f>G1508+G1529</f>
        <v>32420.6531303454</v>
      </c>
    </row>
    <row r="1508" customHeight="1" spans="1:7">
      <c r="A1508" s="144" t="s">
        <v>881</v>
      </c>
      <c r="B1508" s="153" t="s">
        <v>882</v>
      </c>
      <c r="C1508" s="153"/>
      <c r="D1508" s="61"/>
      <c r="E1508" s="147"/>
      <c r="F1508" s="147"/>
      <c r="G1508" s="150">
        <f>G1509+G1512+G1523</f>
        <v>30935.7377197952</v>
      </c>
    </row>
    <row r="1509" customHeight="1" spans="1:7">
      <c r="A1509" s="144" t="s">
        <v>17</v>
      </c>
      <c r="B1509" s="153" t="s">
        <v>510</v>
      </c>
      <c r="C1509" s="153"/>
      <c r="D1509" s="61"/>
      <c r="E1509" s="147"/>
      <c r="F1509" s="147"/>
      <c r="G1509" s="150">
        <f>SUM(G1510:G1511)</f>
        <v>7514.437</v>
      </c>
    </row>
    <row r="1510" customHeight="1" spans="1:7">
      <c r="A1510" s="144"/>
      <c r="B1510" s="153" t="s">
        <v>704</v>
      </c>
      <c r="C1510" s="153"/>
      <c r="D1510" s="61" t="s">
        <v>705</v>
      </c>
      <c r="E1510" s="147">
        <v>348.5</v>
      </c>
      <c r="F1510" s="147">
        <f>主要材料预算!$D$19</f>
        <v>8.1</v>
      </c>
      <c r="G1510" s="150">
        <f t="shared" ref="G1510:G1513" si="123">E1510*F1510</f>
        <v>2822.85</v>
      </c>
    </row>
    <row r="1511" customHeight="1" spans="1:7">
      <c r="A1511" s="144"/>
      <c r="B1511" s="153" t="s">
        <v>706</v>
      </c>
      <c r="C1511" s="153"/>
      <c r="D1511" s="61" t="s">
        <v>705</v>
      </c>
      <c r="E1511" s="151">
        <v>813.1</v>
      </c>
      <c r="F1511" s="147">
        <f>主要材料预算!$D$20</f>
        <v>5.77</v>
      </c>
      <c r="G1511" s="150">
        <f t="shared" si="123"/>
        <v>4691.587</v>
      </c>
    </row>
    <row r="1512" customHeight="1" spans="1:7">
      <c r="A1512" s="144" t="s">
        <v>19</v>
      </c>
      <c r="B1512" s="148" t="s">
        <v>511</v>
      </c>
      <c r="C1512" s="149"/>
      <c r="D1512" s="61"/>
      <c r="E1512" s="147"/>
      <c r="F1512" s="147"/>
      <c r="G1512" s="150">
        <f>SUM(G1513:G1522)</f>
        <v>20598.1850322505</v>
      </c>
    </row>
    <row r="1513" customHeight="1" spans="1:7">
      <c r="A1513" s="144"/>
      <c r="B1513" s="148" t="s">
        <v>1452</v>
      </c>
      <c r="C1513" s="149"/>
      <c r="D1513" s="61" t="s">
        <v>70</v>
      </c>
      <c r="E1513" s="147">
        <v>108</v>
      </c>
      <c r="F1513" s="147">
        <f>混凝土单价计算表!$M$10</f>
        <v>183.26455</v>
      </c>
      <c r="G1513" s="150">
        <f t="shared" si="123"/>
        <v>19792.5714</v>
      </c>
    </row>
    <row r="1514" customHeight="1" spans="1:7">
      <c r="A1514" s="144"/>
      <c r="B1514" s="148" t="s">
        <v>1445</v>
      </c>
      <c r="C1514" s="149"/>
      <c r="D1514" s="61" t="s">
        <v>70</v>
      </c>
      <c r="E1514" s="147">
        <v>0.1</v>
      </c>
      <c r="F1514" s="147">
        <f>基础材料!$D$49</f>
        <v>1568</v>
      </c>
      <c r="G1514" s="150">
        <f t="shared" ref="G1514:G1521" si="124">E1514*F1514</f>
        <v>156.8</v>
      </c>
    </row>
    <row r="1515" customHeight="1" spans="1:7">
      <c r="A1515" s="144"/>
      <c r="B1515" s="148" t="s">
        <v>885</v>
      </c>
      <c r="C1515" s="149"/>
      <c r="D1515" s="61" t="s">
        <v>695</v>
      </c>
      <c r="E1515" s="147">
        <v>7.2</v>
      </c>
      <c r="F1515" s="147">
        <f>基础材料!$D$9</f>
        <v>4.44</v>
      </c>
      <c r="G1515" s="150">
        <f t="shared" si="124"/>
        <v>31.968</v>
      </c>
    </row>
    <row r="1516" customHeight="1" spans="1:7">
      <c r="A1516" s="144"/>
      <c r="B1516" s="180" t="s">
        <v>1438</v>
      </c>
      <c r="C1516" s="181"/>
      <c r="D1516" s="61" t="s">
        <v>695</v>
      </c>
      <c r="E1516" s="147">
        <v>7.3</v>
      </c>
      <c r="F1516" s="147">
        <f>基础材料!$D$11</f>
        <v>4.9</v>
      </c>
      <c r="G1516" s="150">
        <f t="shared" si="124"/>
        <v>35.77</v>
      </c>
    </row>
    <row r="1517" customHeight="1" spans="1:7">
      <c r="A1517" s="144"/>
      <c r="B1517" s="148" t="s">
        <v>1446</v>
      </c>
      <c r="C1517" s="149"/>
      <c r="D1517" s="61" t="s">
        <v>695</v>
      </c>
      <c r="E1517" s="147">
        <v>2.8</v>
      </c>
      <c r="F1517" s="147">
        <f>基础材料!$D$12</f>
        <v>4.8</v>
      </c>
      <c r="G1517" s="150">
        <f t="shared" si="124"/>
        <v>13.44</v>
      </c>
    </row>
    <row r="1518" customHeight="1" spans="1:7">
      <c r="A1518" s="144"/>
      <c r="B1518" s="148" t="s">
        <v>1447</v>
      </c>
      <c r="C1518" s="149"/>
      <c r="D1518" s="61" t="s">
        <v>1396</v>
      </c>
      <c r="E1518" s="147">
        <v>4.1</v>
      </c>
      <c r="F1518" s="147">
        <f>基础材料!$D$13</f>
        <v>12</v>
      </c>
      <c r="G1518" s="150">
        <f t="shared" si="124"/>
        <v>49.2</v>
      </c>
    </row>
    <row r="1519" customHeight="1" spans="1:7">
      <c r="A1519" s="144"/>
      <c r="B1519" s="148" t="s">
        <v>1448</v>
      </c>
      <c r="C1519" s="149"/>
      <c r="D1519" s="61" t="s">
        <v>695</v>
      </c>
      <c r="E1519" s="147">
        <v>0.2</v>
      </c>
      <c r="F1519" s="147">
        <f>基础材料!$D$14</f>
        <v>5.5</v>
      </c>
      <c r="G1519" s="150">
        <f t="shared" si="124"/>
        <v>1.1</v>
      </c>
    </row>
    <row r="1520" customHeight="1" spans="1:7">
      <c r="A1520" s="144"/>
      <c r="B1520" s="148" t="s">
        <v>1449</v>
      </c>
      <c r="C1520" s="149"/>
      <c r="D1520" s="61" t="s">
        <v>695</v>
      </c>
      <c r="E1520" s="147">
        <v>0.3</v>
      </c>
      <c r="F1520" s="147">
        <f>基础材料!$D$15</f>
        <v>3.7</v>
      </c>
      <c r="G1520" s="150">
        <f t="shared" si="124"/>
        <v>1.11</v>
      </c>
    </row>
    <row r="1521" customHeight="1" spans="1:7">
      <c r="A1521" s="144"/>
      <c r="B1521" s="148" t="s">
        <v>730</v>
      </c>
      <c r="C1521" s="149"/>
      <c r="D1521" s="61" t="s">
        <v>70</v>
      </c>
      <c r="E1521" s="147">
        <v>94.5</v>
      </c>
      <c r="F1521" s="147">
        <f>主要材料预算!$D$16</f>
        <v>4.15</v>
      </c>
      <c r="G1521" s="150">
        <f t="shared" si="124"/>
        <v>392.175</v>
      </c>
    </row>
    <row r="1522" customHeight="1" spans="1:7">
      <c r="A1522" s="144"/>
      <c r="B1522" s="153" t="s">
        <v>893</v>
      </c>
      <c r="C1522" s="153"/>
      <c r="D1522" s="61" t="s">
        <v>894</v>
      </c>
      <c r="E1522" s="147">
        <f>G1509+G1523</f>
        <v>10337.5526875447</v>
      </c>
      <c r="F1522" s="147">
        <v>1.2</v>
      </c>
      <c r="G1522" s="150">
        <f>E1522*F1522/100</f>
        <v>124.050632250536</v>
      </c>
    </row>
    <row r="1523" customHeight="1" spans="1:7">
      <c r="A1523" s="144" t="s">
        <v>21</v>
      </c>
      <c r="B1523" s="153" t="s">
        <v>895</v>
      </c>
      <c r="C1523" s="153"/>
      <c r="D1523" s="153"/>
      <c r="E1523" s="147"/>
      <c r="F1523" s="147"/>
      <c r="G1523" s="150">
        <f>SUM(G1524:G1528)</f>
        <v>2823.11568754466</v>
      </c>
    </row>
    <row r="1524" customHeight="1" spans="1:7">
      <c r="A1524" s="144"/>
      <c r="B1524" s="148" t="s">
        <v>1423</v>
      </c>
      <c r="C1524" s="149"/>
      <c r="D1524" s="61" t="s">
        <v>896</v>
      </c>
      <c r="E1524" s="147">
        <v>14.53</v>
      </c>
      <c r="F1524" s="147">
        <f>施工机械台时费!$E$21</f>
        <v>37.4199521340247</v>
      </c>
      <c r="G1524" s="150">
        <f t="shared" ref="G1524:G1527" si="125">E1524*F1524</f>
        <v>543.711904507379</v>
      </c>
    </row>
    <row r="1525" customHeight="1" spans="1:7">
      <c r="A1525" s="144"/>
      <c r="B1525" s="148" t="s">
        <v>1439</v>
      </c>
      <c r="C1525" s="149"/>
      <c r="D1525" s="61" t="s">
        <v>896</v>
      </c>
      <c r="E1525" s="147">
        <v>35.29</v>
      </c>
      <c r="F1525" s="147">
        <f>施工机械台时费!$E$24</f>
        <v>5.08152772237734</v>
      </c>
      <c r="G1525" s="150">
        <f t="shared" si="125"/>
        <v>179.327113322696</v>
      </c>
    </row>
    <row r="1526" customHeight="1" spans="1:7">
      <c r="A1526" s="144"/>
      <c r="B1526" s="148" t="s">
        <v>1440</v>
      </c>
      <c r="C1526" s="149"/>
      <c r="D1526" s="61" t="s">
        <v>896</v>
      </c>
      <c r="E1526" s="147">
        <v>119.93</v>
      </c>
      <c r="F1526" s="147">
        <f>施工机械台时费!$E$35</f>
        <v>17.1951356202633</v>
      </c>
      <c r="G1526" s="150">
        <f t="shared" si="125"/>
        <v>2062.21261493817</v>
      </c>
    </row>
    <row r="1527" customHeight="1" spans="1:7">
      <c r="A1527" s="144"/>
      <c r="B1527" s="148" t="s">
        <v>901</v>
      </c>
      <c r="C1527" s="149"/>
      <c r="D1527" s="61" t="s">
        <v>896</v>
      </c>
      <c r="E1527" s="147">
        <v>19.35</v>
      </c>
      <c r="F1527" s="147">
        <f>施工机械台时费!$E$36</f>
        <v>0.813242919824491</v>
      </c>
      <c r="G1527" s="150">
        <f t="shared" si="125"/>
        <v>15.7362504986039</v>
      </c>
    </row>
    <row r="1528" customHeight="1" spans="1:7">
      <c r="A1528" s="144"/>
      <c r="B1528" s="148" t="s">
        <v>902</v>
      </c>
      <c r="C1528" s="149"/>
      <c r="D1528" s="61" t="s">
        <v>894</v>
      </c>
      <c r="E1528" s="147">
        <f>SUM(G1524:G1527)</f>
        <v>2800.98788326685</v>
      </c>
      <c r="F1528" s="147">
        <v>0.79</v>
      </c>
      <c r="G1528" s="150">
        <f>E1528*F1528/100</f>
        <v>22.1278042778081</v>
      </c>
    </row>
    <row r="1529" customHeight="1" spans="1:7">
      <c r="A1529" s="144" t="s">
        <v>905</v>
      </c>
      <c r="B1529" s="153" t="s">
        <v>514</v>
      </c>
      <c r="C1529" s="153"/>
      <c r="D1529" s="61"/>
      <c r="E1529" s="154">
        <f>G1508</f>
        <v>30935.7377197952</v>
      </c>
      <c r="F1529" s="155">
        <f>费率表!$F$4</f>
        <v>0.048</v>
      </c>
      <c r="G1529" s="150">
        <f t="shared" ref="G1529:G1531" si="126">E1529*F1529</f>
        <v>1484.91541055017</v>
      </c>
    </row>
    <row r="1530" customHeight="1" spans="1:7">
      <c r="A1530" s="144" t="s">
        <v>10</v>
      </c>
      <c r="B1530" s="153" t="s">
        <v>770</v>
      </c>
      <c r="C1530" s="153"/>
      <c r="D1530" s="61"/>
      <c r="E1530" s="147">
        <f>G1507</f>
        <v>32420.6531303454</v>
      </c>
      <c r="F1530" s="156">
        <f>费率表!$F$5</f>
        <v>0.085</v>
      </c>
      <c r="G1530" s="150">
        <f t="shared" si="126"/>
        <v>2755.75551607936</v>
      </c>
    </row>
    <row r="1531" customHeight="1" spans="1:7">
      <c r="A1531" s="144" t="s">
        <v>12</v>
      </c>
      <c r="B1531" s="153" t="s">
        <v>771</v>
      </c>
      <c r="C1531" s="153"/>
      <c r="D1531" s="61"/>
      <c r="E1531" s="147">
        <f>G1507+G1530</f>
        <v>35176.4086464247</v>
      </c>
      <c r="F1531" s="156">
        <f>费率表!$F$6</f>
        <v>0.07</v>
      </c>
      <c r="G1531" s="150">
        <f t="shared" si="126"/>
        <v>2462.34860524973</v>
      </c>
    </row>
    <row r="1532" customHeight="1" spans="1:7">
      <c r="A1532" s="144" t="s">
        <v>15</v>
      </c>
      <c r="B1532" s="148" t="s">
        <v>517</v>
      </c>
      <c r="C1532" s="149"/>
      <c r="D1532" s="61"/>
      <c r="E1532" s="147"/>
      <c r="F1532" s="157"/>
      <c r="G1532" s="150">
        <f>SUM(G1533:G1535)</f>
        <v>8315.93968395861</v>
      </c>
    </row>
    <row r="1533" customHeight="1" spans="1:7">
      <c r="A1533" s="144"/>
      <c r="B1533" s="148" t="s">
        <v>729</v>
      </c>
      <c r="C1533" s="149"/>
      <c r="D1533" s="61" t="s">
        <v>70</v>
      </c>
      <c r="E1533" s="147">
        <f>E1513*混凝土单价计算表!$E$10</f>
        <v>36.72</v>
      </c>
      <c r="F1533" s="147">
        <f>主要材料预算!$N$5</f>
        <v>139.17214</v>
      </c>
      <c r="G1533" s="150">
        <f t="shared" ref="G1533:G1537" si="127">E1533*F1533</f>
        <v>5110.4009808</v>
      </c>
    </row>
    <row r="1534" customHeight="1" spans="1:7">
      <c r="A1534" s="144"/>
      <c r="B1534" s="148" t="s">
        <v>684</v>
      </c>
      <c r="C1534" s="149"/>
      <c r="D1534" s="61" t="s">
        <v>70</v>
      </c>
      <c r="E1534" s="147">
        <f>E1513*混凝土单价计算表!$G$10</f>
        <v>57.024</v>
      </c>
      <c r="F1534" s="147">
        <f>主要材料预算!$N$7</f>
        <v>37.09111</v>
      </c>
      <c r="G1534" s="150">
        <f t="shared" si="127"/>
        <v>2115.08345664</v>
      </c>
    </row>
    <row r="1535" customHeight="1" spans="1:7">
      <c r="A1535" s="144"/>
      <c r="B1535" s="148" t="s">
        <v>694</v>
      </c>
      <c r="C1535" s="149"/>
      <c r="D1535" s="61" t="s">
        <v>695</v>
      </c>
      <c r="E1535" s="147">
        <f>E1526*施工机械台时费!$L$35</f>
        <v>179.895</v>
      </c>
      <c r="F1535" s="147">
        <f>主要材料预算!$N$13</f>
        <v>6.0616206482593</v>
      </c>
      <c r="G1535" s="150">
        <f t="shared" si="127"/>
        <v>1090.45524651861</v>
      </c>
    </row>
    <row r="1536" customHeight="1" spans="1:7">
      <c r="A1536" s="144" t="s">
        <v>906</v>
      </c>
      <c r="B1536" s="153" t="s">
        <v>772</v>
      </c>
      <c r="C1536" s="153"/>
      <c r="D1536" s="61"/>
      <c r="E1536" s="147">
        <f>G1507+G1530+G1531+G1532</f>
        <v>45954.6969356331</v>
      </c>
      <c r="F1536" s="156">
        <f>费率表!$F$7</f>
        <v>0.09</v>
      </c>
      <c r="G1536" s="150">
        <f t="shared" si="127"/>
        <v>4135.92272420698</v>
      </c>
    </row>
    <row r="1537" customHeight="1" spans="1:7">
      <c r="A1537" s="144"/>
      <c r="B1537" s="153" t="s">
        <v>907</v>
      </c>
      <c r="C1537" s="153"/>
      <c r="D1537" s="61"/>
      <c r="E1537" s="147">
        <f>G1507+G1530+G1531+G1532+G1536</f>
        <v>50090.6196598401</v>
      </c>
      <c r="F1537" s="156">
        <f>费率表!$B$19</f>
        <v>0.03</v>
      </c>
      <c r="G1537" s="150">
        <f t="shared" si="127"/>
        <v>1502.7185897952</v>
      </c>
    </row>
    <row r="1538" customHeight="1" spans="1:7">
      <c r="A1538" s="158"/>
      <c r="B1538" s="161" t="s">
        <v>39</v>
      </c>
      <c r="C1538" s="161"/>
      <c r="D1538" s="161"/>
      <c r="E1538" s="162"/>
      <c r="F1538" s="161"/>
      <c r="G1538" s="163">
        <f>G1507+G1530+G1531+G1532+G1536+G1537</f>
        <v>51593.3382496353</v>
      </c>
    </row>
    <row r="1539" customHeight="1" spans="1:7">
      <c r="A1539" s="123"/>
      <c r="B1539" s="123"/>
      <c r="C1539" s="123"/>
      <c r="D1539" s="123"/>
      <c r="E1539" s="124"/>
      <c r="F1539" s="123"/>
      <c r="G1539" s="124"/>
    </row>
    <row r="1541" customHeight="1" spans="1:7">
      <c r="A1541" s="126" t="s">
        <v>868</v>
      </c>
      <c r="B1541" s="126"/>
      <c r="C1541" s="126"/>
      <c r="D1541" s="126"/>
      <c r="E1541" s="126"/>
      <c r="F1541" s="126"/>
      <c r="G1541" s="126"/>
    </row>
    <row r="1542" customHeight="1" spans="1:7">
      <c r="A1542" s="127" t="s">
        <v>869</v>
      </c>
      <c r="B1542" s="128"/>
      <c r="C1542" s="129"/>
      <c r="D1542" s="129" t="s">
        <v>870</v>
      </c>
      <c r="E1542" s="130" t="s">
        <v>1455</v>
      </c>
      <c r="F1542" s="131"/>
      <c r="G1542" s="132"/>
    </row>
    <row r="1543" customHeight="1" spans="1:7">
      <c r="A1543" s="133" t="s">
        <v>507</v>
      </c>
      <c r="B1543" s="134"/>
      <c r="C1543" s="135" t="s">
        <v>1456</v>
      </c>
      <c r="D1543" s="136"/>
      <c r="E1543" s="137"/>
      <c r="F1543" s="61" t="s">
        <v>873</v>
      </c>
      <c r="G1543" s="138" t="s">
        <v>874</v>
      </c>
    </row>
    <row r="1544" customHeight="1" spans="1:7">
      <c r="A1544" s="139" t="s">
        <v>875</v>
      </c>
      <c r="B1544" s="136"/>
      <c r="C1544" s="136"/>
      <c r="D1544" s="136"/>
      <c r="E1544" s="136"/>
      <c r="F1544" s="136"/>
      <c r="G1544" s="140"/>
    </row>
    <row r="1545" ht="33" customHeight="1" spans="1:7">
      <c r="A1545" s="141" t="s">
        <v>1457</v>
      </c>
      <c r="B1545" s="142"/>
      <c r="C1545" s="142"/>
      <c r="D1545" s="142"/>
      <c r="E1545" s="142"/>
      <c r="F1545" s="142"/>
      <c r="G1545" s="143"/>
    </row>
    <row r="1546" customHeight="1" spans="1:7">
      <c r="A1546" s="144" t="s">
        <v>34</v>
      </c>
      <c r="B1546" s="61" t="s">
        <v>761</v>
      </c>
      <c r="C1546" s="61"/>
      <c r="D1546" s="61" t="s">
        <v>60</v>
      </c>
      <c r="E1546" s="147" t="s">
        <v>877</v>
      </c>
      <c r="F1546" s="61" t="s">
        <v>878</v>
      </c>
      <c r="G1546" s="138" t="s">
        <v>879</v>
      </c>
    </row>
    <row r="1547" customHeight="1" spans="1:7">
      <c r="A1547" s="144" t="s">
        <v>8</v>
      </c>
      <c r="B1547" s="153" t="s">
        <v>880</v>
      </c>
      <c r="C1547" s="153"/>
      <c r="D1547" s="61"/>
      <c r="E1547" s="147"/>
      <c r="F1547" s="147"/>
      <c r="G1547" s="150">
        <f>G1548+G1564</f>
        <v>46806.8892635327</v>
      </c>
    </row>
    <row r="1548" customHeight="1" spans="1:7">
      <c r="A1548" s="144" t="s">
        <v>881</v>
      </c>
      <c r="B1548" s="153" t="s">
        <v>882</v>
      </c>
      <c r="C1548" s="153"/>
      <c r="D1548" s="61"/>
      <c r="E1548" s="147"/>
      <c r="F1548" s="147"/>
      <c r="G1548" s="150">
        <f>G1549+G1552+G1558</f>
        <v>44663.0622743633</v>
      </c>
    </row>
    <row r="1549" customHeight="1" spans="1:7">
      <c r="A1549" s="144" t="s">
        <v>17</v>
      </c>
      <c r="B1549" s="153" t="s">
        <v>510</v>
      </c>
      <c r="C1549" s="153"/>
      <c r="D1549" s="61"/>
      <c r="E1549" s="147"/>
      <c r="F1549" s="147"/>
      <c r="G1549" s="150">
        <f>SUM(G1550:G1551)</f>
        <v>14656.213</v>
      </c>
    </row>
    <row r="1550" customHeight="1" spans="1:7">
      <c r="A1550" s="144"/>
      <c r="B1550" s="153" t="s">
        <v>704</v>
      </c>
      <c r="C1550" s="153"/>
      <c r="D1550" s="61" t="s">
        <v>705</v>
      </c>
      <c r="E1550" s="147">
        <v>679.7</v>
      </c>
      <c r="F1550" s="147">
        <f>主要材料预算!$D$19</f>
        <v>8.1</v>
      </c>
      <c r="G1550" s="150">
        <f t="shared" ref="G1550:G1556" si="128">E1550*F1550</f>
        <v>5505.57</v>
      </c>
    </row>
    <row r="1551" customHeight="1" spans="1:7">
      <c r="A1551" s="144"/>
      <c r="B1551" s="153" t="s">
        <v>706</v>
      </c>
      <c r="C1551" s="153"/>
      <c r="D1551" s="61" t="s">
        <v>705</v>
      </c>
      <c r="E1551" s="151">
        <v>1585.9</v>
      </c>
      <c r="F1551" s="147">
        <f>主要材料预算!$D$20</f>
        <v>5.77</v>
      </c>
      <c r="G1551" s="150">
        <f t="shared" si="128"/>
        <v>9150.643</v>
      </c>
    </row>
    <row r="1552" customHeight="1" spans="1:7">
      <c r="A1552" s="144" t="s">
        <v>19</v>
      </c>
      <c r="B1552" s="148" t="s">
        <v>511</v>
      </c>
      <c r="C1552" s="149"/>
      <c r="D1552" s="61"/>
      <c r="E1552" s="147"/>
      <c r="F1552" s="147"/>
      <c r="G1552" s="150">
        <f>SUM(G1553:G1557)</f>
        <v>19989.3655535941</v>
      </c>
    </row>
    <row r="1553" customHeight="1" spans="1:7">
      <c r="A1553" s="144"/>
      <c r="B1553" s="148" t="s">
        <v>921</v>
      </c>
      <c r="C1553" s="149"/>
      <c r="D1553" s="61" t="s">
        <v>70</v>
      </c>
      <c r="E1553" s="147">
        <v>107.1</v>
      </c>
      <c r="F1553" s="147">
        <f>混凝土单价计算表!$M$8</f>
        <v>176.454345</v>
      </c>
      <c r="G1553" s="150">
        <f t="shared" si="128"/>
        <v>18898.2603495</v>
      </c>
    </row>
    <row r="1554" customHeight="1" spans="1:7">
      <c r="A1554" s="144"/>
      <c r="B1554" s="148" t="s">
        <v>1458</v>
      </c>
      <c r="C1554" s="149"/>
      <c r="D1554" s="61" t="s">
        <v>70</v>
      </c>
      <c r="E1554" s="147">
        <v>96.5</v>
      </c>
      <c r="F1554" s="147">
        <f>基础材料!$D$10</f>
        <v>4.44</v>
      </c>
      <c r="G1554" s="150">
        <f t="shared" si="128"/>
        <v>428.46</v>
      </c>
    </row>
    <row r="1555" ht="25.5" customHeight="1" spans="1:7">
      <c r="A1555" s="144"/>
      <c r="B1555" s="188" t="s">
        <v>1459</v>
      </c>
      <c r="C1555" s="189"/>
      <c r="D1555" s="61" t="s">
        <v>695</v>
      </c>
      <c r="E1555" s="147">
        <v>18.7</v>
      </c>
      <c r="F1555" s="147">
        <f>基础材料!$D$3</f>
        <v>4.04</v>
      </c>
      <c r="G1555" s="150">
        <f t="shared" si="128"/>
        <v>75.548</v>
      </c>
    </row>
    <row r="1556" customHeight="1" spans="1:7">
      <c r="A1556" s="144"/>
      <c r="B1556" s="148" t="s">
        <v>730</v>
      </c>
      <c r="C1556" s="149"/>
      <c r="D1556" s="61" t="s">
        <v>70</v>
      </c>
      <c r="E1556" s="147">
        <v>94.5</v>
      </c>
      <c r="F1556" s="147">
        <f>主要材料预算!$D$16</f>
        <v>4.15</v>
      </c>
      <c r="G1556" s="150">
        <f t="shared" si="128"/>
        <v>392.175</v>
      </c>
    </row>
    <row r="1557" customHeight="1" spans="1:7">
      <c r="A1557" s="144"/>
      <c r="B1557" s="153" t="s">
        <v>893</v>
      </c>
      <c r="C1557" s="153"/>
      <c r="D1557" s="61" t="s">
        <v>894</v>
      </c>
      <c r="E1557" s="147">
        <f>G1549+G1558</f>
        <v>24673.6967207692</v>
      </c>
      <c r="F1557" s="147">
        <v>0.79</v>
      </c>
      <c r="G1557" s="150">
        <f>E1557*F1557/100</f>
        <v>194.922204094077</v>
      </c>
    </row>
    <row r="1558" customHeight="1" spans="1:7">
      <c r="A1558" s="144" t="s">
        <v>21</v>
      </c>
      <c r="B1558" s="153" t="s">
        <v>895</v>
      </c>
      <c r="C1558" s="153"/>
      <c r="D1558" s="153"/>
      <c r="E1558" s="147"/>
      <c r="F1558" s="147"/>
      <c r="G1558" s="150">
        <f>SUM(G1559:G1563)</f>
        <v>10017.4837207692</v>
      </c>
    </row>
    <row r="1559" customHeight="1" spans="1:7">
      <c r="A1559" s="144"/>
      <c r="B1559" s="153" t="s">
        <v>1423</v>
      </c>
      <c r="C1559" s="153"/>
      <c r="D1559" s="61" t="s">
        <v>896</v>
      </c>
      <c r="E1559" s="147">
        <v>251.16</v>
      </c>
      <c r="F1559" s="147">
        <f>施工机械台时费!$E$21</f>
        <v>37.4199521340247</v>
      </c>
      <c r="G1559" s="150">
        <f t="shared" ref="G1559:G1562" si="129">E1559*F1559</f>
        <v>9398.39517798165</v>
      </c>
    </row>
    <row r="1560" customHeight="1" spans="1:7">
      <c r="A1560" s="144"/>
      <c r="B1560" s="153" t="s">
        <v>1440</v>
      </c>
      <c r="C1560" s="153"/>
      <c r="D1560" s="61" t="s">
        <v>896</v>
      </c>
      <c r="E1560" s="147">
        <v>9.33</v>
      </c>
      <c r="F1560" s="147">
        <f>施工机械台时费!$E$35</f>
        <v>17.1951356202633</v>
      </c>
      <c r="G1560" s="150">
        <f t="shared" si="129"/>
        <v>160.430615337056</v>
      </c>
    </row>
    <row r="1561" customHeight="1" spans="1:7">
      <c r="A1561" s="144"/>
      <c r="B1561" s="153" t="s">
        <v>901</v>
      </c>
      <c r="C1561" s="153"/>
      <c r="D1561" s="61" t="s">
        <v>896</v>
      </c>
      <c r="E1561" s="147">
        <v>112.95</v>
      </c>
      <c r="F1561" s="147">
        <f>施工机械台时费!$E$36</f>
        <v>0.813242919824491</v>
      </c>
      <c r="G1561" s="150">
        <f t="shared" si="129"/>
        <v>91.8557877941763</v>
      </c>
    </row>
    <row r="1562" customHeight="1" spans="1:7">
      <c r="A1562" s="144"/>
      <c r="B1562" s="148" t="s">
        <v>1439</v>
      </c>
      <c r="C1562" s="149"/>
      <c r="D1562" s="61" t="s">
        <v>896</v>
      </c>
      <c r="E1562" s="147">
        <v>57.18</v>
      </c>
      <c r="F1562" s="147">
        <f>施工机械台时费!$E$24</f>
        <v>5.08152772237734</v>
      </c>
      <c r="G1562" s="150">
        <f t="shared" si="129"/>
        <v>290.561755165536</v>
      </c>
    </row>
    <row r="1563" customHeight="1" spans="1:7">
      <c r="A1563" s="144"/>
      <c r="B1563" s="148" t="s">
        <v>902</v>
      </c>
      <c r="C1563" s="149"/>
      <c r="D1563" s="61" t="s">
        <v>894</v>
      </c>
      <c r="E1563" s="147">
        <f>SUM(G1559:G1561)</f>
        <v>9650.68158111288</v>
      </c>
      <c r="F1563" s="147">
        <v>0.79</v>
      </c>
      <c r="G1563" s="150">
        <f>E1563*F1563/100</f>
        <v>76.2403844907918</v>
      </c>
    </row>
    <row r="1564" customHeight="1" spans="1:7">
      <c r="A1564" s="144" t="s">
        <v>905</v>
      </c>
      <c r="B1564" s="153" t="s">
        <v>514</v>
      </c>
      <c r="C1564" s="153"/>
      <c r="D1564" s="61"/>
      <c r="E1564" s="154">
        <f>G1548</f>
        <v>44663.0622743633</v>
      </c>
      <c r="F1564" s="155">
        <f>费率表!$F$4</f>
        <v>0.048</v>
      </c>
      <c r="G1564" s="150">
        <f t="shared" ref="G1564:G1566" si="130">E1564*F1564</f>
        <v>2143.82698916944</v>
      </c>
    </row>
    <row r="1565" customHeight="1" spans="1:7">
      <c r="A1565" s="144" t="s">
        <v>10</v>
      </c>
      <c r="B1565" s="153" t="s">
        <v>770</v>
      </c>
      <c r="C1565" s="153"/>
      <c r="D1565" s="61"/>
      <c r="E1565" s="147">
        <f>G1547</f>
        <v>46806.8892635327</v>
      </c>
      <c r="F1565" s="156">
        <f>费率表!$F$5</f>
        <v>0.085</v>
      </c>
      <c r="G1565" s="150">
        <f t="shared" si="130"/>
        <v>3978.58558740028</v>
      </c>
    </row>
    <row r="1566" customHeight="1" spans="1:7">
      <c r="A1566" s="144" t="s">
        <v>12</v>
      </c>
      <c r="B1566" s="153" t="s">
        <v>771</v>
      </c>
      <c r="C1566" s="153"/>
      <c r="D1566" s="61"/>
      <c r="E1566" s="147">
        <f>G1547+G1565</f>
        <v>50785.474850933</v>
      </c>
      <c r="F1566" s="156">
        <f>费率表!$F$6</f>
        <v>0.07</v>
      </c>
      <c r="G1566" s="150">
        <f t="shared" si="130"/>
        <v>3554.98323956531</v>
      </c>
    </row>
    <row r="1567" customHeight="1" spans="1:7">
      <c r="A1567" s="144" t="s">
        <v>15</v>
      </c>
      <c r="B1567" s="148" t="s">
        <v>517</v>
      </c>
      <c r="C1567" s="149"/>
      <c r="D1567" s="61"/>
      <c r="E1567" s="147"/>
      <c r="F1567" s="157"/>
      <c r="G1567" s="150">
        <f>SUM(G1568:G1570)</f>
        <v>6847.68483757679</v>
      </c>
    </row>
    <row r="1568" customHeight="1" spans="1:7">
      <c r="A1568" s="144"/>
      <c r="B1568" s="148" t="s">
        <v>729</v>
      </c>
      <c r="C1568" s="149"/>
      <c r="D1568" s="61" t="s">
        <v>70</v>
      </c>
      <c r="E1568" s="147">
        <f>E1553*混凝土单价计算表!$E$8</f>
        <v>32.9007987</v>
      </c>
      <c r="F1568" s="147">
        <f>主要材料预算!$N$5</f>
        <v>139.17214</v>
      </c>
      <c r="G1568" s="150">
        <f t="shared" ref="G1568:G1572" si="131">E1568*F1568</f>
        <v>4578.87456278822</v>
      </c>
    </row>
    <row r="1569" customHeight="1" spans="1:7">
      <c r="A1569" s="144"/>
      <c r="B1569" s="148" t="s">
        <v>684</v>
      </c>
      <c r="C1569" s="149"/>
      <c r="D1569" s="61" t="s">
        <v>70</v>
      </c>
      <c r="E1569" s="147">
        <f>E1553*混凝土单价计算表!$G$8</f>
        <v>58.881438</v>
      </c>
      <c r="F1569" s="147">
        <f>主要材料预算!$N$7</f>
        <v>37.09111</v>
      </c>
      <c r="G1569" s="150">
        <f t="shared" si="131"/>
        <v>2183.97789381618</v>
      </c>
    </row>
    <row r="1570" customHeight="1" spans="1:7">
      <c r="A1570" s="144"/>
      <c r="B1570" s="148" t="s">
        <v>694</v>
      </c>
      <c r="C1570" s="149"/>
      <c r="D1570" s="61" t="s">
        <v>695</v>
      </c>
      <c r="E1570" s="147">
        <f>E1560*施工机械台时费!$L$35</f>
        <v>13.995</v>
      </c>
      <c r="F1570" s="147">
        <f>主要材料预算!$N$13</f>
        <v>6.0616206482593</v>
      </c>
      <c r="G1570" s="150">
        <f t="shared" si="131"/>
        <v>84.8323809723889</v>
      </c>
    </row>
    <row r="1571" customHeight="1" spans="1:7">
      <c r="A1571" s="144" t="s">
        <v>906</v>
      </c>
      <c r="B1571" s="153" t="s">
        <v>772</v>
      </c>
      <c r="C1571" s="153"/>
      <c r="D1571" s="61"/>
      <c r="E1571" s="147">
        <f>G1547+G1565+G1566+G1567</f>
        <v>61188.1429280751</v>
      </c>
      <c r="F1571" s="156">
        <f>费率表!$F$7</f>
        <v>0.09</v>
      </c>
      <c r="G1571" s="150">
        <f t="shared" si="131"/>
        <v>5506.93286352676</v>
      </c>
    </row>
    <row r="1572" customHeight="1" spans="1:7">
      <c r="A1572" s="144"/>
      <c r="B1572" s="153" t="s">
        <v>907</v>
      </c>
      <c r="C1572" s="153"/>
      <c r="D1572" s="61"/>
      <c r="E1572" s="147">
        <f>G1547+G1565+G1566+G1567+G1571</f>
        <v>66695.0757916018</v>
      </c>
      <c r="F1572" s="156">
        <f>费率表!$B$19</f>
        <v>0.03</v>
      </c>
      <c r="G1572" s="150">
        <f t="shared" si="131"/>
        <v>2000.85227374806</v>
      </c>
    </row>
    <row r="1573" customHeight="1" spans="1:7">
      <c r="A1573" s="158"/>
      <c r="B1573" s="161" t="s">
        <v>39</v>
      </c>
      <c r="C1573" s="161"/>
      <c r="D1573" s="161"/>
      <c r="E1573" s="162"/>
      <c r="F1573" s="161"/>
      <c r="G1573" s="163">
        <f>G1547+G1565+G1566+G1567+G1571+G1572</f>
        <v>68695.9280653499</v>
      </c>
    </row>
    <row r="1575" customHeight="1" spans="1:7">
      <c r="A1575" s="126" t="s">
        <v>868</v>
      </c>
      <c r="B1575" s="126"/>
      <c r="C1575" s="126"/>
      <c r="D1575" s="126"/>
      <c r="E1575" s="126"/>
      <c r="F1575" s="126"/>
      <c r="G1575" s="126"/>
    </row>
    <row r="1576" customHeight="1" spans="1:7">
      <c r="A1576" s="127" t="s">
        <v>869</v>
      </c>
      <c r="B1576" s="128"/>
      <c r="C1576" s="129"/>
      <c r="D1576" s="129" t="s">
        <v>870</v>
      </c>
      <c r="E1576" s="130" t="s">
        <v>1460</v>
      </c>
      <c r="F1576" s="131"/>
      <c r="G1576" s="132"/>
    </row>
    <row r="1577" customHeight="1" spans="1:7">
      <c r="A1577" s="133" t="s">
        <v>507</v>
      </c>
      <c r="B1577" s="134"/>
      <c r="C1577" s="135" t="s">
        <v>1461</v>
      </c>
      <c r="D1577" s="136"/>
      <c r="E1577" s="137"/>
      <c r="F1577" s="61" t="s">
        <v>873</v>
      </c>
      <c r="G1577" s="138" t="s">
        <v>874</v>
      </c>
    </row>
    <row r="1578" customHeight="1" spans="1:7">
      <c r="A1578" s="139" t="s">
        <v>875</v>
      </c>
      <c r="B1578" s="136"/>
      <c r="C1578" s="136"/>
      <c r="D1578" s="136"/>
      <c r="E1578" s="136"/>
      <c r="F1578" s="136"/>
      <c r="G1578" s="140"/>
    </row>
    <row r="1579" ht="26.25" customHeight="1" spans="1:7">
      <c r="A1579" s="141" t="s">
        <v>1457</v>
      </c>
      <c r="B1579" s="142"/>
      <c r="C1579" s="142"/>
      <c r="D1579" s="142"/>
      <c r="E1579" s="142"/>
      <c r="F1579" s="142"/>
      <c r="G1579" s="143"/>
    </row>
    <row r="1580" customHeight="1" spans="1:7">
      <c r="A1580" s="144" t="s">
        <v>34</v>
      </c>
      <c r="B1580" s="61" t="s">
        <v>761</v>
      </c>
      <c r="C1580" s="61"/>
      <c r="D1580" s="61" t="s">
        <v>60</v>
      </c>
      <c r="E1580" s="147" t="s">
        <v>877</v>
      </c>
      <c r="F1580" s="61" t="s">
        <v>878</v>
      </c>
      <c r="G1580" s="138" t="s">
        <v>879</v>
      </c>
    </row>
    <row r="1581" customHeight="1" spans="1:7">
      <c r="A1581" s="144" t="s">
        <v>8</v>
      </c>
      <c r="B1581" s="153" t="s">
        <v>880</v>
      </c>
      <c r="C1581" s="153"/>
      <c r="D1581" s="61"/>
      <c r="E1581" s="147"/>
      <c r="F1581" s="147"/>
      <c r="G1581" s="150">
        <f>G1582+G1594</f>
        <v>22477.9003254223</v>
      </c>
    </row>
    <row r="1582" customHeight="1" spans="1:7">
      <c r="A1582" s="144" t="s">
        <v>881</v>
      </c>
      <c r="B1582" s="153" t="s">
        <v>882</v>
      </c>
      <c r="C1582" s="153"/>
      <c r="D1582" s="61"/>
      <c r="E1582" s="147"/>
      <c r="F1582" s="147"/>
      <c r="G1582" s="150">
        <f>G1583+G1586+G1590</f>
        <v>21448.3781731129</v>
      </c>
    </row>
    <row r="1583" customHeight="1" spans="1:7">
      <c r="A1583" s="144" t="s">
        <v>17</v>
      </c>
      <c r="B1583" s="153" t="s">
        <v>510</v>
      </c>
      <c r="C1583" s="153"/>
      <c r="D1583" s="61"/>
      <c r="E1583" s="147"/>
      <c r="F1583" s="147"/>
      <c r="G1583" s="150">
        <f>SUM(G1584:G1585)</f>
        <v>10179.665</v>
      </c>
    </row>
    <row r="1584" customHeight="1" spans="1:7">
      <c r="A1584" s="144"/>
      <c r="B1584" s="153" t="s">
        <v>704</v>
      </c>
      <c r="C1584" s="153"/>
      <c r="D1584" s="61" t="s">
        <v>705</v>
      </c>
      <c r="E1584" s="147">
        <v>472.1</v>
      </c>
      <c r="F1584" s="147">
        <f>主要材料预算!$D$19</f>
        <v>8.1</v>
      </c>
      <c r="G1584" s="150">
        <f t="shared" ref="G1584:G1589" si="132">E1584*F1584</f>
        <v>3824.01</v>
      </c>
    </row>
    <row r="1585" customHeight="1" spans="1:7">
      <c r="A1585" s="144"/>
      <c r="B1585" s="153" t="s">
        <v>706</v>
      </c>
      <c r="C1585" s="153"/>
      <c r="D1585" s="61" t="s">
        <v>705</v>
      </c>
      <c r="E1585" s="151">
        <v>1101.5</v>
      </c>
      <c r="F1585" s="147">
        <f>主要材料预算!$D$20</f>
        <v>5.77</v>
      </c>
      <c r="G1585" s="150">
        <f t="shared" si="132"/>
        <v>6355.655</v>
      </c>
    </row>
    <row r="1586" customHeight="1" spans="1:7">
      <c r="A1586" s="144" t="s">
        <v>19</v>
      </c>
      <c r="B1586" s="148" t="s">
        <v>511</v>
      </c>
      <c r="C1586" s="149"/>
      <c r="D1586" s="61"/>
      <c r="E1586" s="147"/>
      <c r="F1586" s="147"/>
      <c r="G1586" s="150">
        <f>SUM(G1587:G1589)</f>
        <v>1618.031592</v>
      </c>
    </row>
    <row r="1587" customHeight="1" spans="1:7">
      <c r="A1587" s="144"/>
      <c r="B1587" s="148" t="s">
        <v>921</v>
      </c>
      <c r="C1587" s="149"/>
      <c r="D1587" s="61" t="s">
        <v>70</v>
      </c>
      <c r="E1587" s="147">
        <v>7.6</v>
      </c>
      <c r="F1587" s="147">
        <f>混凝土单价计算表!$M$8</f>
        <v>176.454345</v>
      </c>
      <c r="G1587" s="150">
        <f t="shared" si="132"/>
        <v>1341.053022</v>
      </c>
    </row>
    <row r="1588" customHeight="1" spans="1:7">
      <c r="A1588" s="144"/>
      <c r="B1588" s="148" t="s">
        <v>1462</v>
      </c>
      <c r="C1588" s="149"/>
      <c r="D1588" s="61" t="s">
        <v>70</v>
      </c>
      <c r="E1588" s="147">
        <v>96.9</v>
      </c>
      <c r="F1588" s="147"/>
      <c r="G1588" s="150">
        <f t="shared" si="132"/>
        <v>0</v>
      </c>
    </row>
    <row r="1589" customHeight="1" spans="1:7">
      <c r="A1589" s="144"/>
      <c r="B1589" s="148" t="s">
        <v>1002</v>
      </c>
      <c r="C1589" s="149"/>
      <c r="D1589" s="61" t="s">
        <v>70</v>
      </c>
      <c r="E1589" s="147">
        <v>2.2</v>
      </c>
      <c r="F1589" s="147">
        <f>混凝土单价计算表!$M$12</f>
        <v>125.89935</v>
      </c>
      <c r="G1589" s="150">
        <f t="shared" si="132"/>
        <v>276.97857</v>
      </c>
    </row>
    <row r="1590" customHeight="1" spans="1:7">
      <c r="A1590" s="144" t="s">
        <v>21</v>
      </c>
      <c r="B1590" s="153" t="s">
        <v>895</v>
      </c>
      <c r="C1590" s="153"/>
      <c r="D1590" s="153"/>
      <c r="E1590" s="147"/>
      <c r="F1590" s="147"/>
      <c r="G1590" s="150">
        <f>SUM(G1591:G1593)</f>
        <v>9650.68158111288</v>
      </c>
    </row>
    <row r="1591" customHeight="1" spans="1:7">
      <c r="A1591" s="144"/>
      <c r="B1591" s="153" t="s">
        <v>1423</v>
      </c>
      <c r="C1591" s="153"/>
      <c r="D1591" s="61" t="s">
        <v>896</v>
      </c>
      <c r="E1591" s="147">
        <v>251.16</v>
      </c>
      <c r="F1591" s="147">
        <f>施工机械台时费!$E$21</f>
        <v>37.4199521340247</v>
      </c>
      <c r="G1591" s="150">
        <f t="shared" ref="G1591:G1596" si="133">E1591*F1591</f>
        <v>9398.39517798165</v>
      </c>
    </row>
    <row r="1592" customHeight="1" spans="1:7">
      <c r="A1592" s="144"/>
      <c r="B1592" s="153" t="s">
        <v>1440</v>
      </c>
      <c r="C1592" s="153"/>
      <c r="D1592" s="61" t="s">
        <v>896</v>
      </c>
      <c r="E1592" s="147">
        <v>9.33</v>
      </c>
      <c r="F1592" s="147">
        <f>施工机械台时费!$E$35</f>
        <v>17.1951356202633</v>
      </c>
      <c r="G1592" s="150">
        <f t="shared" si="133"/>
        <v>160.430615337056</v>
      </c>
    </row>
    <row r="1593" customHeight="1" spans="1:7">
      <c r="A1593" s="144"/>
      <c r="B1593" s="153" t="s">
        <v>901</v>
      </c>
      <c r="C1593" s="153"/>
      <c r="D1593" s="61" t="s">
        <v>896</v>
      </c>
      <c r="E1593" s="147">
        <v>112.95</v>
      </c>
      <c r="F1593" s="147">
        <f>施工机械台时费!$E$36</f>
        <v>0.813242919824491</v>
      </c>
      <c r="G1593" s="150">
        <f t="shared" si="133"/>
        <v>91.8557877941763</v>
      </c>
    </row>
    <row r="1594" customHeight="1" spans="1:7">
      <c r="A1594" s="144" t="s">
        <v>905</v>
      </c>
      <c r="B1594" s="153" t="s">
        <v>514</v>
      </c>
      <c r="C1594" s="153"/>
      <c r="D1594" s="61"/>
      <c r="E1594" s="154">
        <f>G1582</f>
        <v>21448.3781731129</v>
      </c>
      <c r="F1594" s="155">
        <f>费率表!$F$4</f>
        <v>0.048</v>
      </c>
      <c r="G1594" s="150">
        <f t="shared" si="133"/>
        <v>1029.52215230942</v>
      </c>
    </row>
    <row r="1595" customHeight="1" spans="1:7">
      <c r="A1595" s="144" t="s">
        <v>10</v>
      </c>
      <c r="B1595" s="153" t="s">
        <v>770</v>
      </c>
      <c r="C1595" s="153"/>
      <c r="D1595" s="61"/>
      <c r="E1595" s="147">
        <f>G1581</f>
        <v>22477.9003254223</v>
      </c>
      <c r="F1595" s="156">
        <f>费率表!$F$5</f>
        <v>0.085</v>
      </c>
      <c r="G1595" s="150">
        <f t="shared" si="133"/>
        <v>1910.6215276609</v>
      </c>
    </row>
    <row r="1596" customHeight="1" spans="1:7">
      <c r="A1596" s="144" t="s">
        <v>12</v>
      </c>
      <c r="B1596" s="153" t="s">
        <v>771</v>
      </c>
      <c r="C1596" s="153"/>
      <c r="D1596" s="61"/>
      <c r="E1596" s="147">
        <f>G1581+G1595</f>
        <v>24388.5218530832</v>
      </c>
      <c r="F1596" s="156">
        <f>费率表!$F$6</f>
        <v>0.07</v>
      </c>
      <c r="G1596" s="150">
        <f t="shared" si="133"/>
        <v>1707.19652971582</v>
      </c>
    </row>
    <row r="1597" customHeight="1" spans="1:7">
      <c r="A1597" s="144" t="s">
        <v>15</v>
      </c>
      <c r="B1597" s="148" t="s">
        <v>517</v>
      </c>
      <c r="C1597" s="149"/>
      <c r="D1597" s="61"/>
      <c r="E1597" s="147"/>
      <c r="F1597" s="157"/>
      <c r="G1597" s="150">
        <f>SUM(G1598:G1600)</f>
        <v>712.503697826157</v>
      </c>
    </row>
    <row r="1598" customHeight="1" spans="1:7">
      <c r="A1598" s="144"/>
      <c r="B1598" s="148" t="s">
        <v>729</v>
      </c>
      <c r="C1598" s="149"/>
      <c r="D1598" s="61" t="s">
        <v>70</v>
      </c>
      <c r="E1598" s="147">
        <f>E1587*混凝土单价计算表!$E$8+混凝土单价计算表!$E$12*设备维修养护!E1589</f>
        <v>2.7339092</v>
      </c>
      <c r="F1598" s="147">
        <f>主要材料预算!$N$5</f>
        <v>139.17214</v>
      </c>
      <c r="G1598" s="150">
        <f t="shared" ref="G1598:G1602" si="134">E1598*F1598</f>
        <v>380.483993929688</v>
      </c>
    </row>
    <row r="1599" customHeight="1" spans="1:7">
      <c r="A1599" s="144"/>
      <c r="B1599" s="148" t="s">
        <v>684</v>
      </c>
      <c r="C1599" s="149"/>
      <c r="D1599" s="61" t="s">
        <v>70</v>
      </c>
      <c r="E1599" s="147">
        <f>E1587*混凝土单价计算表!$G$7+混凝土单价计算表!$G$12*设备维修养护!E1589</f>
        <v>6.664328</v>
      </c>
      <c r="F1599" s="147">
        <f>主要材料预算!$N$7</f>
        <v>37.09111</v>
      </c>
      <c r="G1599" s="150">
        <f t="shared" si="134"/>
        <v>247.18732292408</v>
      </c>
    </row>
    <row r="1600" customHeight="1" spans="1:7">
      <c r="A1600" s="144"/>
      <c r="B1600" s="148" t="s">
        <v>694</v>
      </c>
      <c r="C1600" s="149"/>
      <c r="D1600" s="61" t="s">
        <v>695</v>
      </c>
      <c r="E1600" s="147">
        <f>E1592*施工机械台时费!$L$35</f>
        <v>13.995</v>
      </c>
      <c r="F1600" s="147">
        <f>主要材料预算!$N$13</f>
        <v>6.0616206482593</v>
      </c>
      <c r="G1600" s="150">
        <f t="shared" si="134"/>
        <v>84.8323809723889</v>
      </c>
    </row>
    <row r="1601" customHeight="1" spans="1:7">
      <c r="A1601" s="144" t="s">
        <v>906</v>
      </c>
      <c r="B1601" s="153" t="s">
        <v>772</v>
      </c>
      <c r="C1601" s="153"/>
      <c r="D1601" s="61"/>
      <c r="E1601" s="147">
        <f>G1581+G1595+G1596+G1597</f>
        <v>26808.2220806252</v>
      </c>
      <c r="F1601" s="156">
        <f>费率表!$F$7</f>
        <v>0.09</v>
      </c>
      <c r="G1601" s="150">
        <f t="shared" si="134"/>
        <v>2412.73998725627</v>
      </c>
    </row>
    <row r="1602" customHeight="1" spans="1:7">
      <c r="A1602" s="144"/>
      <c r="B1602" s="153" t="s">
        <v>907</v>
      </c>
      <c r="C1602" s="153"/>
      <c r="D1602" s="61"/>
      <c r="E1602" s="147">
        <f>G1581+G1595+G1596+G1597+G1601</f>
        <v>29220.9620678814</v>
      </c>
      <c r="F1602" s="156">
        <f>费率表!$B$19</f>
        <v>0.03</v>
      </c>
      <c r="G1602" s="150">
        <f t="shared" si="134"/>
        <v>876.628862036443</v>
      </c>
    </row>
    <row r="1603" customHeight="1" spans="1:7">
      <c r="A1603" s="158"/>
      <c r="B1603" s="161" t="s">
        <v>39</v>
      </c>
      <c r="C1603" s="161"/>
      <c r="D1603" s="161"/>
      <c r="E1603" s="162"/>
      <c r="F1603" s="161"/>
      <c r="G1603" s="163">
        <f>G1581+G1595+G1596+G1597+G1601+G1602</f>
        <v>30097.5909299179</v>
      </c>
    </row>
    <row r="1605" customHeight="1" spans="1:7">
      <c r="A1605" s="126" t="s">
        <v>868</v>
      </c>
      <c r="B1605" s="126"/>
      <c r="C1605" s="126"/>
      <c r="D1605" s="126"/>
      <c r="E1605" s="126"/>
      <c r="F1605" s="126"/>
      <c r="G1605" s="126"/>
    </row>
    <row r="1606" customHeight="1" spans="1:7">
      <c r="A1606" s="127" t="s">
        <v>869</v>
      </c>
      <c r="B1606" s="128"/>
      <c r="C1606" s="129"/>
      <c r="D1606" s="129" t="s">
        <v>870</v>
      </c>
      <c r="E1606" s="130" t="s">
        <v>1463</v>
      </c>
      <c r="F1606" s="131"/>
      <c r="G1606" s="132"/>
    </row>
    <row r="1607" customHeight="1" spans="1:7">
      <c r="A1607" s="133" t="s">
        <v>507</v>
      </c>
      <c r="B1607" s="134"/>
      <c r="C1607" s="135" t="s">
        <v>1464</v>
      </c>
      <c r="D1607" s="136"/>
      <c r="E1607" s="137"/>
      <c r="F1607" s="61" t="s">
        <v>873</v>
      </c>
      <c r="G1607" s="138" t="s">
        <v>1146</v>
      </c>
    </row>
    <row r="1608" customHeight="1" spans="1:7">
      <c r="A1608" s="139" t="s">
        <v>875</v>
      </c>
      <c r="B1608" s="136"/>
      <c r="C1608" s="136"/>
      <c r="D1608" s="136"/>
      <c r="E1608" s="136"/>
      <c r="F1608" s="136"/>
      <c r="G1608" s="140"/>
    </row>
    <row r="1609" ht="26.25" customHeight="1" spans="1:7">
      <c r="A1609" s="141" t="s">
        <v>1465</v>
      </c>
      <c r="B1609" s="142"/>
      <c r="C1609" s="142"/>
      <c r="D1609" s="142"/>
      <c r="E1609" s="142"/>
      <c r="F1609" s="142"/>
      <c r="G1609" s="143"/>
    </row>
    <row r="1610" customHeight="1" spans="1:7">
      <c r="A1610" s="144" t="s">
        <v>34</v>
      </c>
      <c r="B1610" s="61" t="s">
        <v>761</v>
      </c>
      <c r="C1610" s="61"/>
      <c r="D1610" s="61" t="s">
        <v>60</v>
      </c>
      <c r="E1610" s="147" t="s">
        <v>877</v>
      </c>
      <c r="F1610" s="61" t="s">
        <v>878</v>
      </c>
      <c r="G1610" s="138" t="s">
        <v>879</v>
      </c>
    </row>
    <row r="1611" customHeight="1" spans="1:7">
      <c r="A1611" s="144" t="s">
        <v>8</v>
      </c>
      <c r="B1611" s="153" t="s">
        <v>880</v>
      </c>
      <c r="C1611" s="153"/>
      <c r="D1611" s="61"/>
      <c r="E1611" s="147"/>
      <c r="F1611" s="147"/>
      <c r="G1611" s="150">
        <f>G1612+G1622</f>
        <v>106.650513336</v>
      </c>
    </row>
    <row r="1612" customHeight="1" spans="1:7">
      <c r="A1612" s="144" t="s">
        <v>881</v>
      </c>
      <c r="B1612" s="153" t="s">
        <v>882</v>
      </c>
      <c r="C1612" s="153"/>
      <c r="D1612" s="61"/>
      <c r="E1612" s="147"/>
      <c r="F1612" s="147"/>
      <c r="G1612" s="150">
        <f>G1613+G1616+G1620</f>
        <v>101.765757</v>
      </c>
    </row>
    <row r="1613" customHeight="1" spans="1:7">
      <c r="A1613" s="144" t="s">
        <v>17</v>
      </c>
      <c r="B1613" s="153" t="s">
        <v>510</v>
      </c>
      <c r="C1613" s="153"/>
      <c r="D1613" s="61"/>
      <c r="E1613" s="147"/>
      <c r="F1613" s="147"/>
      <c r="G1613" s="150">
        <f>SUM(G1614:G1615)</f>
        <v>75.087</v>
      </c>
    </row>
    <row r="1614" customHeight="1" spans="1:7">
      <c r="A1614" s="144"/>
      <c r="B1614" s="153" t="s">
        <v>704</v>
      </c>
      <c r="C1614" s="153"/>
      <c r="D1614" s="61" t="s">
        <v>705</v>
      </c>
      <c r="E1614" s="147">
        <v>3.5</v>
      </c>
      <c r="F1614" s="147">
        <f>主要材料预算!$D$19</f>
        <v>8.1</v>
      </c>
      <c r="G1614" s="150">
        <f t="shared" ref="G1614:G1619" si="135">E1614*F1614</f>
        <v>28.35</v>
      </c>
    </row>
    <row r="1615" customHeight="1" spans="1:7">
      <c r="A1615" s="144"/>
      <c r="B1615" s="153" t="s">
        <v>706</v>
      </c>
      <c r="C1615" s="153"/>
      <c r="D1615" s="61" t="s">
        <v>705</v>
      </c>
      <c r="E1615" s="151">
        <v>8.1</v>
      </c>
      <c r="F1615" s="147">
        <f>主要材料预算!$D$20</f>
        <v>5.77</v>
      </c>
      <c r="G1615" s="150">
        <f t="shared" si="135"/>
        <v>46.737</v>
      </c>
    </row>
    <row r="1616" customHeight="1" spans="1:7">
      <c r="A1616" s="144" t="s">
        <v>19</v>
      </c>
      <c r="B1616" s="148" t="s">
        <v>511</v>
      </c>
      <c r="C1616" s="149"/>
      <c r="D1616" s="61"/>
      <c r="E1616" s="147"/>
      <c r="F1616" s="147"/>
      <c r="G1616" s="150">
        <f>SUM(G1617:G1619)</f>
        <v>26.678757</v>
      </c>
    </row>
    <row r="1617" customHeight="1" spans="1:7">
      <c r="A1617" s="144"/>
      <c r="B1617" s="148" t="s">
        <v>1466</v>
      </c>
      <c r="C1617" s="149"/>
      <c r="D1617" s="61" t="s">
        <v>70</v>
      </c>
      <c r="E1617" s="147">
        <v>0.02</v>
      </c>
      <c r="F1617" s="147">
        <f>混凝土单价计算表!M14</f>
        <v>144.64595</v>
      </c>
      <c r="G1617" s="150">
        <f t="shared" si="135"/>
        <v>2.892919</v>
      </c>
    </row>
    <row r="1618" customHeight="1" spans="1:7">
      <c r="A1618" s="144"/>
      <c r="B1618" s="148" t="s">
        <v>1395</v>
      </c>
      <c r="C1618" s="149"/>
      <c r="D1618" s="61" t="s">
        <v>1396</v>
      </c>
      <c r="E1618" s="147">
        <v>2</v>
      </c>
      <c r="F1618" s="147">
        <f>基础材料!D17</f>
        <v>3</v>
      </c>
      <c r="G1618" s="150">
        <f t="shared" si="135"/>
        <v>6</v>
      </c>
    </row>
    <row r="1619" customHeight="1" spans="1:7">
      <c r="A1619" s="144"/>
      <c r="B1619" s="148" t="s">
        <v>893</v>
      </c>
      <c r="C1619" s="149"/>
      <c r="D1619" s="61" t="s">
        <v>70</v>
      </c>
      <c r="E1619" s="147">
        <v>2</v>
      </c>
      <c r="F1619" s="147">
        <f>G1617+G1618</f>
        <v>8.892919</v>
      </c>
      <c r="G1619" s="150">
        <f t="shared" si="135"/>
        <v>17.785838</v>
      </c>
    </row>
    <row r="1620" customHeight="1" spans="1:7">
      <c r="A1620" s="144" t="s">
        <v>21</v>
      </c>
      <c r="B1620" s="153" t="s">
        <v>895</v>
      </c>
      <c r="C1620" s="153"/>
      <c r="D1620" s="153"/>
      <c r="E1620" s="147"/>
      <c r="F1620" s="147"/>
      <c r="G1620" s="150">
        <f>SUM(G1621:G1621)</f>
        <v>0</v>
      </c>
    </row>
    <row r="1621" customHeight="1" spans="1:7">
      <c r="A1621" s="144"/>
      <c r="B1621" s="148" t="s">
        <v>1467</v>
      </c>
      <c r="C1621" s="149"/>
      <c r="D1621" s="61" t="s">
        <v>896</v>
      </c>
      <c r="E1621" s="147"/>
      <c r="F1621" s="147"/>
      <c r="G1621" s="150">
        <f t="shared" ref="G1621:G1624" si="136">E1621*F1621</f>
        <v>0</v>
      </c>
    </row>
    <row r="1622" customHeight="1" spans="1:7">
      <c r="A1622" s="144" t="s">
        <v>905</v>
      </c>
      <c r="B1622" s="153" t="s">
        <v>514</v>
      </c>
      <c r="C1622" s="153"/>
      <c r="D1622" s="61"/>
      <c r="E1622" s="154">
        <f>G1612</f>
        <v>101.765757</v>
      </c>
      <c r="F1622" s="155">
        <f>费率表!$F$4</f>
        <v>0.048</v>
      </c>
      <c r="G1622" s="150">
        <f t="shared" si="136"/>
        <v>4.884756336</v>
      </c>
    </row>
    <row r="1623" customHeight="1" spans="1:7">
      <c r="A1623" s="144" t="s">
        <v>10</v>
      </c>
      <c r="B1623" s="153" t="s">
        <v>770</v>
      </c>
      <c r="C1623" s="153"/>
      <c r="D1623" s="61"/>
      <c r="E1623" s="147">
        <f>G1611</f>
        <v>106.650513336</v>
      </c>
      <c r="F1623" s="156">
        <f>费率表!$F$5</f>
        <v>0.085</v>
      </c>
      <c r="G1623" s="150">
        <f t="shared" si="136"/>
        <v>9.06529363356</v>
      </c>
    </row>
    <row r="1624" customHeight="1" spans="1:7">
      <c r="A1624" s="144" t="s">
        <v>12</v>
      </c>
      <c r="B1624" s="153" t="s">
        <v>771</v>
      </c>
      <c r="C1624" s="153"/>
      <c r="D1624" s="61"/>
      <c r="E1624" s="147">
        <f>G1611+G1623</f>
        <v>115.71580696956</v>
      </c>
      <c r="F1624" s="156">
        <f>费率表!$F$6</f>
        <v>0.07</v>
      </c>
      <c r="G1624" s="150">
        <f t="shared" si="136"/>
        <v>8.1001064878692</v>
      </c>
    </row>
    <row r="1625" customHeight="1" spans="1:7">
      <c r="A1625" s="144" t="s">
        <v>15</v>
      </c>
      <c r="B1625" s="148" t="s">
        <v>517</v>
      </c>
      <c r="C1625" s="149"/>
      <c r="D1625" s="61"/>
      <c r="E1625" s="147"/>
      <c r="F1625" s="157"/>
      <c r="G1625" s="150">
        <f>SUM(G1626:G1627)</f>
        <v>1.54610146644</v>
      </c>
    </row>
    <row r="1626" customHeight="1" spans="1:7">
      <c r="A1626" s="144"/>
      <c r="B1626" s="148" t="s">
        <v>729</v>
      </c>
      <c r="C1626" s="149"/>
      <c r="D1626" s="61" t="s">
        <v>70</v>
      </c>
      <c r="E1626" s="147">
        <f>E1617*混凝土单价计算表!E14</f>
        <v>0.005246</v>
      </c>
      <c r="F1626" s="147">
        <f>主要材料预算!$N$5</f>
        <v>139.17214</v>
      </c>
      <c r="G1626" s="150">
        <f t="shared" ref="G1626:G1629" si="137">E1626*F1626</f>
        <v>0.73009704644</v>
      </c>
    </row>
    <row r="1627" customHeight="1" spans="1:7">
      <c r="A1627" s="144"/>
      <c r="B1627" s="148" t="s">
        <v>684</v>
      </c>
      <c r="C1627" s="149"/>
      <c r="D1627" s="61" t="s">
        <v>70</v>
      </c>
      <c r="E1627" s="147">
        <f>E1617*混凝土单价计算表!G14</f>
        <v>0.022</v>
      </c>
      <c r="F1627" s="147">
        <f>主要材料预算!$N$7</f>
        <v>37.09111</v>
      </c>
      <c r="G1627" s="150">
        <f t="shared" si="137"/>
        <v>0.81600442</v>
      </c>
    </row>
    <row r="1628" customHeight="1" spans="1:7">
      <c r="A1628" s="144" t="s">
        <v>906</v>
      </c>
      <c r="B1628" s="153" t="s">
        <v>772</v>
      </c>
      <c r="C1628" s="153"/>
      <c r="D1628" s="61"/>
      <c r="E1628" s="147">
        <f>G1611+G1623+G1624+G1625</f>
        <v>125.362014923869</v>
      </c>
      <c r="F1628" s="156">
        <f>费率表!$F$7</f>
        <v>0.09</v>
      </c>
      <c r="G1628" s="150">
        <f t="shared" si="137"/>
        <v>11.2825813431482</v>
      </c>
    </row>
    <row r="1629" customHeight="1" spans="1:7">
      <c r="A1629" s="144"/>
      <c r="B1629" s="153" t="s">
        <v>907</v>
      </c>
      <c r="C1629" s="153"/>
      <c r="D1629" s="61"/>
      <c r="E1629" s="147">
        <f>G1611+G1623+G1624+G1625+G1628</f>
        <v>136.644596267017</v>
      </c>
      <c r="F1629" s="156">
        <f>费率表!$B$19</f>
        <v>0.03</v>
      </c>
      <c r="G1629" s="150">
        <f t="shared" si="137"/>
        <v>4.09933788801052</v>
      </c>
    </row>
    <row r="1630" customHeight="1" spans="1:7">
      <c r="A1630" s="158"/>
      <c r="B1630" s="161" t="s">
        <v>39</v>
      </c>
      <c r="C1630" s="161"/>
      <c r="D1630" s="161"/>
      <c r="E1630" s="162"/>
      <c r="F1630" s="161"/>
      <c r="G1630" s="163">
        <f>G1611+G1623+G1624+G1625+G1628+G1629</f>
        <v>140.743934155028</v>
      </c>
    </row>
    <row r="1632" customHeight="1" spans="1:7">
      <c r="A1632" s="126" t="s">
        <v>868</v>
      </c>
      <c r="B1632" s="126"/>
      <c r="C1632" s="126"/>
      <c r="D1632" s="126"/>
      <c r="E1632" s="126"/>
      <c r="F1632" s="126"/>
      <c r="G1632" s="126"/>
    </row>
    <row r="1633" customHeight="1" spans="1:7">
      <c r="A1633" s="127" t="s">
        <v>869</v>
      </c>
      <c r="B1633" s="128"/>
      <c r="C1633" s="129"/>
      <c r="D1633" s="129" t="s">
        <v>870</v>
      </c>
      <c r="E1633" s="130" t="s">
        <v>1468</v>
      </c>
      <c r="F1633" s="131"/>
      <c r="G1633" s="132"/>
    </row>
    <row r="1634" customHeight="1" spans="1:7">
      <c r="A1634" s="133" t="s">
        <v>507</v>
      </c>
      <c r="B1634" s="134"/>
      <c r="C1634" s="135" t="s">
        <v>1469</v>
      </c>
      <c r="D1634" s="136"/>
      <c r="E1634" s="137"/>
      <c r="F1634" s="61" t="s">
        <v>873</v>
      </c>
      <c r="G1634" s="138" t="s">
        <v>67</v>
      </c>
    </row>
    <row r="1635" customHeight="1" spans="1:7">
      <c r="A1635" s="139" t="s">
        <v>1470</v>
      </c>
      <c r="B1635" s="136"/>
      <c r="C1635" s="136"/>
      <c r="D1635" s="136"/>
      <c r="E1635" s="136"/>
      <c r="F1635" s="136"/>
      <c r="G1635" s="140"/>
    </row>
    <row r="1636" customHeight="1" spans="1:7">
      <c r="A1636" s="141" t="s">
        <v>1471</v>
      </c>
      <c r="B1636" s="142"/>
      <c r="C1636" s="142"/>
      <c r="D1636" s="142"/>
      <c r="E1636" s="142"/>
      <c r="F1636" s="142"/>
      <c r="G1636" s="143"/>
    </row>
    <row r="1637" customHeight="1" spans="1:7">
      <c r="A1637" s="144" t="s">
        <v>34</v>
      </c>
      <c r="B1637" s="61" t="s">
        <v>761</v>
      </c>
      <c r="C1637" s="61"/>
      <c r="D1637" s="61" t="s">
        <v>60</v>
      </c>
      <c r="E1637" s="147" t="s">
        <v>877</v>
      </c>
      <c r="F1637" s="61" t="s">
        <v>878</v>
      </c>
      <c r="G1637" s="138" t="s">
        <v>879</v>
      </c>
    </row>
    <row r="1638" customHeight="1" spans="1:7">
      <c r="A1638" s="144" t="s">
        <v>8</v>
      </c>
      <c r="B1638" s="153" t="s">
        <v>880</v>
      </c>
      <c r="C1638" s="153"/>
      <c r="D1638" s="61"/>
      <c r="E1638" s="147"/>
      <c r="F1638" s="147"/>
      <c r="G1638" s="150">
        <f>G1639+G1660</f>
        <v>1347.9224579396</v>
      </c>
    </row>
    <row r="1639" customHeight="1" spans="1:7">
      <c r="A1639" s="144" t="s">
        <v>881</v>
      </c>
      <c r="B1639" s="153" t="s">
        <v>882</v>
      </c>
      <c r="C1639" s="153"/>
      <c r="D1639" s="61"/>
      <c r="E1639" s="147"/>
      <c r="F1639" s="147"/>
      <c r="G1639" s="150">
        <f>G1640+G1643+G1655</f>
        <v>1286.18555146909</v>
      </c>
    </row>
    <row r="1640" customHeight="1" spans="1:7">
      <c r="A1640" s="144" t="s">
        <v>17</v>
      </c>
      <c r="B1640" s="153" t="s">
        <v>510</v>
      </c>
      <c r="C1640" s="153"/>
      <c r="D1640" s="61"/>
      <c r="E1640" s="147"/>
      <c r="F1640" s="147"/>
      <c r="G1640" s="150">
        <f>SUM(G1641:G1642)</f>
        <v>155.833</v>
      </c>
    </row>
    <row r="1641" customHeight="1" spans="1:7">
      <c r="A1641" s="144"/>
      <c r="B1641" s="153" t="s">
        <v>704</v>
      </c>
      <c r="C1641" s="153"/>
      <c r="D1641" s="61" t="s">
        <v>705</v>
      </c>
      <c r="E1641" s="147">
        <v>7.2</v>
      </c>
      <c r="F1641" s="147">
        <f>主要材料预算!$D$19</f>
        <v>8.1</v>
      </c>
      <c r="G1641" s="150">
        <f t="shared" ref="G1641:G1644" si="138">E1641*F1641</f>
        <v>58.32</v>
      </c>
    </row>
    <row r="1642" customHeight="1" spans="1:7">
      <c r="A1642" s="144"/>
      <c r="B1642" s="153" t="s">
        <v>706</v>
      </c>
      <c r="C1642" s="153"/>
      <c r="D1642" s="61" t="s">
        <v>705</v>
      </c>
      <c r="E1642" s="151">
        <v>16.9</v>
      </c>
      <c r="F1642" s="147">
        <f>主要材料预算!$D$20</f>
        <v>5.77</v>
      </c>
      <c r="G1642" s="150">
        <f t="shared" si="138"/>
        <v>97.513</v>
      </c>
    </row>
    <row r="1643" customHeight="1" spans="1:7">
      <c r="A1643" s="144" t="s">
        <v>19</v>
      </c>
      <c r="B1643" s="148" t="s">
        <v>511</v>
      </c>
      <c r="C1643" s="149"/>
      <c r="D1643" s="61"/>
      <c r="E1643" s="147"/>
      <c r="F1643" s="147"/>
      <c r="G1643" s="150">
        <f>SUM(G1644:G1654)</f>
        <v>1075.874624</v>
      </c>
    </row>
    <row r="1644" customHeight="1" spans="1:7">
      <c r="A1644" s="144"/>
      <c r="B1644" s="148" t="s">
        <v>1472</v>
      </c>
      <c r="C1644" s="149"/>
      <c r="D1644" s="61" t="s">
        <v>1142</v>
      </c>
      <c r="E1644" s="147">
        <v>1.18</v>
      </c>
      <c r="F1644" s="147">
        <f>基础材料!$D$18</f>
        <v>31</v>
      </c>
      <c r="G1644" s="150">
        <f t="shared" si="138"/>
        <v>36.58</v>
      </c>
    </row>
    <row r="1645" customHeight="1" spans="1:7">
      <c r="A1645" s="144"/>
      <c r="B1645" s="148" t="s">
        <v>1473</v>
      </c>
      <c r="C1645" s="149"/>
      <c r="D1645" s="61" t="s">
        <v>1142</v>
      </c>
      <c r="E1645" s="147">
        <v>0.4732</v>
      </c>
      <c r="F1645" s="147">
        <f>基础材料!$D$19</f>
        <v>8.5</v>
      </c>
      <c r="G1645" s="150">
        <f t="shared" ref="G1645:G1654" si="139">E1645*F1645</f>
        <v>4.0222</v>
      </c>
    </row>
    <row r="1646" customHeight="1" spans="1:7">
      <c r="A1646" s="144"/>
      <c r="B1646" s="180" t="s">
        <v>1474</v>
      </c>
      <c r="C1646" s="181"/>
      <c r="D1646" s="61" t="s">
        <v>1142</v>
      </c>
      <c r="E1646" s="147">
        <v>0.2557</v>
      </c>
      <c r="F1646" s="147">
        <f>基础材料!$D$20</f>
        <v>23.87</v>
      </c>
      <c r="G1646" s="150">
        <f t="shared" si="139"/>
        <v>6.103559</v>
      </c>
    </row>
    <row r="1647" customHeight="1" spans="1:7">
      <c r="A1647" s="144"/>
      <c r="B1647" s="180" t="s">
        <v>1475</v>
      </c>
      <c r="C1647" s="181"/>
      <c r="D1647" s="61" t="s">
        <v>1142</v>
      </c>
      <c r="E1647" s="147">
        <v>0.1177</v>
      </c>
      <c r="F1647" s="147">
        <f>基础材料!$D$21</f>
        <v>15</v>
      </c>
      <c r="G1647" s="150">
        <f t="shared" si="139"/>
        <v>1.7655</v>
      </c>
    </row>
    <row r="1648" customHeight="1" spans="1:7">
      <c r="A1648" s="144"/>
      <c r="B1648" s="180" t="s">
        <v>1476</v>
      </c>
      <c r="C1648" s="181"/>
      <c r="D1648" s="61" t="s">
        <v>1142</v>
      </c>
      <c r="E1648" s="147">
        <v>0.635</v>
      </c>
      <c r="F1648" s="147">
        <f>基础材料!$D$22</f>
        <v>10</v>
      </c>
      <c r="G1648" s="150">
        <f t="shared" si="139"/>
        <v>6.35</v>
      </c>
    </row>
    <row r="1649" customHeight="1" spans="1:7">
      <c r="A1649" s="144"/>
      <c r="B1649" s="180" t="s">
        <v>1477</v>
      </c>
      <c r="C1649" s="181"/>
      <c r="D1649" s="61" t="s">
        <v>1142</v>
      </c>
      <c r="E1649" s="147">
        <v>0.0615</v>
      </c>
      <c r="F1649" s="147">
        <f>基础材料!$D$23</f>
        <v>8.35</v>
      </c>
      <c r="G1649" s="150">
        <f t="shared" si="139"/>
        <v>0.513525</v>
      </c>
    </row>
    <row r="1650" customHeight="1" spans="1:7">
      <c r="A1650" s="144"/>
      <c r="B1650" s="180" t="s">
        <v>1478</v>
      </c>
      <c r="C1650" s="181"/>
      <c r="D1650" s="61" t="s">
        <v>1146</v>
      </c>
      <c r="E1650" s="147">
        <v>0.6</v>
      </c>
      <c r="F1650" s="147">
        <f>基础材料!$D$24</f>
        <v>1.82</v>
      </c>
      <c r="G1650" s="150">
        <f t="shared" si="139"/>
        <v>1.092</v>
      </c>
    </row>
    <row r="1651" customHeight="1" spans="1:7">
      <c r="A1651" s="144"/>
      <c r="B1651" s="180" t="s">
        <v>1479</v>
      </c>
      <c r="C1651" s="181"/>
      <c r="D1651" s="61" t="s">
        <v>1480</v>
      </c>
      <c r="E1651" s="147">
        <v>0.44</v>
      </c>
      <c r="F1651" s="147">
        <f>基础材料!$D$25</f>
        <v>65</v>
      </c>
      <c r="G1651" s="150">
        <f t="shared" si="139"/>
        <v>28.6</v>
      </c>
    </row>
    <row r="1652" customHeight="1" spans="1:7">
      <c r="A1652" s="144"/>
      <c r="B1652" s="180" t="s">
        <v>1481</v>
      </c>
      <c r="C1652" s="181"/>
      <c r="D1652" s="61" t="s">
        <v>1480</v>
      </c>
      <c r="E1652" s="147">
        <v>0.52</v>
      </c>
      <c r="F1652" s="147">
        <f>基础材料!$D$26</f>
        <v>15</v>
      </c>
      <c r="G1652" s="150">
        <f t="shared" si="139"/>
        <v>7.8</v>
      </c>
    </row>
    <row r="1653" customHeight="1" spans="1:7">
      <c r="A1653" s="144"/>
      <c r="B1653" s="148" t="s">
        <v>730</v>
      </c>
      <c r="C1653" s="149"/>
      <c r="D1653" s="61" t="s">
        <v>70</v>
      </c>
      <c r="E1653" s="147">
        <v>1.2</v>
      </c>
      <c r="F1653" s="147">
        <f>主要材料预算!$D$16</f>
        <v>4.15</v>
      </c>
      <c r="G1653" s="150">
        <f t="shared" si="139"/>
        <v>4.98</v>
      </c>
    </row>
    <row r="1654" customHeight="1" spans="1:7">
      <c r="A1654" s="144"/>
      <c r="B1654" s="148" t="s">
        <v>893</v>
      </c>
      <c r="C1654" s="149"/>
      <c r="D1654" s="61" t="s">
        <v>894</v>
      </c>
      <c r="E1654" s="147">
        <v>10</v>
      </c>
      <c r="F1654" s="147">
        <f>SUM(G1644:G1653)</f>
        <v>97.806784</v>
      </c>
      <c r="G1654" s="150">
        <f t="shared" si="139"/>
        <v>978.06784</v>
      </c>
    </row>
    <row r="1655" customHeight="1" spans="1:7">
      <c r="A1655" s="144" t="s">
        <v>21</v>
      </c>
      <c r="B1655" s="153" t="s">
        <v>895</v>
      </c>
      <c r="C1655" s="153"/>
      <c r="D1655" s="153"/>
      <c r="E1655" s="147"/>
      <c r="F1655" s="147"/>
      <c r="G1655" s="150">
        <f>SUM(G1656:G1659)</f>
        <v>54.4779274690866</v>
      </c>
    </row>
    <row r="1656" customHeight="1" spans="1:7">
      <c r="A1656" s="144"/>
      <c r="B1656" s="190" t="s">
        <v>849</v>
      </c>
      <c r="C1656" s="190"/>
      <c r="D1656" s="61" t="s">
        <v>896</v>
      </c>
      <c r="E1656" s="147">
        <v>0.17</v>
      </c>
      <c r="F1656" s="147">
        <f>施工机械台时费!$E$51</f>
        <v>56.1757120063821</v>
      </c>
      <c r="G1656" s="150">
        <f t="shared" ref="G1656:G1664" si="140">E1656*F1656</f>
        <v>9.54987104108496</v>
      </c>
    </row>
    <row r="1657" customHeight="1" spans="1:7">
      <c r="A1657" s="144"/>
      <c r="B1657" s="191" t="s">
        <v>1482</v>
      </c>
      <c r="C1657" s="192"/>
      <c r="D1657" s="61" t="s">
        <v>896</v>
      </c>
      <c r="E1657" s="147">
        <v>0.76</v>
      </c>
      <c r="F1657" s="147">
        <f>施工机械台时费!E52</f>
        <v>46.8632987634623</v>
      </c>
      <c r="G1657" s="150">
        <f t="shared" si="140"/>
        <v>35.6161070602314</v>
      </c>
    </row>
    <row r="1658" customHeight="1" spans="1:7">
      <c r="A1658" s="144"/>
      <c r="B1658" s="190" t="s">
        <v>1483</v>
      </c>
      <c r="C1658" s="190"/>
      <c r="D1658" s="61" t="s">
        <v>896</v>
      </c>
      <c r="E1658" s="147">
        <v>0.14</v>
      </c>
      <c r="F1658" s="147">
        <f>施工机械台时费!$E$27</f>
        <v>47.9840167530913</v>
      </c>
      <c r="G1658" s="150">
        <f t="shared" si="140"/>
        <v>6.71776234543279</v>
      </c>
    </row>
    <row r="1659" customHeight="1" spans="1:7">
      <c r="A1659" s="144"/>
      <c r="B1659" s="153" t="s">
        <v>902</v>
      </c>
      <c r="C1659" s="153"/>
      <c r="D1659" s="61" t="s">
        <v>894</v>
      </c>
      <c r="E1659" s="147">
        <v>5</v>
      </c>
      <c r="F1659" s="147">
        <f>SUM(G1656:G1658)</f>
        <v>51.8837404467491</v>
      </c>
      <c r="G1659" s="150">
        <f>E1659*F1659/100</f>
        <v>2.59418702233746</v>
      </c>
    </row>
    <row r="1660" customHeight="1" spans="1:7">
      <c r="A1660" s="144" t="s">
        <v>905</v>
      </c>
      <c r="B1660" s="153" t="s">
        <v>514</v>
      </c>
      <c r="C1660" s="153"/>
      <c r="D1660" s="61"/>
      <c r="E1660" s="154">
        <f>G1639</f>
        <v>1286.18555146909</v>
      </c>
      <c r="F1660" s="155">
        <f>费率表!$F$4</f>
        <v>0.048</v>
      </c>
      <c r="G1660" s="150">
        <f t="shared" si="140"/>
        <v>61.7369064705162</v>
      </c>
    </row>
    <row r="1661" customHeight="1" spans="1:7">
      <c r="A1661" s="144" t="s">
        <v>10</v>
      </c>
      <c r="B1661" s="153" t="s">
        <v>770</v>
      </c>
      <c r="C1661" s="153"/>
      <c r="D1661" s="61"/>
      <c r="E1661" s="147">
        <f>G1638</f>
        <v>1347.9224579396</v>
      </c>
      <c r="F1661" s="156">
        <f>费率表!$F$5</f>
        <v>0.085</v>
      </c>
      <c r="G1661" s="150">
        <f t="shared" si="140"/>
        <v>114.573408924866</v>
      </c>
    </row>
    <row r="1662" customHeight="1" spans="1:7">
      <c r="A1662" s="144" t="s">
        <v>12</v>
      </c>
      <c r="B1662" s="153" t="s">
        <v>771</v>
      </c>
      <c r="C1662" s="153"/>
      <c r="D1662" s="61"/>
      <c r="E1662" s="147">
        <f>G1638+G1661</f>
        <v>1462.49586686447</v>
      </c>
      <c r="F1662" s="156">
        <f>费率表!$F$6</f>
        <v>0.07</v>
      </c>
      <c r="G1662" s="150">
        <f t="shared" si="140"/>
        <v>102.374710680513</v>
      </c>
    </row>
    <row r="1663" customHeight="1" spans="1:7">
      <c r="A1663" s="144" t="s">
        <v>15</v>
      </c>
      <c r="B1663" s="153" t="s">
        <v>772</v>
      </c>
      <c r="C1663" s="153"/>
      <c r="D1663" s="61"/>
      <c r="E1663" s="147">
        <f>G1638+G1661+G1662</f>
        <v>1564.87057754498</v>
      </c>
      <c r="F1663" s="156">
        <f>费率表!$F$7</f>
        <v>0.09</v>
      </c>
      <c r="G1663" s="150">
        <f t="shared" si="140"/>
        <v>140.838351979048</v>
      </c>
    </row>
    <row r="1664" customHeight="1" spans="1:7">
      <c r="A1664" s="144"/>
      <c r="B1664" s="153" t="s">
        <v>907</v>
      </c>
      <c r="C1664" s="153"/>
      <c r="D1664" s="61"/>
      <c r="E1664" s="147">
        <f>G1638+G1661+G1662+G1663</f>
        <v>1705.70892952403</v>
      </c>
      <c r="F1664" s="156">
        <f>费率表!$B$19</f>
        <v>0.03</v>
      </c>
      <c r="G1664" s="150">
        <f t="shared" si="140"/>
        <v>51.1712678857209</v>
      </c>
    </row>
    <row r="1665" customHeight="1" spans="1:7">
      <c r="A1665" s="158"/>
      <c r="B1665" s="161" t="s">
        <v>39</v>
      </c>
      <c r="C1665" s="161"/>
      <c r="D1665" s="161"/>
      <c r="E1665" s="162"/>
      <c r="F1665" s="161"/>
      <c r="G1665" s="163">
        <f>G1638+G1661+G1662+G1663+G1664</f>
        <v>1756.88019740975</v>
      </c>
    </row>
    <row r="1824" customHeight="1" spans="1:7">
      <c r="A1824" s="164" t="s">
        <v>868</v>
      </c>
      <c r="B1824" s="164"/>
      <c r="C1824" s="164"/>
      <c r="D1824" s="164"/>
      <c r="E1824" s="164"/>
      <c r="F1824" s="164"/>
      <c r="G1824" s="164"/>
    </row>
    <row r="1825" customHeight="1" spans="1:7">
      <c r="A1825" s="165" t="s">
        <v>869</v>
      </c>
      <c r="B1825" s="129"/>
      <c r="C1825" s="129"/>
      <c r="D1825" s="129" t="s">
        <v>870</v>
      </c>
      <c r="E1825" s="130" t="s">
        <v>1484</v>
      </c>
      <c r="F1825" s="131"/>
      <c r="G1825" s="132"/>
    </row>
    <row r="1826" customHeight="1" spans="1:7">
      <c r="A1826" s="144" t="s">
        <v>507</v>
      </c>
      <c r="B1826" s="166"/>
      <c r="C1826" s="167" t="s">
        <v>1485</v>
      </c>
      <c r="D1826" s="167"/>
      <c r="E1826" s="167"/>
      <c r="F1826" s="61" t="s">
        <v>873</v>
      </c>
      <c r="G1826" s="138" t="s">
        <v>1138</v>
      </c>
    </row>
    <row r="1827" customHeight="1" spans="1:7">
      <c r="A1827" s="168" t="s">
        <v>875</v>
      </c>
      <c r="B1827" s="167"/>
      <c r="C1827" s="167"/>
      <c r="D1827" s="167"/>
      <c r="E1827" s="167"/>
      <c r="F1827" s="167"/>
      <c r="G1827" s="169"/>
    </row>
    <row r="1828" customHeight="1" spans="1:7">
      <c r="A1828" s="141" t="s">
        <v>1486</v>
      </c>
      <c r="B1828" s="142"/>
      <c r="C1828" s="170"/>
      <c r="D1828" s="170"/>
      <c r="E1828" s="170"/>
      <c r="F1828" s="170"/>
      <c r="G1828" s="171"/>
    </row>
    <row r="1829" customHeight="1" spans="1:7">
      <c r="A1829" s="144" t="s">
        <v>34</v>
      </c>
      <c r="B1829" s="61" t="s">
        <v>761</v>
      </c>
      <c r="C1829" s="61"/>
      <c r="D1829" s="61" t="s">
        <v>60</v>
      </c>
      <c r="E1829" s="147" t="s">
        <v>877</v>
      </c>
      <c r="F1829" s="61" t="s">
        <v>878</v>
      </c>
      <c r="G1829" s="138" t="s">
        <v>879</v>
      </c>
    </row>
    <row r="1830" customHeight="1" spans="1:7">
      <c r="A1830" s="144" t="s">
        <v>8</v>
      </c>
      <c r="B1830" s="153" t="s">
        <v>880</v>
      </c>
      <c r="C1830" s="153"/>
      <c r="D1830" s="61"/>
      <c r="E1830" s="147"/>
      <c r="F1830" s="147"/>
      <c r="G1830" s="150">
        <f>G1831+G1838</f>
        <v>81.354144</v>
      </c>
    </row>
    <row r="1831" customHeight="1" spans="1:7">
      <c r="A1831" s="144" t="s">
        <v>881</v>
      </c>
      <c r="B1831" s="153" t="s">
        <v>882</v>
      </c>
      <c r="C1831" s="153"/>
      <c r="D1831" s="61"/>
      <c r="E1831" s="147"/>
      <c r="F1831" s="147"/>
      <c r="G1831" s="150">
        <f>G1832+G1835</f>
        <v>77.628</v>
      </c>
    </row>
    <row r="1832" customHeight="1" spans="1:7">
      <c r="A1832" s="144" t="s">
        <v>17</v>
      </c>
      <c r="B1832" s="153" t="s">
        <v>510</v>
      </c>
      <c r="C1832" s="153"/>
      <c r="D1832" s="61"/>
      <c r="E1832" s="147"/>
      <c r="F1832" s="147"/>
      <c r="G1832" s="150">
        <f>SUM(G1833:G1834)</f>
        <v>77.628</v>
      </c>
    </row>
    <row r="1833" customHeight="1" spans="1:7">
      <c r="A1833" s="144"/>
      <c r="B1833" s="153" t="s">
        <v>704</v>
      </c>
      <c r="C1833" s="153"/>
      <c r="D1833" s="61" t="s">
        <v>705</v>
      </c>
      <c r="E1833" s="147">
        <v>3.6</v>
      </c>
      <c r="F1833" s="147">
        <f>主要材料预算!$D$19</f>
        <v>8.1</v>
      </c>
      <c r="G1833" s="150">
        <f t="shared" ref="G1833:G1836" si="141">E1833*F1833</f>
        <v>29.16</v>
      </c>
    </row>
    <row r="1834" customHeight="1" spans="1:7">
      <c r="A1834" s="144"/>
      <c r="B1834" s="153" t="s">
        <v>706</v>
      </c>
      <c r="C1834" s="153"/>
      <c r="D1834" s="61" t="s">
        <v>705</v>
      </c>
      <c r="E1834" s="151">
        <v>8.4</v>
      </c>
      <c r="F1834" s="147">
        <f>主要材料预算!$D$20</f>
        <v>5.77</v>
      </c>
      <c r="G1834" s="150">
        <f t="shared" si="141"/>
        <v>48.468</v>
      </c>
    </row>
    <row r="1835" customHeight="1" spans="1:7">
      <c r="A1835" s="144" t="s">
        <v>19</v>
      </c>
      <c r="B1835" s="148" t="s">
        <v>511</v>
      </c>
      <c r="C1835" s="149"/>
      <c r="D1835" s="61"/>
      <c r="E1835" s="147"/>
      <c r="F1835" s="147"/>
      <c r="G1835" s="150">
        <f>SUM(G1836:G1837)</f>
        <v>0</v>
      </c>
    </row>
    <row r="1836" customHeight="1" spans="1:7">
      <c r="A1836" s="144"/>
      <c r="B1836" s="148" t="s">
        <v>1487</v>
      </c>
      <c r="C1836" s="149"/>
      <c r="D1836" s="61" t="s">
        <v>70</v>
      </c>
      <c r="E1836" s="147"/>
      <c r="F1836" s="147"/>
      <c r="G1836" s="150">
        <f t="shared" si="141"/>
        <v>0</v>
      </c>
    </row>
    <row r="1837" customHeight="1" spans="1:7">
      <c r="A1837" s="144"/>
      <c r="B1837" s="148" t="s">
        <v>893</v>
      </c>
      <c r="C1837" s="149"/>
      <c r="D1837" s="61" t="s">
        <v>894</v>
      </c>
      <c r="E1837" s="147">
        <f>SUM(G1836:G1836)</f>
        <v>0</v>
      </c>
      <c r="F1837" s="147"/>
      <c r="G1837" s="150">
        <f>E1837*F1837/100</f>
        <v>0</v>
      </c>
    </row>
    <row r="1838" customHeight="1" spans="1:7">
      <c r="A1838" s="144" t="s">
        <v>905</v>
      </c>
      <c r="B1838" s="153" t="s">
        <v>514</v>
      </c>
      <c r="C1838" s="153"/>
      <c r="D1838" s="61"/>
      <c r="E1838" s="154">
        <f>G1831</f>
        <v>77.628</v>
      </c>
      <c r="F1838" s="155">
        <f>费率表!$J$4</f>
        <v>0.048</v>
      </c>
      <c r="G1838" s="150">
        <f t="shared" ref="G1838:G1842" si="142">E1838*F1838</f>
        <v>3.726144</v>
      </c>
    </row>
    <row r="1839" customHeight="1" spans="1:7">
      <c r="A1839" s="144" t="s">
        <v>10</v>
      </c>
      <c r="B1839" s="153" t="s">
        <v>770</v>
      </c>
      <c r="C1839" s="153"/>
      <c r="D1839" s="61"/>
      <c r="E1839" s="147">
        <f>G1830</f>
        <v>81.354144</v>
      </c>
      <c r="F1839" s="156">
        <f>费率表!$J$5</f>
        <v>0.075</v>
      </c>
      <c r="G1839" s="150">
        <f t="shared" si="142"/>
        <v>6.1015608</v>
      </c>
    </row>
    <row r="1840" customHeight="1" spans="1:7">
      <c r="A1840" s="144" t="s">
        <v>12</v>
      </c>
      <c r="B1840" s="153" t="s">
        <v>771</v>
      </c>
      <c r="C1840" s="153"/>
      <c r="D1840" s="61"/>
      <c r="E1840" s="147">
        <f>G1830+G1839</f>
        <v>87.4557048</v>
      </c>
      <c r="F1840" s="156">
        <f>费率表!$J$6</f>
        <v>0.07</v>
      </c>
      <c r="G1840" s="150">
        <f t="shared" si="142"/>
        <v>6.121899336</v>
      </c>
    </row>
    <row r="1841" customHeight="1" spans="1:7">
      <c r="A1841" s="144" t="s">
        <v>15</v>
      </c>
      <c r="B1841" s="153" t="s">
        <v>772</v>
      </c>
      <c r="C1841" s="153"/>
      <c r="D1841" s="61"/>
      <c r="E1841" s="147">
        <f>G1830+G1839+G1840</f>
        <v>93.577604136</v>
      </c>
      <c r="F1841" s="156">
        <f>费率表!$J$7</f>
        <v>0.09</v>
      </c>
      <c r="G1841" s="150">
        <f t="shared" si="142"/>
        <v>8.42198437224</v>
      </c>
    </row>
    <row r="1842" customHeight="1" spans="1:7">
      <c r="A1842" s="144"/>
      <c r="B1842" s="153" t="s">
        <v>907</v>
      </c>
      <c r="C1842" s="153"/>
      <c r="D1842" s="61"/>
      <c r="E1842" s="147">
        <f>G1830+G1839+G1840+G1841</f>
        <v>101.99958850824</v>
      </c>
      <c r="F1842" s="156">
        <f>费率表!$B$19</f>
        <v>0.03</v>
      </c>
      <c r="G1842" s="150">
        <f t="shared" si="142"/>
        <v>3.0599876552472</v>
      </c>
    </row>
    <row r="1843" customHeight="1" spans="1:7">
      <c r="A1843" s="158"/>
      <c r="B1843" s="161" t="s">
        <v>39</v>
      </c>
      <c r="C1843" s="161"/>
      <c r="D1843" s="161"/>
      <c r="E1843" s="162"/>
      <c r="F1843" s="161"/>
      <c r="G1843" s="163">
        <f>G1830+G1839+G1840+G1841+G1842</f>
        <v>105.059576163487</v>
      </c>
    </row>
    <row r="1845" customHeight="1" spans="1:7">
      <c r="A1845" s="164" t="s">
        <v>868</v>
      </c>
      <c r="B1845" s="164"/>
      <c r="C1845" s="164"/>
      <c r="D1845" s="164"/>
      <c r="E1845" s="164"/>
      <c r="F1845" s="164"/>
      <c r="G1845" s="164"/>
    </row>
    <row r="1846" customHeight="1" spans="1:7">
      <c r="A1846" s="165" t="s">
        <v>869</v>
      </c>
      <c r="B1846" s="129"/>
      <c r="C1846" s="129"/>
      <c r="D1846" s="129" t="s">
        <v>870</v>
      </c>
      <c r="E1846" s="130" t="s">
        <v>1488</v>
      </c>
      <c r="F1846" s="131"/>
      <c r="G1846" s="132"/>
    </row>
    <row r="1847" customHeight="1" spans="1:7">
      <c r="A1847" s="144" t="s">
        <v>507</v>
      </c>
      <c r="B1847" s="166"/>
      <c r="C1847" s="167" t="s">
        <v>1485</v>
      </c>
      <c r="D1847" s="167"/>
      <c r="E1847" s="167"/>
      <c r="F1847" s="61" t="s">
        <v>873</v>
      </c>
      <c r="G1847" s="138" t="s">
        <v>1138</v>
      </c>
    </row>
    <row r="1848" customHeight="1" spans="1:7">
      <c r="A1848" s="168" t="s">
        <v>875</v>
      </c>
      <c r="B1848" s="167"/>
      <c r="C1848" s="167"/>
      <c r="D1848" s="167"/>
      <c r="E1848" s="167"/>
      <c r="F1848" s="167"/>
      <c r="G1848" s="169"/>
    </row>
    <row r="1849" customHeight="1" spans="1:7">
      <c r="A1849" s="141" t="s">
        <v>1486</v>
      </c>
      <c r="B1849" s="142"/>
      <c r="C1849" s="170"/>
      <c r="D1849" s="170"/>
      <c r="E1849" s="170"/>
      <c r="F1849" s="170"/>
      <c r="G1849" s="171"/>
    </row>
    <row r="1850" customHeight="1" spans="1:7">
      <c r="A1850" s="144" t="s">
        <v>34</v>
      </c>
      <c r="B1850" s="61" t="s">
        <v>761</v>
      </c>
      <c r="C1850" s="61"/>
      <c r="D1850" s="61" t="s">
        <v>60</v>
      </c>
      <c r="E1850" s="147" t="s">
        <v>877</v>
      </c>
      <c r="F1850" s="61" t="s">
        <v>878</v>
      </c>
      <c r="G1850" s="138" t="s">
        <v>879</v>
      </c>
    </row>
    <row r="1851" customHeight="1" spans="1:7">
      <c r="A1851" s="144" t="s">
        <v>8</v>
      </c>
      <c r="B1851" s="153" t="s">
        <v>880</v>
      </c>
      <c r="C1851" s="153"/>
      <c r="D1851" s="61"/>
      <c r="E1851" s="147"/>
      <c r="F1851" s="147"/>
      <c r="G1851" s="150">
        <f>G1852+G1859</f>
        <v>327.61866213704</v>
      </c>
    </row>
    <row r="1852" customHeight="1" spans="1:7">
      <c r="A1852" s="144" t="s">
        <v>881</v>
      </c>
      <c r="B1852" s="153" t="s">
        <v>882</v>
      </c>
      <c r="C1852" s="153"/>
      <c r="D1852" s="61"/>
      <c r="E1852" s="147"/>
      <c r="F1852" s="147"/>
      <c r="G1852" s="150">
        <f>G1853+G1856</f>
        <v>312.61322723</v>
      </c>
    </row>
    <row r="1853" customHeight="1" spans="1:7">
      <c r="A1853" s="144" t="s">
        <v>17</v>
      </c>
      <c r="B1853" s="153" t="s">
        <v>510</v>
      </c>
      <c r="C1853" s="153"/>
      <c r="D1853" s="61"/>
      <c r="E1853" s="147"/>
      <c r="F1853" s="147"/>
      <c r="G1853" s="150">
        <f>SUM(G1854:G1855)</f>
        <v>112.514</v>
      </c>
    </row>
    <row r="1854" customHeight="1" spans="1:7">
      <c r="A1854" s="144"/>
      <c r="B1854" s="153" t="s">
        <v>704</v>
      </c>
      <c r="C1854" s="153"/>
      <c r="D1854" s="61" t="s">
        <v>705</v>
      </c>
      <c r="E1854" s="147">
        <v>5.2</v>
      </c>
      <c r="F1854" s="147">
        <f>主要材料预算!$D$19</f>
        <v>8.1</v>
      </c>
      <c r="G1854" s="150">
        <f t="shared" ref="G1854:G1857" si="143">E1854*F1854</f>
        <v>42.12</v>
      </c>
    </row>
    <row r="1855" customHeight="1" spans="1:7">
      <c r="A1855" s="144"/>
      <c r="B1855" s="153" t="s">
        <v>706</v>
      </c>
      <c r="C1855" s="153"/>
      <c r="D1855" s="61" t="s">
        <v>705</v>
      </c>
      <c r="E1855" s="151">
        <v>12.2</v>
      </c>
      <c r="F1855" s="147">
        <f>主要材料预算!$D$20</f>
        <v>5.77</v>
      </c>
      <c r="G1855" s="150">
        <f t="shared" si="143"/>
        <v>70.394</v>
      </c>
    </row>
    <row r="1856" customHeight="1" spans="1:7">
      <c r="A1856" s="144" t="s">
        <v>19</v>
      </c>
      <c r="B1856" s="148" t="s">
        <v>511</v>
      </c>
      <c r="C1856" s="149"/>
      <c r="D1856" s="61"/>
      <c r="E1856" s="147"/>
      <c r="F1856" s="147"/>
      <c r="G1856" s="150">
        <f>SUM(G1857:G1858)</f>
        <v>200.09922723</v>
      </c>
    </row>
    <row r="1857" customHeight="1" spans="1:7">
      <c r="A1857" s="144"/>
      <c r="B1857" s="148" t="s">
        <v>1487</v>
      </c>
      <c r="C1857" s="149"/>
      <c r="D1857" s="61" t="s">
        <v>70</v>
      </c>
      <c r="E1857" s="147">
        <v>1.08</v>
      </c>
      <c r="F1857" s="147">
        <f>混凝土单价计算表!M8</f>
        <v>176.454345</v>
      </c>
      <c r="G1857" s="150">
        <f t="shared" si="143"/>
        <v>190.5706926</v>
      </c>
    </row>
    <row r="1858" customHeight="1" spans="1:7">
      <c r="A1858" s="144"/>
      <c r="B1858" s="148" t="s">
        <v>893</v>
      </c>
      <c r="C1858" s="149"/>
      <c r="D1858" s="61" t="s">
        <v>894</v>
      </c>
      <c r="E1858" s="147">
        <f>SUM(G1857:G1857)</f>
        <v>190.5706926</v>
      </c>
      <c r="F1858" s="147">
        <v>5</v>
      </c>
      <c r="G1858" s="150">
        <f>E1858*F1858/100</f>
        <v>9.52853463</v>
      </c>
    </row>
    <row r="1859" customHeight="1" spans="1:7">
      <c r="A1859" s="144" t="s">
        <v>905</v>
      </c>
      <c r="B1859" s="153" t="s">
        <v>514</v>
      </c>
      <c r="C1859" s="153"/>
      <c r="D1859" s="61"/>
      <c r="E1859" s="154">
        <f>G1852</f>
        <v>312.61322723</v>
      </c>
      <c r="F1859" s="155">
        <f>费率表!$J$4</f>
        <v>0.048</v>
      </c>
      <c r="G1859" s="150">
        <f t="shared" ref="G1859:G1861" si="144">E1859*F1859</f>
        <v>15.00543490704</v>
      </c>
    </row>
    <row r="1860" customHeight="1" spans="1:7">
      <c r="A1860" s="144" t="s">
        <v>10</v>
      </c>
      <c r="B1860" s="153" t="s">
        <v>770</v>
      </c>
      <c r="C1860" s="153"/>
      <c r="D1860" s="61"/>
      <c r="E1860" s="147">
        <f>G1851</f>
        <v>327.61866213704</v>
      </c>
      <c r="F1860" s="156">
        <f>费率表!$J$5</f>
        <v>0.075</v>
      </c>
      <c r="G1860" s="150">
        <f t="shared" si="144"/>
        <v>24.571399660278</v>
      </c>
    </row>
    <row r="1861" customHeight="1" spans="1:7">
      <c r="A1861" s="144" t="s">
        <v>12</v>
      </c>
      <c r="B1861" s="153" t="s">
        <v>771</v>
      </c>
      <c r="C1861" s="153"/>
      <c r="D1861" s="61"/>
      <c r="E1861" s="147">
        <f>G1851+G1860</f>
        <v>352.190061797318</v>
      </c>
      <c r="F1861" s="156">
        <f>费率表!$J$6</f>
        <v>0.07</v>
      </c>
      <c r="G1861" s="150">
        <f t="shared" si="144"/>
        <v>24.6533043258123</v>
      </c>
    </row>
    <row r="1862" customHeight="1" spans="1:7">
      <c r="A1862" s="144" t="s">
        <v>15</v>
      </c>
      <c r="B1862" s="148" t="s">
        <v>517</v>
      </c>
      <c r="C1862" s="149"/>
      <c r="D1862" s="61"/>
      <c r="E1862" s="147"/>
      <c r="F1862" s="157"/>
      <c r="G1862" s="150">
        <f>SUM(G1863:G1864)</f>
        <v>68.1968314951704</v>
      </c>
    </row>
    <row r="1863" customHeight="1" spans="1:7">
      <c r="A1863" s="144"/>
      <c r="B1863" s="148" t="s">
        <v>729</v>
      </c>
      <c r="C1863" s="149"/>
      <c r="D1863" s="61" t="s">
        <v>70</v>
      </c>
      <c r="E1863" s="147">
        <f>E1857*混凝土单价计算表!E8</f>
        <v>0.33177276</v>
      </c>
      <c r="F1863" s="147">
        <f>主要材料预算!$N$5</f>
        <v>139.17214</v>
      </c>
      <c r="G1863" s="150">
        <f t="shared" ref="G1863:G1866" si="145">E1863*F1863</f>
        <v>46.1735250029064</v>
      </c>
    </row>
    <row r="1864" customHeight="1" spans="1:7">
      <c r="A1864" s="144"/>
      <c r="B1864" s="180" t="s">
        <v>684</v>
      </c>
      <c r="C1864" s="181"/>
      <c r="D1864" s="61" t="s">
        <v>70</v>
      </c>
      <c r="E1864" s="147">
        <f>E1857*混凝土单价计算表!G8</f>
        <v>0.5937624</v>
      </c>
      <c r="F1864" s="147">
        <f>主要材料预算!$N$7</f>
        <v>37.09111</v>
      </c>
      <c r="G1864" s="150">
        <f t="shared" si="145"/>
        <v>22.023306492264</v>
      </c>
    </row>
    <row r="1865" customHeight="1" spans="1:7">
      <c r="A1865" s="144" t="s">
        <v>906</v>
      </c>
      <c r="B1865" s="153" t="s">
        <v>772</v>
      </c>
      <c r="C1865" s="153"/>
      <c r="D1865" s="61"/>
      <c r="E1865" s="147">
        <f>G1851+G1860+G1861+G1862</f>
        <v>445.040197618301</v>
      </c>
      <c r="F1865" s="156">
        <f>费率表!$J$7</f>
        <v>0.09</v>
      </c>
      <c r="G1865" s="150">
        <f t="shared" si="145"/>
        <v>40.0536177856471</v>
      </c>
    </row>
    <row r="1866" customHeight="1" spans="1:7">
      <c r="A1866" s="144"/>
      <c r="B1866" s="153" t="s">
        <v>907</v>
      </c>
      <c r="C1866" s="153"/>
      <c r="D1866" s="61"/>
      <c r="E1866" s="147">
        <f>G1851+G1860+G1861+G1862+G1865</f>
        <v>485.093815403948</v>
      </c>
      <c r="F1866" s="156">
        <f>费率表!$B$19</f>
        <v>0.03</v>
      </c>
      <c r="G1866" s="150">
        <f t="shared" si="145"/>
        <v>14.5528144621184</v>
      </c>
    </row>
    <row r="1867" customHeight="1" spans="1:7">
      <c r="A1867" s="158"/>
      <c r="B1867" s="161" t="s">
        <v>39</v>
      </c>
      <c r="C1867" s="161"/>
      <c r="D1867" s="161"/>
      <c r="E1867" s="162"/>
      <c r="F1867" s="161"/>
      <c r="G1867" s="163">
        <f>G1851+G1860+G1861+G1862+G1865+G1866</f>
        <v>499.646629866066</v>
      </c>
    </row>
    <row r="1872" customHeight="1" spans="1:7">
      <c r="A1872" s="126" t="s">
        <v>868</v>
      </c>
      <c r="B1872" s="126"/>
      <c r="C1872" s="126"/>
      <c r="D1872" s="126"/>
      <c r="E1872" s="126"/>
      <c r="F1872" s="126"/>
      <c r="G1872" s="126"/>
    </row>
    <row r="1873" customHeight="1" spans="1:7">
      <c r="A1873" s="127" t="s">
        <v>869</v>
      </c>
      <c r="B1873" s="128"/>
      <c r="C1873" s="129"/>
      <c r="D1873" s="129" t="s">
        <v>870</v>
      </c>
      <c r="E1873" s="130" t="s">
        <v>1615</v>
      </c>
      <c r="F1873" s="131"/>
      <c r="G1873" s="132"/>
    </row>
    <row r="1874" customHeight="1" spans="1:7">
      <c r="A1874" s="133" t="s">
        <v>507</v>
      </c>
      <c r="B1874" s="134"/>
      <c r="C1874" s="135" t="s">
        <v>1616</v>
      </c>
      <c r="D1874" s="136"/>
      <c r="E1874" s="137"/>
      <c r="F1874" s="61" t="s">
        <v>873</v>
      </c>
      <c r="G1874" s="138" t="s">
        <v>589</v>
      </c>
    </row>
    <row r="1875" customHeight="1" spans="1:7">
      <c r="A1875" s="139" t="s">
        <v>875</v>
      </c>
      <c r="B1875" s="136"/>
      <c r="C1875" s="136"/>
      <c r="D1875" s="136"/>
      <c r="E1875" s="136"/>
      <c r="F1875" s="136"/>
      <c r="G1875" s="140"/>
    </row>
    <row r="1876" customHeight="1" spans="1:7">
      <c r="A1876" s="141" t="s">
        <v>1491</v>
      </c>
      <c r="B1876" s="142"/>
      <c r="C1876" s="142"/>
      <c r="D1876" s="142"/>
      <c r="E1876" s="142"/>
      <c r="F1876" s="142"/>
      <c r="G1876" s="143"/>
    </row>
    <row r="1877" customHeight="1" spans="1:7">
      <c r="A1877" s="144" t="s">
        <v>34</v>
      </c>
      <c r="B1877" s="61" t="s">
        <v>761</v>
      </c>
      <c r="C1877" s="61"/>
      <c r="D1877" s="61" t="s">
        <v>60</v>
      </c>
      <c r="E1877" s="147" t="s">
        <v>877</v>
      </c>
      <c r="F1877" s="61" t="s">
        <v>878</v>
      </c>
      <c r="G1877" s="138" t="s">
        <v>879</v>
      </c>
    </row>
    <row r="1878" customHeight="1" spans="1:7">
      <c r="A1878" s="144" t="s">
        <v>8</v>
      </c>
      <c r="B1878" s="153" t="s">
        <v>880</v>
      </c>
      <c r="C1878" s="153"/>
      <c r="D1878" s="61"/>
      <c r="E1878" s="147"/>
      <c r="F1878" s="147"/>
      <c r="G1878" s="150">
        <f>G1879+G1883</f>
        <v>77.773128</v>
      </c>
    </row>
    <row r="1879" customHeight="1" spans="1:7">
      <c r="A1879" s="144" t="s">
        <v>881</v>
      </c>
      <c r="B1879" s="153" t="s">
        <v>882</v>
      </c>
      <c r="C1879" s="153"/>
      <c r="D1879" s="61"/>
      <c r="E1879" s="147"/>
      <c r="F1879" s="147"/>
      <c r="G1879" s="150">
        <f>G1880</f>
        <v>74.211</v>
      </c>
    </row>
    <row r="1880" customHeight="1" spans="1:7">
      <c r="A1880" s="144" t="s">
        <v>17</v>
      </c>
      <c r="B1880" s="153" t="s">
        <v>510</v>
      </c>
      <c r="C1880" s="153"/>
      <c r="D1880" s="61"/>
      <c r="E1880" s="147"/>
      <c r="F1880" s="147"/>
      <c r="G1880" s="150">
        <f>SUM(G1881:G1882)</f>
        <v>74.211</v>
      </c>
    </row>
    <row r="1881" customHeight="1" spans="1:7">
      <c r="A1881" s="144"/>
      <c r="B1881" s="153" t="s">
        <v>704</v>
      </c>
      <c r="C1881" s="153"/>
      <c r="D1881" s="61" t="s">
        <v>705</v>
      </c>
      <c r="E1881" s="147">
        <v>0.4</v>
      </c>
      <c r="F1881" s="147">
        <f>主要材料预算!$D$19</f>
        <v>8.1</v>
      </c>
      <c r="G1881" s="150">
        <f t="shared" ref="G1881:G1887" si="146">E1881*F1881</f>
        <v>3.24</v>
      </c>
    </row>
    <row r="1882" customHeight="1" spans="1:7">
      <c r="A1882" s="144"/>
      <c r="B1882" s="153" t="s">
        <v>706</v>
      </c>
      <c r="C1882" s="153"/>
      <c r="D1882" s="61" t="s">
        <v>705</v>
      </c>
      <c r="E1882" s="151">
        <v>12.3</v>
      </c>
      <c r="F1882" s="147">
        <f>主要材料预算!$D$20</f>
        <v>5.77</v>
      </c>
      <c r="G1882" s="150">
        <f t="shared" si="146"/>
        <v>70.971</v>
      </c>
    </row>
    <row r="1883" customHeight="1" spans="1:7">
      <c r="A1883" s="144" t="s">
        <v>905</v>
      </c>
      <c r="B1883" s="153" t="s">
        <v>514</v>
      </c>
      <c r="C1883" s="153"/>
      <c r="D1883" s="61"/>
      <c r="E1883" s="154">
        <f>G1879</f>
        <v>74.211</v>
      </c>
      <c r="F1883" s="155">
        <f>费率表!$I$4</f>
        <v>0.048</v>
      </c>
      <c r="G1883" s="150">
        <f t="shared" si="146"/>
        <v>3.562128</v>
      </c>
    </row>
    <row r="1884" customHeight="1" spans="1:7">
      <c r="A1884" s="144" t="s">
        <v>10</v>
      </c>
      <c r="B1884" s="153" t="s">
        <v>770</v>
      </c>
      <c r="C1884" s="153"/>
      <c r="D1884" s="61"/>
      <c r="E1884" s="147">
        <f>G1878</f>
        <v>77.773128</v>
      </c>
      <c r="F1884" s="156">
        <f>费率表!$I$5</f>
        <v>0.07</v>
      </c>
      <c r="G1884" s="150">
        <f t="shared" si="146"/>
        <v>5.44411896</v>
      </c>
    </row>
    <row r="1885" customHeight="1" spans="1:7">
      <c r="A1885" s="144" t="s">
        <v>12</v>
      </c>
      <c r="B1885" s="153" t="s">
        <v>771</v>
      </c>
      <c r="C1885" s="153"/>
      <c r="D1885" s="61"/>
      <c r="E1885" s="147">
        <f>G1878+G1884</f>
        <v>83.21724696</v>
      </c>
      <c r="F1885" s="156">
        <f>费率表!$I$6</f>
        <v>0.07</v>
      </c>
      <c r="G1885" s="150">
        <f t="shared" si="146"/>
        <v>5.8252072872</v>
      </c>
    </row>
    <row r="1886" customHeight="1" spans="1:7">
      <c r="A1886" s="144" t="s">
        <v>906</v>
      </c>
      <c r="B1886" s="153" t="s">
        <v>772</v>
      </c>
      <c r="C1886" s="153"/>
      <c r="D1886" s="61"/>
      <c r="E1886" s="147">
        <f>G1878+G1884+G1885</f>
        <v>89.0424542472</v>
      </c>
      <c r="F1886" s="156">
        <f>费率表!$I$7</f>
        <v>0.09</v>
      </c>
      <c r="G1886" s="150">
        <f t="shared" si="146"/>
        <v>8.013820882248</v>
      </c>
    </row>
    <row r="1887" customHeight="1" spans="1:7">
      <c r="A1887" s="144"/>
      <c r="B1887" s="153" t="s">
        <v>907</v>
      </c>
      <c r="C1887" s="153"/>
      <c r="D1887" s="61"/>
      <c r="E1887" s="147">
        <f>G1878+G1884+G1885+G1886</f>
        <v>97.056275129448</v>
      </c>
      <c r="F1887" s="156">
        <f>费率表!$B$19</f>
        <v>0.03</v>
      </c>
      <c r="G1887" s="150">
        <f t="shared" si="146"/>
        <v>2.91168825388344</v>
      </c>
    </row>
    <row r="1888" customHeight="1" spans="1:7">
      <c r="A1888" s="158"/>
      <c r="B1888" s="161" t="s">
        <v>39</v>
      </c>
      <c r="C1888" s="161"/>
      <c r="D1888" s="161"/>
      <c r="E1888" s="162"/>
      <c r="F1888" s="161"/>
      <c r="G1888" s="163">
        <f>G1878+G1884+G1885+G1886+G1887</f>
        <v>99.9679633833314</v>
      </c>
    </row>
    <row r="1890" customHeight="1" spans="1:7">
      <c r="A1890" s="126" t="s">
        <v>868</v>
      </c>
      <c r="B1890" s="126"/>
      <c r="C1890" s="126"/>
      <c r="D1890" s="126"/>
      <c r="E1890" s="126"/>
      <c r="F1890" s="126"/>
      <c r="G1890" s="126"/>
    </row>
    <row r="1891" customHeight="1" spans="1:7">
      <c r="A1891" s="127" t="s">
        <v>869</v>
      </c>
      <c r="B1891" s="128"/>
      <c r="C1891" s="129"/>
      <c r="D1891" s="129" t="s">
        <v>870</v>
      </c>
      <c r="E1891" s="130" t="s">
        <v>1617</v>
      </c>
      <c r="F1891" s="131"/>
      <c r="G1891" s="132"/>
    </row>
    <row r="1892" customHeight="1" spans="1:7">
      <c r="A1892" s="133" t="s">
        <v>507</v>
      </c>
      <c r="B1892" s="134"/>
      <c r="C1892" s="135" t="s">
        <v>1618</v>
      </c>
      <c r="D1892" s="136"/>
      <c r="E1892" s="137"/>
      <c r="F1892" s="61" t="s">
        <v>873</v>
      </c>
      <c r="G1892" s="138" t="s">
        <v>589</v>
      </c>
    </row>
    <row r="1893" customHeight="1" spans="1:7">
      <c r="A1893" s="139" t="s">
        <v>875</v>
      </c>
      <c r="B1893" s="136"/>
      <c r="C1893" s="136"/>
      <c r="D1893" s="136"/>
      <c r="E1893" s="136"/>
      <c r="F1893" s="136"/>
      <c r="G1893" s="140"/>
    </row>
    <row r="1894" customHeight="1" spans="1:7">
      <c r="A1894" s="141" t="s">
        <v>1494</v>
      </c>
      <c r="B1894" s="142"/>
      <c r="C1894" s="142"/>
      <c r="D1894" s="142"/>
      <c r="E1894" s="142"/>
      <c r="F1894" s="142"/>
      <c r="G1894" s="143"/>
    </row>
    <row r="1895" customHeight="1" spans="1:7">
      <c r="A1895" s="144" t="s">
        <v>34</v>
      </c>
      <c r="B1895" s="61" t="s">
        <v>761</v>
      </c>
      <c r="C1895" s="61"/>
      <c r="D1895" s="61" t="s">
        <v>60</v>
      </c>
      <c r="E1895" s="147" t="s">
        <v>877</v>
      </c>
      <c r="F1895" s="61" t="s">
        <v>878</v>
      </c>
      <c r="G1895" s="138" t="s">
        <v>879</v>
      </c>
    </row>
    <row r="1896" customHeight="1" spans="1:7">
      <c r="A1896" s="144" t="s">
        <v>8</v>
      </c>
      <c r="B1896" s="153" t="s">
        <v>880</v>
      </c>
      <c r="C1896" s="153"/>
      <c r="D1896" s="61"/>
      <c r="E1896" s="147"/>
      <c r="F1896" s="147"/>
      <c r="G1896" s="150">
        <f>G1897+G1901</f>
        <v>127.846568</v>
      </c>
    </row>
    <row r="1897" customHeight="1" spans="1:7">
      <c r="A1897" s="144" t="s">
        <v>881</v>
      </c>
      <c r="B1897" s="153" t="s">
        <v>882</v>
      </c>
      <c r="C1897" s="153"/>
      <c r="D1897" s="61"/>
      <c r="E1897" s="147"/>
      <c r="F1897" s="147"/>
      <c r="G1897" s="150">
        <f>G1898</f>
        <v>121.991</v>
      </c>
    </row>
    <row r="1898" customHeight="1" spans="1:7">
      <c r="A1898" s="144" t="s">
        <v>17</v>
      </c>
      <c r="B1898" s="153" t="s">
        <v>510</v>
      </c>
      <c r="C1898" s="153"/>
      <c r="D1898" s="61"/>
      <c r="E1898" s="147"/>
      <c r="F1898" s="147"/>
      <c r="G1898" s="150">
        <f>SUM(G1899:G1900)</f>
        <v>121.991</v>
      </c>
    </row>
    <row r="1899" customHeight="1" spans="1:7">
      <c r="A1899" s="144"/>
      <c r="B1899" s="153" t="s">
        <v>704</v>
      </c>
      <c r="C1899" s="153"/>
      <c r="D1899" s="61" t="s">
        <v>705</v>
      </c>
      <c r="E1899" s="147">
        <v>0.6</v>
      </c>
      <c r="F1899" s="147">
        <f>主要材料预算!$D$19</f>
        <v>8.1</v>
      </c>
      <c r="G1899" s="150">
        <f t="shared" ref="G1899:G1905" si="147">E1899*F1899</f>
        <v>4.86</v>
      </c>
    </row>
    <row r="1900" customHeight="1" spans="1:7">
      <c r="A1900" s="144"/>
      <c r="B1900" s="153" t="s">
        <v>706</v>
      </c>
      <c r="C1900" s="153"/>
      <c r="D1900" s="61" t="s">
        <v>705</v>
      </c>
      <c r="E1900" s="151">
        <v>20.3</v>
      </c>
      <c r="F1900" s="147">
        <f>主要材料预算!$D$20</f>
        <v>5.77</v>
      </c>
      <c r="G1900" s="150">
        <f t="shared" si="147"/>
        <v>117.131</v>
      </c>
    </row>
    <row r="1901" customHeight="1" spans="1:7">
      <c r="A1901" s="144" t="s">
        <v>905</v>
      </c>
      <c r="B1901" s="153" t="s">
        <v>514</v>
      </c>
      <c r="C1901" s="153"/>
      <c r="D1901" s="61"/>
      <c r="E1901" s="154">
        <f>G1897</f>
        <v>121.991</v>
      </c>
      <c r="F1901" s="155">
        <f>费率表!$I$4</f>
        <v>0.048</v>
      </c>
      <c r="G1901" s="150">
        <f t="shared" si="147"/>
        <v>5.855568</v>
      </c>
    </row>
    <row r="1902" customHeight="1" spans="1:7">
      <c r="A1902" s="144" t="s">
        <v>10</v>
      </c>
      <c r="B1902" s="153" t="s">
        <v>770</v>
      </c>
      <c r="C1902" s="153"/>
      <c r="D1902" s="61"/>
      <c r="E1902" s="147">
        <f>G1896</f>
        <v>127.846568</v>
      </c>
      <c r="F1902" s="156">
        <f>费率表!$I$5</f>
        <v>0.07</v>
      </c>
      <c r="G1902" s="150">
        <f t="shared" si="147"/>
        <v>8.94925976</v>
      </c>
    </row>
    <row r="1903" customHeight="1" spans="1:7">
      <c r="A1903" s="144" t="s">
        <v>12</v>
      </c>
      <c r="B1903" s="153" t="s">
        <v>771</v>
      </c>
      <c r="C1903" s="153"/>
      <c r="D1903" s="61"/>
      <c r="E1903" s="147">
        <f>G1896+G1902</f>
        <v>136.79582776</v>
      </c>
      <c r="F1903" s="156">
        <f>费率表!$I$6</f>
        <v>0.07</v>
      </c>
      <c r="G1903" s="150">
        <f t="shared" si="147"/>
        <v>9.5757079432</v>
      </c>
    </row>
    <row r="1904" customHeight="1" spans="1:7">
      <c r="A1904" s="144" t="s">
        <v>906</v>
      </c>
      <c r="B1904" s="153" t="s">
        <v>772</v>
      </c>
      <c r="C1904" s="153"/>
      <c r="D1904" s="61"/>
      <c r="E1904" s="147">
        <f>G1896+G1902+G1903</f>
        <v>146.3715357032</v>
      </c>
      <c r="F1904" s="156">
        <f>费率表!$I$7</f>
        <v>0.09</v>
      </c>
      <c r="G1904" s="150">
        <f t="shared" si="147"/>
        <v>13.173438213288</v>
      </c>
    </row>
    <row r="1905" customHeight="1" spans="1:7">
      <c r="A1905" s="144"/>
      <c r="B1905" s="153" t="s">
        <v>907</v>
      </c>
      <c r="C1905" s="153"/>
      <c r="D1905" s="61"/>
      <c r="E1905" s="147">
        <f>G1896+G1902+G1903+G1904</f>
        <v>159.544973916488</v>
      </c>
      <c r="F1905" s="156">
        <f>费率表!$B$19</f>
        <v>0.03</v>
      </c>
      <c r="G1905" s="150">
        <f t="shared" si="147"/>
        <v>4.78634921749464</v>
      </c>
    </row>
    <row r="1906" customHeight="1" spans="1:7">
      <c r="A1906" s="158"/>
      <c r="B1906" s="161" t="s">
        <v>39</v>
      </c>
      <c r="C1906" s="161"/>
      <c r="D1906" s="161"/>
      <c r="E1906" s="162"/>
      <c r="F1906" s="161"/>
      <c r="G1906" s="163">
        <f>G1896+G1902+G1903+G1904+G1905</f>
        <v>164.331323133983</v>
      </c>
    </row>
    <row r="1909" customHeight="1" spans="1:7">
      <c r="A1909" s="126" t="s">
        <v>868</v>
      </c>
      <c r="B1909" s="126"/>
      <c r="C1909" s="126"/>
      <c r="D1909" s="126"/>
      <c r="E1909" s="126"/>
      <c r="F1909" s="126"/>
      <c r="G1909" s="126"/>
    </row>
    <row r="1910" customHeight="1" spans="1:7">
      <c r="A1910" s="127" t="s">
        <v>869</v>
      </c>
      <c r="B1910" s="128"/>
      <c r="C1910" s="129"/>
      <c r="D1910" s="129" t="s">
        <v>870</v>
      </c>
      <c r="E1910" s="130" t="s">
        <v>1619</v>
      </c>
      <c r="F1910" s="131"/>
      <c r="G1910" s="132"/>
    </row>
    <row r="1911" customHeight="1" spans="1:7">
      <c r="A1911" s="133" t="s">
        <v>507</v>
      </c>
      <c r="B1911" s="134"/>
      <c r="C1911" s="135" t="s">
        <v>1517</v>
      </c>
      <c r="D1911" s="136"/>
      <c r="E1911" s="137"/>
      <c r="F1911" s="61" t="s">
        <v>873</v>
      </c>
      <c r="G1911" s="138" t="s">
        <v>589</v>
      </c>
    </row>
    <row r="1912" customHeight="1" spans="1:7">
      <c r="A1912" s="139" t="s">
        <v>875</v>
      </c>
      <c r="B1912" s="136"/>
      <c r="C1912" s="136"/>
      <c r="D1912" s="136"/>
      <c r="E1912" s="136"/>
      <c r="F1912" s="136"/>
      <c r="G1912" s="140"/>
    </row>
    <row r="1913" customHeight="1" spans="1:7">
      <c r="A1913" s="141" t="s">
        <v>1518</v>
      </c>
      <c r="B1913" s="142"/>
      <c r="C1913" s="142"/>
      <c r="D1913" s="142"/>
      <c r="E1913" s="142"/>
      <c r="F1913" s="142"/>
      <c r="G1913" s="143"/>
    </row>
    <row r="1914" customHeight="1" spans="1:7">
      <c r="A1914" s="144" t="s">
        <v>34</v>
      </c>
      <c r="B1914" s="61" t="s">
        <v>761</v>
      </c>
      <c r="C1914" s="61"/>
      <c r="D1914" s="61" t="s">
        <v>60</v>
      </c>
      <c r="E1914" s="147" t="s">
        <v>877</v>
      </c>
      <c r="F1914" s="61" t="s">
        <v>878</v>
      </c>
      <c r="G1914" s="138" t="s">
        <v>879</v>
      </c>
    </row>
    <row r="1915" customHeight="1" spans="1:7">
      <c r="A1915" s="144" t="s">
        <v>8</v>
      </c>
      <c r="B1915" s="153" t="s">
        <v>880</v>
      </c>
      <c r="C1915" s="153"/>
      <c r="D1915" s="61"/>
      <c r="E1915" s="147"/>
      <c r="F1915" s="147"/>
      <c r="G1915" s="150">
        <f>G1916+G1920</f>
        <v>907.044</v>
      </c>
    </row>
    <row r="1916" customHeight="1" spans="1:7">
      <c r="A1916" s="144" t="s">
        <v>881</v>
      </c>
      <c r="B1916" s="153" t="s">
        <v>882</v>
      </c>
      <c r="C1916" s="153"/>
      <c r="D1916" s="61"/>
      <c r="E1916" s="147"/>
      <c r="F1916" s="147"/>
      <c r="G1916" s="150">
        <f>G1917</f>
        <v>865.5</v>
      </c>
    </row>
    <row r="1917" customHeight="1" spans="1:7">
      <c r="A1917" s="144" t="s">
        <v>17</v>
      </c>
      <c r="B1917" s="153" t="s">
        <v>510</v>
      </c>
      <c r="C1917" s="153"/>
      <c r="D1917" s="61"/>
      <c r="E1917" s="147"/>
      <c r="F1917" s="147"/>
      <c r="G1917" s="150">
        <f>SUM(G1918:G1919)</f>
        <v>865.5</v>
      </c>
    </row>
    <row r="1918" customHeight="1" spans="1:7">
      <c r="A1918" s="144"/>
      <c r="B1918" s="153" t="s">
        <v>704</v>
      </c>
      <c r="C1918" s="153"/>
      <c r="D1918" s="61" t="s">
        <v>705</v>
      </c>
      <c r="E1918" s="147"/>
      <c r="F1918" s="147"/>
      <c r="G1918" s="150"/>
    </row>
    <row r="1919" customHeight="1" spans="1:7">
      <c r="A1919" s="144"/>
      <c r="B1919" s="153" t="s">
        <v>706</v>
      </c>
      <c r="C1919" s="153"/>
      <c r="D1919" s="61" t="s">
        <v>705</v>
      </c>
      <c r="E1919" s="151">
        <v>150</v>
      </c>
      <c r="F1919" s="147">
        <f>主要材料预算!$D$20</f>
        <v>5.77</v>
      </c>
      <c r="G1919" s="150">
        <f t="shared" ref="G1919:G1924" si="148">E1919*F1919</f>
        <v>865.5</v>
      </c>
    </row>
    <row r="1920" customHeight="1" spans="1:7">
      <c r="A1920" s="144" t="s">
        <v>905</v>
      </c>
      <c r="B1920" s="153" t="s">
        <v>514</v>
      </c>
      <c r="C1920" s="153"/>
      <c r="D1920" s="61"/>
      <c r="E1920" s="154">
        <f>G1916</f>
        <v>865.5</v>
      </c>
      <c r="F1920" s="155">
        <f>费率表!$I$4</f>
        <v>0.048</v>
      </c>
      <c r="G1920" s="150">
        <f t="shared" si="148"/>
        <v>41.544</v>
      </c>
    </row>
    <row r="1921" customHeight="1" spans="1:34">
      <c r="A1921" s="144" t="s">
        <v>10</v>
      </c>
      <c r="B1921" s="153" t="s">
        <v>770</v>
      </c>
      <c r="C1921" s="153"/>
      <c r="D1921" s="61"/>
      <c r="E1921" s="147">
        <f>G1915</f>
        <v>907.044</v>
      </c>
      <c r="F1921" s="156">
        <f>费率表!$I$5</f>
        <v>0.07</v>
      </c>
      <c r="G1921" s="150">
        <f t="shared" si="148"/>
        <v>63.49308</v>
      </c>
    </row>
    <row r="1922" customHeight="1" spans="1:34">
      <c r="A1922" s="144" t="s">
        <v>12</v>
      </c>
      <c r="B1922" s="153" t="s">
        <v>771</v>
      </c>
      <c r="C1922" s="153"/>
      <c r="D1922" s="61"/>
      <c r="E1922" s="147">
        <f>G1915+G1921</f>
        <v>970.53708</v>
      </c>
      <c r="F1922" s="156">
        <f>费率表!$I$6</f>
        <v>0.07</v>
      </c>
      <c r="G1922" s="150">
        <f t="shared" si="148"/>
        <v>67.9375956</v>
      </c>
    </row>
    <row r="1923" customHeight="1" spans="1:34">
      <c r="A1923" s="144" t="s">
        <v>906</v>
      </c>
      <c r="B1923" s="153" t="s">
        <v>772</v>
      </c>
      <c r="C1923" s="153"/>
      <c r="D1923" s="61"/>
      <c r="E1923" s="147">
        <f>G1915+G1921+G1922</f>
        <v>1038.4746756</v>
      </c>
      <c r="F1923" s="156">
        <f>费率表!$I$7</f>
        <v>0.09</v>
      </c>
      <c r="G1923" s="150">
        <f t="shared" si="148"/>
        <v>93.462720804</v>
      </c>
    </row>
    <row r="1924" customHeight="1" spans="1:34">
      <c r="A1924" s="144"/>
      <c r="B1924" s="153" t="s">
        <v>907</v>
      </c>
      <c r="C1924" s="153"/>
      <c r="D1924" s="61"/>
      <c r="E1924" s="147">
        <f>G1915+G1921+G1922+G1923</f>
        <v>1131.937396404</v>
      </c>
      <c r="F1924" s="156">
        <f>费率表!$B$19</f>
        <v>0.03</v>
      </c>
      <c r="G1924" s="150">
        <f t="shared" si="148"/>
        <v>33.95812189212</v>
      </c>
    </row>
    <row r="1925" customHeight="1" spans="1:34">
      <c r="A1925" s="158"/>
      <c r="B1925" s="161" t="s">
        <v>39</v>
      </c>
      <c r="C1925" s="161"/>
      <c r="D1925" s="161"/>
      <c r="E1925" s="162"/>
      <c r="F1925" s="161"/>
      <c r="G1925" s="163">
        <f>G1915+G1921+G1922+G1923+G1924</f>
        <v>1165.89551829612</v>
      </c>
    </row>
    <row r="1930" customHeight="1" spans="1:34">
      <c r="H1930" s="193"/>
      <c r="I1930" s="193"/>
      <c r="J1930" s="193"/>
      <c r="K1930" s="193"/>
      <c r="L1930" s="193"/>
      <c r="M1930" s="193"/>
      <c r="N1930" s="193"/>
      <c r="O1930" s="193"/>
      <c r="S1930" s="194"/>
      <c r="T1930" s="194"/>
      <c r="U1930" s="194"/>
      <c r="V1930" s="194"/>
      <c r="W1930" s="194"/>
      <c r="X1930" s="194"/>
      <c r="Y1930" s="194"/>
      <c r="Z1930" s="194"/>
      <c r="AA1930" s="194"/>
      <c r="AB1930" s="194"/>
      <c r="AC1930" s="194"/>
      <c r="AD1930" s="194"/>
      <c r="AE1930" s="195"/>
      <c r="AF1930" s="195"/>
      <c r="AG1930" s="195"/>
      <c r="AH1930" s="195"/>
    </row>
    <row r="1931" customHeight="1" spans="1:34">
      <c r="H1931" s="193"/>
      <c r="I1931" s="193"/>
      <c r="J1931" s="193"/>
      <c r="K1931" s="193"/>
      <c r="L1931" s="193"/>
      <c r="M1931" s="193"/>
      <c r="N1931" s="193"/>
      <c r="O1931" s="193"/>
      <c r="S1931" s="194"/>
      <c r="T1931" s="194"/>
      <c r="U1931" s="194"/>
      <c r="V1931" s="194"/>
      <c r="W1931" s="194"/>
      <c r="X1931" s="194"/>
      <c r="Y1931" s="194"/>
      <c r="Z1931" s="194"/>
      <c r="AA1931" s="194"/>
      <c r="AB1931" s="194"/>
      <c r="AC1931" s="194"/>
      <c r="AD1931" s="194"/>
      <c r="AE1931" s="195"/>
      <c r="AF1931" s="195"/>
      <c r="AG1931" s="195"/>
      <c r="AH1931" s="195"/>
    </row>
    <row r="1932" customHeight="1" spans="1:34">
      <c r="H1932" s="193"/>
      <c r="I1932" s="193"/>
      <c r="J1932" s="193"/>
      <c r="K1932" s="193"/>
      <c r="L1932" s="193"/>
      <c r="M1932" s="193"/>
      <c r="N1932" s="193"/>
      <c r="O1932" s="193"/>
      <c r="S1932" s="194"/>
      <c r="T1932" s="194"/>
      <c r="U1932" s="194"/>
      <c r="V1932" s="194"/>
      <c r="W1932" s="194"/>
      <c r="X1932" s="194"/>
      <c r="Y1932" s="194"/>
      <c r="Z1932" s="194"/>
      <c r="AA1932" s="194"/>
      <c r="AB1932" s="194"/>
      <c r="AC1932" s="194"/>
      <c r="AD1932" s="194"/>
      <c r="AE1932" s="195"/>
      <c r="AF1932" s="195"/>
      <c r="AG1932" s="195"/>
      <c r="AH1932" s="195"/>
    </row>
    <row r="1933" customHeight="1" spans="1:34">
      <c r="H1933" s="193"/>
      <c r="I1933" s="193"/>
      <c r="J1933" s="193"/>
      <c r="K1933" s="193"/>
      <c r="L1933" s="193"/>
      <c r="M1933" s="193"/>
      <c r="N1933" s="193"/>
      <c r="O1933" s="193"/>
      <c r="S1933" s="194"/>
      <c r="T1933" s="194"/>
      <c r="U1933" s="194"/>
      <c r="V1933" s="194"/>
      <c r="W1933" s="194"/>
      <c r="X1933" s="194"/>
      <c r="Y1933" s="194"/>
      <c r="Z1933" s="194"/>
      <c r="AA1933" s="194"/>
      <c r="AB1933" s="194"/>
      <c r="AC1933" s="194"/>
      <c r="AD1933" s="194"/>
      <c r="AE1933" s="195"/>
      <c r="AF1933" s="195"/>
      <c r="AG1933" s="195"/>
      <c r="AH1933" s="195"/>
    </row>
    <row r="1934" customHeight="1" spans="1:34">
      <c r="H1934" s="193"/>
      <c r="I1934" s="193"/>
      <c r="J1934" s="193"/>
      <c r="K1934" s="193"/>
      <c r="L1934" s="193"/>
      <c r="M1934" s="193"/>
      <c r="N1934" s="193"/>
      <c r="O1934" s="193"/>
      <c r="S1934" s="194"/>
      <c r="T1934" s="194"/>
      <c r="U1934" s="194"/>
      <c r="V1934" s="194"/>
      <c r="W1934" s="194"/>
      <c r="X1934" s="194"/>
      <c r="Y1934" s="194"/>
      <c r="Z1934" s="194"/>
      <c r="AA1934" s="194"/>
      <c r="AB1934" s="194"/>
      <c r="AC1934" s="194"/>
      <c r="AD1934" s="194"/>
      <c r="AE1934" s="195"/>
      <c r="AF1934" s="195"/>
      <c r="AG1934" s="195"/>
      <c r="AH1934" s="195"/>
    </row>
    <row r="1935" customHeight="1" spans="1:34">
      <c r="H1935" s="193"/>
      <c r="I1935" s="193"/>
      <c r="J1935" s="193"/>
      <c r="K1935" s="193"/>
      <c r="L1935" s="193"/>
      <c r="M1935" s="193"/>
      <c r="N1935" s="193"/>
      <c r="O1935" s="193"/>
      <c r="S1935" s="194"/>
      <c r="T1935" s="194"/>
      <c r="U1935" s="194"/>
      <c r="V1935" s="194"/>
      <c r="W1935" s="194"/>
      <c r="X1935" s="194"/>
      <c r="Y1935" s="194"/>
      <c r="Z1935" s="194"/>
      <c r="AA1935" s="194"/>
      <c r="AB1935" s="194"/>
      <c r="AC1935" s="194"/>
      <c r="AD1935" s="194"/>
      <c r="AE1935" s="195"/>
      <c r="AF1935" s="195"/>
      <c r="AG1935" s="195"/>
      <c r="AH1935" s="195"/>
    </row>
    <row r="1936" customHeight="1" spans="1:34">
      <c r="H1936" s="193"/>
      <c r="I1936" s="193"/>
      <c r="J1936" s="193"/>
      <c r="K1936" s="193"/>
      <c r="L1936" s="193"/>
      <c r="M1936" s="193"/>
      <c r="N1936" s="193"/>
      <c r="O1936" s="193"/>
      <c r="S1936" s="194"/>
      <c r="T1936" s="194"/>
      <c r="U1936" s="194"/>
      <c r="V1936" s="194"/>
      <c r="W1936" s="194"/>
      <c r="X1936" s="194"/>
      <c r="Y1936" s="194"/>
      <c r="Z1936" s="194"/>
      <c r="AA1936" s="194"/>
      <c r="AB1936" s="194"/>
      <c r="AC1936" s="194"/>
      <c r="AD1936" s="194"/>
      <c r="AE1936" s="195"/>
      <c r="AF1936" s="195"/>
      <c r="AG1936" s="195"/>
      <c r="AH1936" s="195"/>
    </row>
    <row r="1937" customHeight="1" spans="8:34">
      <c r="H1937" s="193"/>
      <c r="I1937" s="193"/>
      <c r="J1937" s="193"/>
      <c r="K1937" s="193"/>
      <c r="L1937" s="193"/>
      <c r="M1937" s="193"/>
      <c r="N1937" s="193"/>
      <c r="O1937" s="193"/>
      <c r="S1937" s="194"/>
      <c r="T1937" s="194"/>
      <c r="U1937" s="194"/>
      <c r="V1937" s="194"/>
      <c r="W1937" s="194"/>
      <c r="X1937" s="194"/>
      <c r="Y1937" s="194"/>
      <c r="Z1937" s="194"/>
      <c r="AA1937" s="194"/>
      <c r="AB1937" s="194"/>
      <c r="AC1937" s="194"/>
      <c r="AD1937" s="194"/>
      <c r="AE1937" s="195"/>
      <c r="AF1937" s="195"/>
      <c r="AG1937" s="195"/>
      <c r="AH1937" s="195"/>
    </row>
    <row r="1938" customHeight="1" spans="8:34">
      <c r="H1938" s="193"/>
      <c r="I1938" s="193"/>
      <c r="J1938" s="193"/>
      <c r="K1938" s="193"/>
      <c r="L1938" s="193"/>
      <c r="M1938" s="193"/>
      <c r="N1938" s="193"/>
      <c r="O1938" s="193"/>
      <c r="S1938" s="194"/>
      <c r="T1938" s="194"/>
      <c r="U1938" s="194"/>
      <c r="V1938" s="194"/>
      <c r="W1938" s="194"/>
      <c r="X1938" s="194"/>
      <c r="Y1938" s="194"/>
      <c r="Z1938" s="194"/>
      <c r="AA1938" s="194"/>
      <c r="AB1938" s="194"/>
      <c r="AC1938" s="194"/>
      <c r="AD1938" s="194"/>
      <c r="AE1938" s="195"/>
      <c r="AF1938" s="195"/>
      <c r="AG1938" s="195"/>
      <c r="AH1938" s="195"/>
    </row>
    <row r="1939" customHeight="1" spans="8:34">
      <c r="H1939" s="193"/>
      <c r="I1939" s="193"/>
      <c r="J1939" s="193"/>
      <c r="K1939" s="193"/>
      <c r="L1939" s="193"/>
      <c r="M1939" s="193"/>
      <c r="N1939" s="193"/>
      <c r="O1939" s="193"/>
      <c r="S1939" s="194"/>
      <c r="T1939" s="194"/>
      <c r="U1939" s="194"/>
      <c r="V1939" s="194"/>
      <c r="W1939" s="194"/>
      <c r="X1939" s="194"/>
      <c r="Y1939" s="194"/>
      <c r="Z1939" s="194"/>
      <c r="AA1939" s="194"/>
      <c r="AB1939" s="194"/>
      <c r="AC1939" s="194"/>
      <c r="AD1939" s="194"/>
      <c r="AE1939" s="195"/>
      <c r="AF1939" s="195"/>
      <c r="AG1939" s="195"/>
      <c r="AH1939" s="195"/>
    </row>
    <row r="1940" customHeight="1" spans="8:34">
      <c r="H1940" s="193"/>
      <c r="I1940" s="193"/>
      <c r="J1940" s="193"/>
      <c r="K1940" s="193"/>
      <c r="L1940" s="193"/>
      <c r="M1940" s="193"/>
      <c r="N1940" s="193"/>
      <c r="O1940" s="193"/>
      <c r="S1940" s="194"/>
      <c r="T1940" s="194"/>
      <c r="U1940" s="194"/>
      <c r="V1940" s="194"/>
      <c r="W1940" s="194"/>
      <c r="X1940" s="194"/>
      <c r="Y1940" s="194"/>
      <c r="Z1940" s="194"/>
      <c r="AA1940" s="194"/>
      <c r="AB1940" s="194"/>
      <c r="AC1940" s="194"/>
      <c r="AD1940" s="194"/>
      <c r="AE1940" s="195"/>
      <c r="AF1940" s="195"/>
      <c r="AG1940" s="195"/>
      <c r="AH1940" s="195"/>
    </row>
    <row r="1941" customHeight="1" spans="8:34">
      <c r="H1941" s="193"/>
      <c r="I1941" s="193"/>
      <c r="J1941" s="193"/>
      <c r="K1941" s="193"/>
      <c r="L1941" s="193"/>
      <c r="M1941" s="193"/>
      <c r="N1941" s="193"/>
      <c r="O1941" s="193"/>
      <c r="S1941" s="194"/>
      <c r="T1941" s="194"/>
      <c r="U1941" s="194"/>
      <c r="V1941" s="194"/>
      <c r="W1941" s="194"/>
      <c r="X1941" s="194"/>
      <c r="Y1941" s="194"/>
      <c r="Z1941" s="194"/>
      <c r="AA1941" s="194"/>
      <c r="AB1941" s="194"/>
      <c r="AC1941" s="194"/>
      <c r="AD1941" s="194"/>
      <c r="AE1941" s="195"/>
      <c r="AF1941" s="195"/>
      <c r="AG1941" s="195"/>
      <c r="AH1941" s="195"/>
    </row>
    <row r="1942" customHeight="1" spans="8:34">
      <c r="H1942" s="193"/>
      <c r="I1942" s="193"/>
      <c r="J1942" s="193"/>
      <c r="K1942" s="193"/>
      <c r="L1942" s="193"/>
      <c r="M1942" s="193"/>
      <c r="N1942" s="193"/>
      <c r="O1942" s="193"/>
      <c r="S1942" s="194"/>
      <c r="T1942" s="194"/>
      <c r="U1942" s="194"/>
      <c r="V1942" s="194"/>
      <c r="W1942" s="194"/>
      <c r="X1942" s="194"/>
      <c r="Y1942" s="194"/>
      <c r="Z1942" s="194"/>
      <c r="AA1942" s="194"/>
      <c r="AB1942" s="194"/>
      <c r="AC1942" s="194"/>
      <c r="AD1942" s="194"/>
      <c r="AE1942" s="195"/>
      <c r="AF1942" s="195"/>
      <c r="AG1942" s="195"/>
      <c r="AH1942" s="195"/>
    </row>
    <row r="1943" customHeight="1" spans="8:34">
      <c r="H1943" s="193"/>
      <c r="I1943" s="193"/>
      <c r="J1943" s="193"/>
      <c r="K1943" s="193"/>
      <c r="L1943" s="193"/>
      <c r="M1943" s="193"/>
      <c r="N1943" s="193"/>
      <c r="O1943" s="193"/>
      <c r="S1943" s="194"/>
      <c r="T1943" s="194"/>
      <c r="U1943" s="194"/>
      <c r="V1943" s="194"/>
      <c r="W1943" s="194"/>
      <c r="X1943" s="194"/>
      <c r="Y1943" s="194"/>
      <c r="Z1943" s="194"/>
      <c r="AA1943" s="194"/>
      <c r="AB1943" s="194"/>
      <c r="AC1943" s="194"/>
      <c r="AD1943" s="194"/>
      <c r="AE1943" s="195"/>
      <c r="AF1943" s="195"/>
      <c r="AG1943" s="195"/>
      <c r="AH1943" s="195"/>
    </row>
    <row r="1944" customHeight="1" spans="8:34">
      <c r="H1944" s="193"/>
      <c r="I1944" s="193"/>
      <c r="J1944" s="193"/>
      <c r="K1944" s="193"/>
      <c r="L1944" s="193"/>
      <c r="M1944" s="193"/>
      <c r="N1944" s="193"/>
      <c r="O1944" s="193"/>
      <c r="S1944" s="194"/>
      <c r="T1944" s="194"/>
      <c r="U1944" s="194"/>
      <c r="V1944" s="194"/>
      <c r="W1944" s="194"/>
      <c r="X1944" s="194"/>
      <c r="Y1944" s="194"/>
      <c r="Z1944" s="194"/>
      <c r="AA1944" s="194"/>
      <c r="AB1944" s="194"/>
      <c r="AC1944" s="194"/>
      <c r="AD1944" s="194"/>
      <c r="AE1944" s="195"/>
      <c r="AF1944" s="195"/>
      <c r="AG1944" s="195"/>
      <c r="AH1944" s="195"/>
    </row>
    <row r="1945" customHeight="1" spans="8:34">
      <c r="H1945" s="193"/>
      <c r="I1945" s="193"/>
      <c r="J1945" s="193"/>
      <c r="K1945" s="193"/>
      <c r="L1945" s="193"/>
      <c r="M1945" s="193"/>
      <c r="N1945" s="193"/>
      <c r="O1945" s="193"/>
      <c r="S1945" s="194"/>
      <c r="T1945" s="194"/>
      <c r="U1945" s="194"/>
      <c r="V1945" s="194"/>
      <c r="W1945" s="194"/>
      <c r="X1945" s="194"/>
      <c r="Y1945" s="194"/>
      <c r="Z1945" s="194"/>
      <c r="AA1945" s="194"/>
      <c r="AB1945" s="194"/>
      <c r="AC1945" s="194"/>
      <c r="AD1945" s="194"/>
      <c r="AE1945" s="195"/>
      <c r="AF1945" s="195"/>
      <c r="AG1945" s="195"/>
      <c r="AH1945" s="195"/>
    </row>
    <row r="1946" customHeight="1" spans="8:34">
      <c r="H1946" s="193"/>
      <c r="I1946" s="193"/>
      <c r="J1946" s="193"/>
      <c r="K1946" s="193"/>
      <c r="L1946" s="193"/>
      <c r="M1946" s="193"/>
      <c r="N1946" s="193"/>
      <c r="O1946" s="193"/>
      <c r="S1946" s="194"/>
      <c r="T1946" s="194"/>
      <c r="U1946" s="194"/>
      <c r="V1946" s="194"/>
      <c r="W1946" s="194"/>
      <c r="X1946" s="194"/>
      <c r="Y1946" s="194"/>
      <c r="Z1946" s="194"/>
      <c r="AA1946" s="194"/>
      <c r="AB1946" s="194"/>
      <c r="AC1946" s="194"/>
      <c r="AD1946" s="194"/>
      <c r="AE1946" s="195"/>
      <c r="AF1946" s="195"/>
      <c r="AG1946" s="195"/>
      <c r="AH1946" s="195"/>
    </row>
    <row r="1947" customHeight="1" spans="8:34">
      <c r="H1947" s="193"/>
      <c r="I1947" s="193"/>
      <c r="J1947" s="193"/>
      <c r="K1947" s="193"/>
      <c r="L1947" s="193"/>
      <c r="M1947" s="193"/>
      <c r="N1947" s="193"/>
      <c r="O1947" s="193"/>
      <c r="S1947" s="194"/>
      <c r="T1947" s="194"/>
      <c r="U1947" s="194"/>
      <c r="V1947" s="194"/>
      <c r="W1947" s="194"/>
      <c r="X1947" s="194"/>
      <c r="Y1947" s="194"/>
      <c r="Z1947" s="194"/>
      <c r="AA1947" s="194"/>
      <c r="AB1947" s="194"/>
      <c r="AC1947" s="194"/>
      <c r="AD1947" s="194"/>
      <c r="AE1947" s="195"/>
      <c r="AF1947" s="195"/>
      <c r="AG1947" s="195"/>
      <c r="AH1947" s="195"/>
    </row>
    <row r="1948" customHeight="1" spans="8:34">
      <c r="H1948" s="193"/>
      <c r="I1948" s="193"/>
      <c r="J1948" s="193"/>
      <c r="K1948" s="193"/>
      <c r="L1948" s="193"/>
      <c r="M1948" s="193"/>
      <c r="N1948" s="193"/>
      <c r="O1948" s="193"/>
      <c r="S1948" s="194"/>
      <c r="T1948" s="194"/>
      <c r="U1948" s="194"/>
      <c r="V1948" s="194"/>
      <c r="W1948" s="194"/>
      <c r="X1948" s="194"/>
      <c r="Y1948" s="194"/>
      <c r="Z1948" s="194"/>
      <c r="AA1948" s="194"/>
      <c r="AB1948" s="194"/>
      <c r="AC1948" s="194"/>
      <c r="AD1948" s="194"/>
      <c r="AE1948" s="195"/>
      <c r="AF1948" s="195"/>
      <c r="AG1948" s="195"/>
      <c r="AH1948" s="195"/>
    </row>
    <row r="1949" customHeight="1" spans="8:34">
      <c r="H1949" s="193"/>
      <c r="I1949" s="193"/>
      <c r="J1949" s="193"/>
      <c r="K1949" s="193"/>
      <c r="L1949" s="193"/>
      <c r="M1949" s="193"/>
      <c r="N1949" s="193"/>
      <c r="O1949" s="193"/>
      <c r="S1949" s="194"/>
      <c r="T1949" s="194"/>
      <c r="U1949" s="194"/>
      <c r="V1949" s="194"/>
      <c r="W1949" s="194"/>
      <c r="X1949" s="194"/>
      <c r="Y1949" s="194"/>
      <c r="Z1949" s="194"/>
      <c r="AA1949" s="194"/>
      <c r="AB1949" s="194"/>
      <c r="AC1949" s="194"/>
      <c r="AD1949" s="194"/>
      <c r="AE1949" s="195"/>
      <c r="AF1949" s="195"/>
      <c r="AG1949" s="195"/>
      <c r="AH1949" s="195"/>
    </row>
    <row r="1950" customHeight="1" spans="8:34">
      <c r="H1950" s="193"/>
      <c r="I1950" s="193"/>
      <c r="J1950" s="193"/>
      <c r="K1950" s="193"/>
      <c r="L1950" s="193"/>
      <c r="M1950" s="193"/>
      <c r="N1950" s="193"/>
      <c r="O1950" s="193"/>
      <c r="S1950" s="194"/>
      <c r="T1950" s="194"/>
      <c r="U1950" s="194"/>
      <c r="V1950" s="194"/>
      <c r="W1950" s="194"/>
      <c r="X1950" s="194"/>
      <c r="Y1950" s="194"/>
      <c r="Z1950" s="194"/>
      <c r="AA1950" s="194"/>
      <c r="AB1950" s="194"/>
      <c r="AC1950" s="194"/>
      <c r="AD1950" s="194"/>
      <c r="AE1950" s="195"/>
      <c r="AF1950" s="195"/>
      <c r="AG1950" s="195"/>
      <c r="AH1950" s="195"/>
    </row>
    <row r="1951" customHeight="1" spans="8:34">
      <c r="H1951" s="193"/>
      <c r="I1951" s="193"/>
      <c r="J1951" s="193"/>
      <c r="K1951" s="193"/>
      <c r="L1951" s="193"/>
      <c r="M1951" s="193"/>
      <c r="N1951" s="193"/>
      <c r="O1951" s="193"/>
      <c r="S1951" s="194"/>
      <c r="T1951" s="194"/>
      <c r="U1951" s="194"/>
      <c r="V1951" s="194"/>
      <c r="W1951" s="194"/>
      <c r="X1951" s="194"/>
      <c r="Y1951" s="194"/>
      <c r="Z1951" s="194"/>
      <c r="AA1951" s="194"/>
      <c r="AB1951" s="194"/>
      <c r="AC1951" s="194"/>
      <c r="AD1951" s="194"/>
      <c r="AE1951" s="195"/>
      <c r="AF1951" s="195"/>
      <c r="AG1951" s="195"/>
      <c r="AH1951" s="195"/>
    </row>
    <row r="1952" customHeight="1" spans="8:34">
      <c r="H1952" s="193"/>
      <c r="I1952" s="193"/>
      <c r="J1952" s="193"/>
      <c r="K1952" s="193"/>
      <c r="L1952" s="193"/>
      <c r="M1952" s="193"/>
      <c r="N1952" s="193"/>
      <c r="O1952" s="193"/>
      <c r="S1952" s="194"/>
      <c r="T1952" s="194"/>
      <c r="U1952" s="194"/>
      <c r="V1952" s="194"/>
      <c r="W1952" s="194"/>
      <c r="X1952" s="194"/>
      <c r="Y1952" s="194"/>
      <c r="Z1952" s="194"/>
      <c r="AA1952" s="194"/>
      <c r="AB1952" s="194"/>
      <c r="AC1952" s="194"/>
      <c r="AD1952" s="194"/>
      <c r="AE1952" s="195"/>
      <c r="AF1952" s="195"/>
      <c r="AG1952" s="195"/>
      <c r="AH1952" s="195"/>
    </row>
    <row r="1953" customHeight="1" spans="8:34">
      <c r="H1953" s="193"/>
      <c r="I1953" s="193"/>
      <c r="J1953" s="193"/>
      <c r="K1953" s="193"/>
      <c r="L1953" s="193"/>
      <c r="M1953" s="193"/>
      <c r="N1953" s="193"/>
      <c r="O1953" s="193"/>
      <c r="S1953" s="194"/>
      <c r="T1953" s="194"/>
      <c r="U1953" s="194"/>
      <c r="V1953" s="194"/>
      <c r="W1953" s="194"/>
      <c r="X1953" s="194"/>
      <c r="Y1953" s="194"/>
      <c r="Z1953" s="194"/>
      <c r="AA1953" s="194"/>
      <c r="AB1953" s="194"/>
      <c r="AC1953" s="194"/>
      <c r="AD1953" s="194"/>
      <c r="AE1953" s="195"/>
      <c r="AF1953" s="195"/>
      <c r="AG1953" s="195"/>
      <c r="AH1953" s="195"/>
    </row>
    <row r="1954" customHeight="1" spans="8:34">
      <c r="H1954" s="193"/>
      <c r="I1954" s="193"/>
      <c r="J1954" s="193"/>
      <c r="K1954" s="193"/>
      <c r="L1954" s="193"/>
      <c r="M1954" s="193"/>
      <c r="N1954" s="193"/>
      <c r="O1954" s="193"/>
      <c r="S1954" s="194"/>
      <c r="T1954" s="194"/>
      <c r="U1954" s="194"/>
      <c r="V1954" s="194"/>
      <c r="W1954" s="194"/>
      <c r="X1954" s="194"/>
      <c r="Y1954" s="194"/>
      <c r="Z1954" s="194"/>
      <c r="AA1954" s="194"/>
      <c r="AB1954" s="194"/>
      <c r="AC1954" s="194"/>
      <c r="AD1954" s="194"/>
      <c r="AE1954" s="195"/>
      <c r="AF1954" s="195"/>
      <c r="AG1954" s="195"/>
      <c r="AH1954" s="195"/>
    </row>
    <row r="1955" customHeight="1" spans="8:34">
      <c r="H1955" s="193"/>
      <c r="I1955" s="193"/>
      <c r="J1955" s="193"/>
      <c r="K1955" s="193"/>
      <c r="L1955" s="193"/>
      <c r="M1955" s="193"/>
      <c r="N1955" s="193"/>
      <c r="O1955" s="193"/>
      <c r="S1955" s="194"/>
      <c r="T1955" s="194"/>
      <c r="U1955" s="194"/>
      <c r="V1955" s="194"/>
      <c r="W1955" s="194"/>
      <c r="X1955" s="194"/>
      <c r="Y1955" s="194"/>
      <c r="Z1955" s="194"/>
      <c r="AA1955" s="194"/>
      <c r="AB1955" s="194"/>
      <c r="AC1955" s="194"/>
      <c r="AD1955" s="194"/>
      <c r="AE1955" s="195"/>
      <c r="AF1955" s="195"/>
      <c r="AG1955" s="195"/>
      <c r="AH1955" s="195"/>
    </row>
    <row r="1956" customHeight="1" spans="8:34">
      <c r="H1956" s="193"/>
      <c r="I1956" s="193"/>
      <c r="J1956" s="193"/>
      <c r="K1956" s="193"/>
      <c r="L1956" s="193"/>
      <c r="M1956" s="193"/>
      <c r="N1956" s="193"/>
      <c r="O1956" s="193"/>
      <c r="S1956" s="194"/>
      <c r="T1956" s="194"/>
      <c r="U1956" s="194"/>
      <c r="V1956" s="194"/>
      <c r="W1956" s="194"/>
      <c r="X1956" s="194"/>
      <c r="Y1956" s="194"/>
      <c r="Z1956" s="194"/>
      <c r="AA1956" s="194"/>
      <c r="AB1956" s="194"/>
      <c r="AC1956" s="194"/>
      <c r="AD1956" s="194"/>
      <c r="AE1956" s="195"/>
      <c r="AF1956" s="195"/>
      <c r="AG1956" s="195"/>
      <c r="AH1956" s="195"/>
    </row>
    <row r="1957" customHeight="1" spans="8:34">
      <c r="H1957" s="193"/>
      <c r="I1957" s="193"/>
      <c r="J1957" s="193"/>
      <c r="K1957" s="193"/>
      <c r="L1957" s="193"/>
      <c r="M1957" s="193"/>
      <c r="N1957" s="193"/>
      <c r="O1957" s="193"/>
      <c r="S1957" s="194"/>
      <c r="T1957" s="194"/>
      <c r="U1957" s="194"/>
      <c r="V1957" s="194"/>
      <c r="W1957" s="194"/>
      <c r="X1957" s="194"/>
      <c r="Y1957" s="194"/>
      <c r="Z1957" s="194"/>
      <c r="AA1957" s="194"/>
      <c r="AB1957" s="194"/>
      <c r="AC1957" s="194"/>
      <c r="AD1957" s="194"/>
      <c r="AE1957" s="195"/>
      <c r="AF1957" s="195"/>
      <c r="AG1957" s="195"/>
      <c r="AH1957" s="195"/>
    </row>
    <row r="1958" customHeight="1" spans="8:34">
      <c r="H1958" s="193"/>
      <c r="I1958" s="193"/>
      <c r="J1958" s="193"/>
      <c r="K1958" s="193"/>
      <c r="L1958" s="193"/>
      <c r="M1958" s="193"/>
      <c r="N1958" s="193"/>
      <c r="O1958" s="193"/>
      <c r="S1958" s="194"/>
      <c r="T1958" s="194"/>
      <c r="U1958" s="194"/>
      <c r="V1958" s="194"/>
      <c r="W1958" s="194"/>
      <c r="X1958" s="194"/>
      <c r="Y1958" s="194"/>
      <c r="Z1958" s="194"/>
      <c r="AA1958" s="194"/>
      <c r="AB1958" s="194"/>
      <c r="AC1958" s="194"/>
      <c r="AD1958" s="194"/>
      <c r="AE1958" s="195"/>
      <c r="AF1958" s="195"/>
      <c r="AG1958" s="195"/>
      <c r="AH1958" s="195"/>
    </row>
    <row r="1959" customHeight="1" spans="8:34">
      <c r="H1959" s="193"/>
      <c r="I1959" s="193"/>
      <c r="J1959" s="193"/>
      <c r="K1959" s="193"/>
      <c r="L1959" s="193"/>
      <c r="M1959" s="193"/>
      <c r="N1959" s="193"/>
      <c r="O1959" s="193"/>
      <c r="S1959" s="194"/>
      <c r="T1959" s="194"/>
      <c r="U1959" s="194"/>
      <c r="V1959" s="194"/>
      <c r="W1959" s="194"/>
      <c r="X1959" s="194"/>
      <c r="Y1959" s="194"/>
      <c r="Z1959" s="194"/>
      <c r="AA1959" s="194"/>
      <c r="AB1959" s="194"/>
      <c r="AC1959" s="194"/>
      <c r="AD1959" s="194"/>
      <c r="AE1959" s="195"/>
      <c r="AF1959" s="195"/>
      <c r="AG1959" s="195"/>
      <c r="AH1959" s="195"/>
    </row>
    <row r="1960" customHeight="1" spans="8:34">
      <c r="H1960" s="193"/>
      <c r="I1960" s="193"/>
      <c r="J1960" s="193"/>
      <c r="K1960" s="193"/>
      <c r="L1960" s="193"/>
      <c r="M1960" s="193"/>
      <c r="N1960" s="193"/>
      <c r="O1960" s="193"/>
      <c r="S1960" s="194"/>
      <c r="T1960" s="194"/>
      <c r="U1960" s="194"/>
      <c r="V1960" s="194"/>
      <c r="W1960" s="194"/>
      <c r="X1960" s="194"/>
      <c r="Y1960" s="194"/>
      <c r="Z1960" s="194"/>
      <c r="AA1960" s="194"/>
      <c r="AB1960" s="194"/>
      <c r="AC1960" s="194"/>
      <c r="AD1960" s="194"/>
      <c r="AE1960" s="195"/>
      <c r="AF1960" s="195"/>
      <c r="AG1960" s="195"/>
      <c r="AH1960" s="195"/>
    </row>
    <row r="1961" customHeight="1" spans="8:34">
      <c r="H1961" s="193"/>
      <c r="I1961" s="193"/>
      <c r="J1961" s="193"/>
      <c r="K1961" s="193"/>
      <c r="L1961" s="193"/>
      <c r="M1961" s="193"/>
      <c r="N1961" s="193"/>
      <c r="O1961" s="193"/>
      <c r="S1961" s="194"/>
      <c r="T1961" s="194"/>
      <c r="U1961" s="194"/>
      <c r="V1961" s="194"/>
      <c r="W1961" s="194"/>
      <c r="X1961" s="194"/>
      <c r="Y1961" s="194"/>
      <c r="Z1961" s="194"/>
      <c r="AA1961" s="194"/>
      <c r="AB1961" s="194"/>
      <c r="AC1961" s="194"/>
      <c r="AD1961" s="194"/>
      <c r="AE1961" s="195"/>
      <c r="AF1961" s="195"/>
      <c r="AG1961" s="195"/>
      <c r="AH1961" s="195"/>
    </row>
    <row r="1962" customHeight="1" spans="8:34">
      <c r="H1962" s="193"/>
      <c r="I1962" s="193"/>
      <c r="J1962" s="193"/>
      <c r="K1962" s="193"/>
      <c r="L1962" s="193"/>
      <c r="M1962" s="193"/>
      <c r="N1962" s="193"/>
      <c r="O1962" s="193"/>
      <c r="S1962" s="194"/>
      <c r="T1962" s="194"/>
      <c r="U1962" s="194"/>
      <c r="V1962" s="194"/>
      <c r="W1962" s="194"/>
      <c r="X1962" s="194"/>
      <c r="Y1962" s="194"/>
      <c r="Z1962" s="194"/>
      <c r="AA1962" s="194"/>
      <c r="AB1962" s="194"/>
      <c r="AC1962" s="194"/>
      <c r="AD1962" s="194"/>
      <c r="AE1962" s="195"/>
      <c r="AF1962" s="195"/>
      <c r="AG1962" s="195"/>
      <c r="AH1962" s="195"/>
    </row>
    <row r="1963" customHeight="1" spans="8:34">
      <c r="H1963" s="193"/>
      <c r="I1963" s="193"/>
      <c r="J1963" s="193"/>
      <c r="K1963" s="193"/>
      <c r="L1963" s="193"/>
      <c r="M1963" s="193"/>
      <c r="N1963" s="193"/>
      <c r="O1963" s="193"/>
      <c r="S1963" s="194"/>
      <c r="T1963" s="194"/>
      <c r="U1963" s="194"/>
      <c r="V1963" s="194"/>
      <c r="W1963" s="194"/>
      <c r="X1963" s="194"/>
      <c r="Y1963" s="194"/>
      <c r="Z1963" s="194"/>
      <c r="AA1963" s="194"/>
      <c r="AB1963" s="194"/>
      <c r="AC1963" s="194"/>
      <c r="AD1963" s="194"/>
      <c r="AE1963" s="195"/>
      <c r="AF1963" s="195"/>
      <c r="AG1963" s="195"/>
      <c r="AH1963" s="195"/>
    </row>
    <row r="1964" customHeight="1" spans="8:34">
      <c r="H1964" s="193"/>
      <c r="I1964" s="193"/>
      <c r="J1964" s="193"/>
      <c r="K1964" s="193"/>
      <c r="L1964" s="193"/>
      <c r="M1964" s="193"/>
      <c r="N1964" s="193"/>
      <c r="O1964" s="193"/>
      <c r="S1964" s="194"/>
      <c r="T1964" s="194"/>
      <c r="U1964" s="194"/>
      <c r="V1964" s="194"/>
      <c r="W1964" s="194"/>
      <c r="X1964" s="194"/>
      <c r="Y1964" s="194"/>
      <c r="Z1964" s="194"/>
      <c r="AA1964" s="194"/>
      <c r="AB1964" s="194"/>
      <c r="AC1964" s="194"/>
      <c r="AD1964" s="194"/>
      <c r="AE1964" s="195"/>
      <c r="AF1964" s="195"/>
      <c r="AG1964" s="195"/>
      <c r="AH1964" s="195"/>
    </row>
    <row r="1965" customHeight="1" spans="8:34">
      <c r="H1965" s="193"/>
      <c r="I1965" s="193"/>
      <c r="J1965" s="193"/>
      <c r="K1965" s="193"/>
      <c r="L1965" s="193"/>
      <c r="M1965" s="193"/>
      <c r="N1965" s="193"/>
      <c r="O1965" s="193"/>
      <c r="S1965" s="194"/>
      <c r="T1965" s="194"/>
      <c r="U1965" s="194"/>
      <c r="V1965" s="194"/>
      <c r="W1965" s="194"/>
      <c r="X1965" s="194"/>
      <c r="Y1965" s="194"/>
      <c r="Z1965" s="194"/>
      <c r="AA1965" s="194"/>
      <c r="AB1965" s="194"/>
      <c r="AC1965" s="194"/>
      <c r="AD1965" s="194"/>
      <c r="AE1965" s="195"/>
      <c r="AF1965" s="195"/>
      <c r="AG1965" s="195"/>
      <c r="AH1965" s="195"/>
    </row>
    <row r="1966" customHeight="1" spans="8:34">
      <c r="H1966" s="193"/>
      <c r="I1966" s="193"/>
      <c r="J1966" s="193"/>
      <c r="K1966" s="193"/>
      <c r="L1966" s="193"/>
      <c r="M1966" s="193"/>
      <c r="N1966" s="193"/>
      <c r="O1966" s="193"/>
      <c r="S1966" s="194"/>
      <c r="T1966" s="194"/>
      <c r="U1966" s="194"/>
      <c r="V1966" s="194"/>
      <c r="W1966" s="194"/>
      <c r="X1966" s="194"/>
      <c r="Y1966" s="194"/>
      <c r="Z1966" s="194"/>
      <c r="AA1966" s="194"/>
      <c r="AB1966" s="194"/>
      <c r="AC1966" s="194"/>
      <c r="AD1966" s="194"/>
      <c r="AE1966" s="195"/>
      <c r="AF1966" s="195"/>
      <c r="AG1966" s="195"/>
      <c r="AH1966" s="195"/>
    </row>
    <row r="1967" customHeight="1" spans="8:34">
      <c r="H1967" s="193"/>
      <c r="I1967" s="193"/>
      <c r="J1967" s="193"/>
      <c r="K1967" s="193"/>
      <c r="L1967" s="193"/>
      <c r="M1967" s="193"/>
      <c r="N1967" s="193"/>
      <c r="O1967" s="193"/>
      <c r="S1967" s="194"/>
      <c r="T1967" s="194"/>
      <c r="U1967" s="194"/>
      <c r="V1967" s="194"/>
      <c r="W1967" s="194"/>
      <c r="X1967" s="194"/>
      <c r="Y1967" s="194"/>
      <c r="Z1967" s="194"/>
      <c r="AA1967" s="194"/>
      <c r="AB1967" s="194"/>
      <c r="AC1967" s="194"/>
      <c r="AD1967" s="194"/>
      <c r="AE1967" s="195"/>
      <c r="AF1967" s="195"/>
      <c r="AG1967" s="195"/>
      <c r="AH1967" s="195"/>
    </row>
    <row r="1968" customHeight="1" spans="8:34">
      <c r="H1968" s="193"/>
      <c r="I1968" s="193"/>
      <c r="J1968" s="193"/>
      <c r="K1968" s="193"/>
      <c r="L1968" s="193"/>
      <c r="M1968" s="193"/>
      <c r="N1968" s="193"/>
      <c r="O1968" s="193"/>
      <c r="S1968" s="194"/>
      <c r="T1968" s="194"/>
      <c r="U1968" s="194"/>
      <c r="V1968" s="194"/>
      <c r="W1968" s="194"/>
      <c r="X1968" s="194"/>
      <c r="Y1968" s="194"/>
      <c r="Z1968" s="194"/>
      <c r="AA1968" s="194"/>
      <c r="AB1968" s="194"/>
      <c r="AC1968" s="194"/>
      <c r="AD1968" s="194"/>
      <c r="AE1968" s="195"/>
      <c r="AF1968" s="195"/>
      <c r="AG1968" s="195"/>
      <c r="AH1968" s="195"/>
    </row>
    <row r="1969" customHeight="1" spans="8:34">
      <c r="H1969" s="193"/>
      <c r="I1969" s="193"/>
      <c r="J1969" s="193"/>
      <c r="K1969" s="193"/>
      <c r="L1969" s="193"/>
      <c r="M1969" s="193"/>
      <c r="N1969" s="193"/>
      <c r="O1969" s="193"/>
      <c r="S1969" s="194"/>
      <c r="T1969" s="194"/>
      <c r="U1969" s="194"/>
      <c r="V1969" s="194"/>
      <c r="W1969" s="194"/>
      <c r="X1969" s="194"/>
      <c r="Y1969" s="194"/>
      <c r="Z1969" s="194"/>
      <c r="AA1969" s="194"/>
      <c r="AB1969" s="194"/>
      <c r="AC1969" s="194"/>
      <c r="AD1969" s="194"/>
      <c r="AE1969" s="195"/>
      <c r="AF1969" s="195"/>
      <c r="AG1969" s="195"/>
      <c r="AH1969" s="195"/>
    </row>
    <row r="1970" customHeight="1" spans="8:34">
      <c r="H1970" s="193"/>
      <c r="I1970" s="193"/>
      <c r="J1970" s="193"/>
      <c r="K1970" s="193"/>
      <c r="L1970" s="193"/>
      <c r="M1970" s="193"/>
      <c r="N1970" s="193"/>
      <c r="O1970" s="193"/>
      <c r="S1970" s="194"/>
      <c r="T1970" s="194"/>
      <c r="U1970" s="194"/>
      <c r="V1970" s="194"/>
      <c r="W1970" s="194"/>
      <c r="X1970" s="194"/>
      <c r="Y1970" s="194"/>
      <c r="Z1970" s="194"/>
      <c r="AA1970" s="194"/>
      <c r="AB1970" s="194"/>
      <c r="AC1970" s="194"/>
      <c r="AD1970" s="194"/>
      <c r="AE1970" s="195"/>
      <c r="AF1970" s="195"/>
      <c r="AG1970" s="195"/>
      <c r="AH1970" s="195"/>
    </row>
    <row r="1971" customHeight="1" spans="8:34">
      <c r="H1971" s="193"/>
      <c r="I1971" s="193"/>
      <c r="J1971" s="193"/>
      <c r="K1971" s="193"/>
      <c r="L1971" s="193"/>
      <c r="M1971" s="193"/>
      <c r="N1971" s="193"/>
      <c r="O1971" s="193"/>
      <c r="S1971" s="194"/>
      <c r="T1971" s="194"/>
      <c r="U1971" s="194"/>
      <c r="V1971" s="194"/>
      <c r="W1971" s="194"/>
      <c r="X1971" s="194"/>
      <c r="Y1971" s="194"/>
      <c r="Z1971" s="194"/>
      <c r="AA1971" s="194"/>
      <c r="AB1971" s="194"/>
      <c r="AC1971" s="194"/>
      <c r="AD1971" s="194"/>
      <c r="AE1971" s="195"/>
      <c r="AF1971" s="195"/>
      <c r="AG1971" s="195"/>
      <c r="AH1971" s="195"/>
    </row>
    <row r="1972" customHeight="1" spans="8:34">
      <c r="H1972" s="193"/>
      <c r="I1972" s="193"/>
      <c r="J1972" s="193"/>
      <c r="K1972" s="193"/>
      <c r="L1972" s="193"/>
      <c r="M1972" s="193"/>
      <c r="N1972" s="193"/>
      <c r="O1972" s="193"/>
      <c r="S1972" s="194"/>
      <c r="T1972" s="194"/>
      <c r="U1972" s="194"/>
      <c r="V1972" s="194"/>
      <c r="W1972" s="194"/>
      <c r="X1972" s="194"/>
      <c r="Y1972" s="194"/>
      <c r="Z1972" s="194"/>
      <c r="AA1972" s="194"/>
      <c r="AB1972" s="194"/>
      <c r="AC1972" s="194"/>
      <c r="AD1972" s="194"/>
      <c r="AE1972" s="195"/>
      <c r="AF1972" s="195"/>
      <c r="AG1972" s="195"/>
      <c r="AH1972" s="195"/>
    </row>
    <row r="1973" customHeight="1" spans="8:34">
      <c r="H1973" s="193"/>
      <c r="I1973" s="193"/>
      <c r="J1973" s="193"/>
      <c r="K1973" s="193"/>
      <c r="L1973" s="193"/>
      <c r="M1973" s="193"/>
      <c r="N1973" s="193"/>
      <c r="O1973" s="193"/>
      <c r="S1973" s="194"/>
      <c r="T1973" s="194"/>
      <c r="U1973" s="194"/>
      <c r="V1973" s="194"/>
      <c r="W1973" s="194"/>
      <c r="X1973" s="194"/>
      <c r="Y1973" s="194"/>
      <c r="Z1973" s="194"/>
      <c r="AA1973" s="194"/>
      <c r="AB1973" s="194"/>
      <c r="AC1973" s="194"/>
      <c r="AD1973" s="194"/>
      <c r="AE1973" s="195"/>
      <c r="AF1973" s="195"/>
      <c r="AG1973" s="195"/>
      <c r="AH1973" s="195"/>
    </row>
    <row r="1974" customHeight="1" spans="8:34">
      <c r="H1974" s="193"/>
      <c r="I1974" s="193"/>
      <c r="J1974" s="193"/>
      <c r="K1974" s="193"/>
      <c r="L1974" s="193"/>
      <c r="M1974" s="193"/>
      <c r="N1974" s="193"/>
      <c r="O1974" s="193"/>
      <c r="S1974" s="194"/>
      <c r="T1974" s="194"/>
      <c r="U1974" s="194"/>
      <c r="V1974" s="194"/>
      <c r="W1974" s="194"/>
      <c r="X1974" s="194"/>
      <c r="Y1974" s="194"/>
      <c r="Z1974" s="194"/>
      <c r="AA1974" s="194"/>
      <c r="AB1974" s="194"/>
      <c r="AC1974" s="194"/>
      <c r="AD1974" s="194"/>
      <c r="AE1974" s="195"/>
      <c r="AF1974" s="195"/>
      <c r="AG1974" s="195"/>
      <c r="AH1974" s="195"/>
    </row>
    <row r="1975" customHeight="1" spans="8:34">
      <c r="H1975" s="193"/>
      <c r="I1975" s="193"/>
      <c r="J1975" s="193"/>
      <c r="K1975" s="193"/>
      <c r="L1975" s="193"/>
      <c r="M1975" s="193"/>
      <c r="N1975" s="193"/>
      <c r="O1975" s="193"/>
      <c r="S1975" s="194"/>
      <c r="T1975" s="194"/>
      <c r="U1975" s="194"/>
      <c r="V1975" s="194"/>
      <c r="W1975" s="194"/>
      <c r="X1975" s="194"/>
      <c r="Y1975" s="194"/>
      <c r="Z1975" s="194"/>
      <c r="AA1975" s="194"/>
      <c r="AB1975" s="194"/>
      <c r="AC1975" s="194"/>
      <c r="AD1975" s="194"/>
      <c r="AE1975" s="195"/>
      <c r="AF1975" s="195"/>
      <c r="AG1975" s="195"/>
      <c r="AH1975" s="195"/>
    </row>
    <row r="1976" customHeight="1" spans="8:34">
      <c r="H1976" s="193"/>
      <c r="I1976" s="193"/>
      <c r="J1976" s="193"/>
      <c r="K1976" s="193"/>
      <c r="L1976" s="193"/>
      <c r="M1976" s="193"/>
      <c r="N1976" s="193"/>
      <c r="O1976" s="193"/>
      <c r="S1976" s="194"/>
      <c r="T1976" s="194"/>
      <c r="U1976" s="194"/>
      <c r="V1976" s="194"/>
      <c r="W1976" s="194"/>
      <c r="X1976" s="194"/>
      <c r="Y1976" s="194"/>
      <c r="Z1976" s="194"/>
      <c r="AA1976" s="194"/>
      <c r="AB1976" s="194"/>
      <c r="AC1976" s="194"/>
      <c r="AD1976" s="194"/>
      <c r="AE1976" s="195"/>
      <c r="AF1976" s="195"/>
      <c r="AG1976" s="195"/>
      <c r="AH1976" s="195"/>
    </row>
    <row r="1977" customHeight="1" spans="8:34">
      <c r="H1977" s="193"/>
      <c r="I1977" s="193"/>
      <c r="J1977" s="193"/>
      <c r="K1977" s="193"/>
      <c r="L1977" s="193"/>
      <c r="M1977" s="193"/>
      <c r="N1977" s="193"/>
      <c r="O1977" s="193"/>
      <c r="S1977" s="194"/>
      <c r="T1977" s="194"/>
      <c r="U1977" s="194"/>
      <c r="V1977" s="194"/>
      <c r="W1977" s="194"/>
      <c r="X1977" s="194"/>
      <c r="Y1977" s="194"/>
      <c r="Z1977" s="194"/>
      <c r="AA1977" s="194"/>
      <c r="AB1977" s="194"/>
      <c r="AC1977" s="194"/>
      <c r="AD1977" s="194"/>
      <c r="AE1977" s="195"/>
      <c r="AF1977" s="195"/>
      <c r="AG1977" s="195"/>
      <c r="AH1977" s="195"/>
    </row>
    <row r="1978" customHeight="1" spans="8:34">
      <c r="S1978" s="196"/>
      <c r="T1978" s="196"/>
      <c r="U1978" s="196"/>
      <c r="V1978" s="196"/>
      <c r="W1978" s="196"/>
      <c r="X1978" s="196"/>
      <c r="Y1978" s="196"/>
      <c r="Z1978" s="196"/>
      <c r="AA1978" s="196"/>
      <c r="AB1978" s="196"/>
      <c r="AC1978" s="196"/>
      <c r="AD1978" s="196"/>
      <c r="AE1978" s="197"/>
      <c r="AF1978" s="197"/>
      <c r="AG1978" s="197"/>
      <c r="AH1978" s="197"/>
    </row>
    <row r="1979" customHeight="1" spans="8:34">
      <c r="S1979" s="196"/>
      <c r="T1979" s="196"/>
      <c r="U1979" s="196"/>
      <c r="V1979" s="196"/>
      <c r="W1979" s="196"/>
      <c r="X1979" s="196"/>
      <c r="Y1979" s="196"/>
      <c r="Z1979" s="196"/>
      <c r="AA1979" s="196"/>
      <c r="AB1979" s="196"/>
      <c r="AC1979" s="196"/>
      <c r="AD1979" s="196"/>
      <c r="AE1979" s="197"/>
      <c r="AF1979" s="197"/>
      <c r="AG1979" s="197"/>
      <c r="AH1979" s="197"/>
    </row>
    <row r="1980" customHeight="1" spans="8:34">
      <c r="S1980" s="196"/>
      <c r="T1980" s="196"/>
      <c r="U1980" s="196"/>
      <c r="V1980" s="196"/>
      <c r="W1980" s="196"/>
      <c r="X1980" s="196"/>
      <c r="Y1980" s="196"/>
      <c r="Z1980" s="196"/>
      <c r="AA1980" s="196"/>
      <c r="AB1980" s="196"/>
      <c r="AC1980" s="196"/>
      <c r="AD1980" s="196"/>
      <c r="AE1980" s="197"/>
      <c r="AF1980" s="197"/>
      <c r="AG1980" s="197"/>
      <c r="AH1980" s="197"/>
    </row>
    <row r="1981" customHeight="1" spans="8:34">
      <c r="S1981" s="196"/>
      <c r="T1981" s="196"/>
      <c r="U1981" s="196"/>
      <c r="V1981" s="196"/>
      <c r="W1981" s="196"/>
      <c r="X1981" s="196"/>
      <c r="Y1981" s="196"/>
      <c r="Z1981" s="196"/>
      <c r="AA1981" s="196"/>
      <c r="AB1981" s="196"/>
      <c r="AC1981" s="196"/>
      <c r="AD1981" s="196"/>
      <c r="AE1981" s="197"/>
      <c r="AF1981" s="197"/>
      <c r="AG1981" s="197"/>
      <c r="AH1981" s="197"/>
    </row>
    <row r="1982" customHeight="1" spans="8:34">
      <c r="S1982" s="196"/>
      <c r="T1982" s="196"/>
      <c r="U1982" s="196"/>
      <c r="V1982" s="196"/>
      <c r="W1982" s="196"/>
      <c r="X1982" s="196"/>
      <c r="Y1982" s="196"/>
      <c r="Z1982" s="196"/>
      <c r="AA1982" s="196"/>
      <c r="AB1982" s="196"/>
      <c r="AC1982" s="196"/>
      <c r="AD1982" s="196"/>
      <c r="AE1982" s="197"/>
      <c r="AF1982" s="197"/>
      <c r="AG1982" s="197"/>
      <c r="AH1982" s="197"/>
    </row>
    <row r="1983" customHeight="1" spans="8:34">
      <c r="S1983" s="196"/>
      <c r="T1983" s="196"/>
      <c r="U1983" s="196"/>
      <c r="V1983" s="196"/>
      <c r="W1983" s="196"/>
      <c r="X1983" s="196"/>
      <c r="Y1983" s="196"/>
      <c r="Z1983" s="196"/>
      <c r="AA1983" s="196"/>
      <c r="AB1983" s="196"/>
      <c r="AC1983" s="196"/>
      <c r="AD1983" s="196"/>
      <c r="AE1983" s="197"/>
      <c r="AF1983" s="197"/>
      <c r="AG1983" s="197"/>
      <c r="AH1983" s="197"/>
    </row>
    <row r="1984" customHeight="1" spans="8:34">
      <c r="S1984" s="196"/>
      <c r="T1984" s="196"/>
      <c r="U1984" s="196"/>
      <c r="V1984" s="196"/>
      <c r="W1984" s="196"/>
      <c r="X1984" s="196"/>
      <c r="Y1984" s="196"/>
      <c r="Z1984" s="196"/>
      <c r="AA1984" s="196"/>
      <c r="AB1984" s="196"/>
      <c r="AC1984" s="196"/>
      <c r="AD1984" s="196"/>
      <c r="AE1984" s="197"/>
      <c r="AF1984" s="197"/>
      <c r="AG1984" s="197"/>
      <c r="AH1984" s="197"/>
    </row>
    <row r="1985" customHeight="1" spans="19:34">
      <c r="S1985" s="196"/>
      <c r="T1985" s="196"/>
      <c r="U1985" s="196"/>
      <c r="V1985" s="196"/>
      <c r="W1985" s="196"/>
      <c r="X1985" s="196"/>
      <c r="Y1985" s="196"/>
      <c r="Z1985" s="196"/>
      <c r="AA1985" s="196"/>
      <c r="AB1985" s="196"/>
      <c r="AC1985" s="196"/>
      <c r="AD1985" s="196"/>
      <c r="AE1985" s="197"/>
      <c r="AF1985" s="197"/>
      <c r="AG1985" s="197"/>
      <c r="AH1985" s="197"/>
    </row>
    <row r="1986" customHeight="1" spans="19:34">
      <c r="S1986" s="196"/>
      <c r="T1986" s="196"/>
      <c r="U1986" s="196"/>
      <c r="V1986" s="196"/>
      <c r="W1986" s="196"/>
      <c r="X1986" s="196"/>
      <c r="Y1986" s="196"/>
      <c r="Z1986" s="196"/>
      <c r="AA1986" s="196"/>
      <c r="AB1986" s="196"/>
      <c r="AC1986" s="196"/>
      <c r="AD1986" s="196"/>
      <c r="AE1986" s="197"/>
      <c r="AF1986" s="197"/>
      <c r="AG1986" s="197"/>
      <c r="AH1986" s="197"/>
    </row>
    <row r="1987" customHeight="1" spans="19:34">
      <c r="S1987" s="196"/>
      <c r="T1987" s="196"/>
      <c r="U1987" s="196"/>
      <c r="V1987" s="196"/>
      <c r="W1987" s="196"/>
      <c r="X1987" s="196"/>
      <c r="Y1987" s="196"/>
      <c r="Z1987" s="196"/>
      <c r="AA1987" s="196"/>
      <c r="AB1987" s="196"/>
      <c r="AC1987" s="196"/>
      <c r="AD1987" s="196"/>
      <c r="AE1987" s="197"/>
      <c r="AF1987" s="197"/>
      <c r="AG1987" s="197"/>
      <c r="AH1987" s="197"/>
    </row>
    <row r="1988" customHeight="1" spans="19:34">
      <c r="S1988" s="196"/>
      <c r="T1988" s="196"/>
      <c r="U1988" s="196"/>
      <c r="V1988" s="196"/>
      <c r="W1988" s="196"/>
      <c r="X1988" s="196"/>
      <c r="Y1988" s="196"/>
      <c r="Z1988" s="196"/>
      <c r="AA1988" s="196"/>
      <c r="AB1988" s="196"/>
      <c r="AC1988" s="196"/>
      <c r="AD1988" s="196"/>
      <c r="AE1988" s="197"/>
      <c r="AF1988" s="197"/>
      <c r="AG1988" s="197"/>
      <c r="AH1988" s="197"/>
    </row>
    <row r="1989" customHeight="1" spans="19:34">
      <c r="S1989" s="196"/>
      <c r="T1989" s="196"/>
      <c r="U1989" s="196"/>
      <c r="V1989" s="196"/>
      <c r="W1989" s="196"/>
      <c r="X1989" s="196"/>
      <c r="Y1989" s="196"/>
      <c r="Z1989" s="196"/>
      <c r="AA1989" s="196"/>
      <c r="AB1989" s="196"/>
      <c r="AC1989" s="196"/>
      <c r="AD1989" s="196"/>
      <c r="AE1989" s="197"/>
      <c r="AF1989" s="197"/>
      <c r="AG1989" s="197"/>
      <c r="AH1989" s="197"/>
    </row>
    <row r="1990" customHeight="1" spans="19:34">
      <c r="S1990" s="196"/>
      <c r="T1990" s="196"/>
      <c r="U1990" s="196"/>
      <c r="V1990" s="196"/>
      <c r="W1990" s="196"/>
      <c r="X1990" s="196"/>
      <c r="Y1990" s="196"/>
      <c r="Z1990" s="196"/>
      <c r="AA1990" s="196"/>
      <c r="AB1990" s="196"/>
      <c r="AC1990" s="196"/>
      <c r="AD1990" s="196"/>
      <c r="AE1990" s="197"/>
      <c r="AF1990" s="197"/>
      <c r="AG1990" s="197"/>
      <c r="AH1990" s="197"/>
    </row>
    <row r="1991" customHeight="1" spans="19:34">
      <c r="S1991" s="196"/>
      <c r="T1991" s="196"/>
      <c r="U1991" s="196"/>
      <c r="V1991" s="196"/>
      <c r="W1991" s="196"/>
      <c r="X1991" s="196"/>
      <c r="Y1991" s="196"/>
      <c r="Z1991" s="196"/>
      <c r="AA1991" s="196"/>
      <c r="AB1991" s="196"/>
      <c r="AC1991" s="196"/>
      <c r="AD1991" s="196"/>
      <c r="AE1991" s="197"/>
      <c r="AF1991" s="197"/>
      <c r="AG1991" s="197"/>
      <c r="AH1991" s="197"/>
    </row>
    <row r="1992" customHeight="1" spans="19:34">
      <c r="S1992" s="196"/>
      <c r="T1992" s="196"/>
      <c r="U1992" s="196"/>
      <c r="V1992" s="196"/>
      <c r="W1992" s="196"/>
      <c r="X1992" s="196"/>
      <c r="Y1992" s="196"/>
      <c r="Z1992" s="196"/>
      <c r="AA1992" s="196"/>
      <c r="AB1992" s="196"/>
      <c r="AC1992" s="196"/>
      <c r="AD1992" s="196"/>
      <c r="AE1992" s="197"/>
      <c r="AF1992" s="197"/>
      <c r="AG1992" s="197"/>
      <c r="AH1992" s="197"/>
    </row>
    <row r="1993" customHeight="1" spans="19:34">
      <c r="S1993" s="196"/>
      <c r="T1993" s="196"/>
      <c r="U1993" s="196"/>
      <c r="V1993" s="196"/>
      <c r="W1993" s="196"/>
      <c r="X1993" s="196"/>
      <c r="Y1993" s="196"/>
      <c r="Z1993" s="196"/>
      <c r="AA1993" s="196"/>
      <c r="AB1993" s="196"/>
      <c r="AC1993" s="196"/>
      <c r="AD1993" s="196"/>
      <c r="AE1993" s="197"/>
      <c r="AF1993" s="197"/>
      <c r="AG1993" s="197"/>
      <c r="AH1993" s="197"/>
    </row>
    <row r="1994" customHeight="1" spans="19:34">
      <c r="S1994" s="196"/>
      <c r="T1994" s="196"/>
      <c r="U1994" s="196"/>
      <c r="V1994" s="196"/>
      <c r="W1994" s="196"/>
      <c r="X1994" s="196"/>
      <c r="Y1994" s="196"/>
      <c r="Z1994" s="196"/>
      <c r="AA1994" s="196"/>
      <c r="AB1994" s="196"/>
      <c r="AC1994" s="196"/>
      <c r="AD1994" s="196"/>
      <c r="AE1994" s="197"/>
      <c r="AF1994" s="197"/>
      <c r="AG1994" s="197"/>
      <c r="AH1994" s="197"/>
    </row>
    <row r="1995" customHeight="1" spans="19:34">
      <c r="S1995" s="196"/>
      <c r="T1995" s="196"/>
      <c r="U1995" s="196"/>
      <c r="V1995" s="196"/>
      <c r="W1995" s="196"/>
      <c r="X1995" s="196"/>
      <c r="Y1995" s="196"/>
      <c r="Z1995" s="196"/>
      <c r="AA1995" s="196"/>
      <c r="AB1995" s="196"/>
      <c r="AC1995" s="196"/>
      <c r="AD1995" s="196"/>
      <c r="AE1995" s="197"/>
      <c r="AF1995" s="197"/>
      <c r="AG1995" s="197"/>
      <c r="AH1995" s="197"/>
    </row>
    <row r="1996" customHeight="1" spans="19:34">
      <c r="S1996" s="196"/>
      <c r="T1996" s="196"/>
      <c r="U1996" s="196"/>
      <c r="V1996" s="196"/>
      <c r="W1996" s="196"/>
      <c r="X1996" s="196"/>
      <c r="Y1996" s="196"/>
      <c r="Z1996" s="196"/>
      <c r="AA1996" s="196"/>
      <c r="AB1996" s="196"/>
      <c r="AC1996" s="196"/>
      <c r="AD1996" s="196"/>
      <c r="AE1996" s="197"/>
      <c r="AF1996" s="197"/>
      <c r="AG1996" s="197"/>
      <c r="AH1996" s="197"/>
    </row>
    <row r="1997" customHeight="1" spans="19:34">
      <c r="S1997" s="196"/>
      <c r="T1997" s="196"/>
      <c r="U1997" s="196"/>
      <c r="V1997" s="196"/>
      <c r="W1997" s="196"/>
      <c r="X1997" s="196"/>
      <c r="Y1997" s="196"/>
      <c r="Z1997" s="196"/>
      <c r="AA1997" s="196"/>
      <c r="AB1997" s="196"/>
      <c r="AC1997" s="196"/>
      <c r="AD1997" s="196"/>
      <c r="AE1997" s="197"/>
      <c r="AF1997" s="197"/>
      <c r="AG1997" s="197"/>
      <c r="AH1997" s="197"/>
    </row>
    <row r="1998" customHeight="1" spans="19:34">
      <c r="S1998" s="196"/>
      <c r="T1998" s="196"/>
      <c r="U1998" s="196"/>
      <c r="V1998" s="196"/>
      <c r="W1998" s="196"/>
      <c r="X1998" s="196"/>
      <c r="Y1998" s="196"/>
      <c r="Z1998" s="196"/>
      <c r="AA1998" s="196"/>
      <c r="AB1998" s="196"/>
      <c r="AC1998" s="196"/>
      <c r="AD1998" s="196"/>
      <c r="AE1998" s="197"/>
      <c r="AF1998" s="197"/>
      <c r="AG1998" s="197"/>
      <c r="AH1998" s="197"/>
    </row>
    <row r="1999" customHeight="1" spans="19:34">
      <c r="S1999" s="196"/>
      <c r="T1999" s="196"/>
      <c r="U1999" s="196"/>
      <c r="V1999" s="196"/>
      <c r="W1999" s="196"/>
      <c r="X1999" s="196"/>
      <c r="Y1999" s="196"/>
      <c r="Z1999" s="196"/>
      <c r="AA1999" s="196"/>
      <c r="AB1999" s="196"/>
      <c r="AC1999" s="196"/>
      <c r="AD1999" s="196"/>
      <c r="AE1999" s="197"/>
      <c r="AF1999" s="197"/>
      <c r="AG1999" s="197"/>
      <c r="AH1999" s="197"/>
    </row>
    <row r="2000" customHeight="1" spans="19:34">
      <c r="S2000" s="196"/>
      <c r="T2000" s="196"/>
      <c r="U2000" s="196"/>
      <c r="V2000" s="196"/>
      <c r="W2000" s="196"/>
      <c r="X2000" s="196"/>
      <c r="Y2000" s="196"/>
      <c r="Z2000" s="196"/>
      <c r="AA2000" s="196"/>
      <c r="AB2000" s="196"/>
      <c r="AC2000" s="196"/>
      <c r="AD2000" s="196"/>
      <c r="AE2000" s="197"/>
      <c r="AF2000" s="197"/>
      <c r="AG2000" s="197"/>
      <c r="AH2000" s="197"/>
    </row>
    <row r="2001" customHeight="1" spans="19:34">
      <c r="S2001" s="196"/>
      <c r="T2001" s="196"/>
      <c r="U2001" s="196"/>
      <c r="V2001" s="196"/>
      <c r="W2001" s="196"/>
      <c r="X2001" s="196"/>
      <c r="Y2001" s="196"/>
      <c r="Z2001" s="196"/>
      <c r="AA2001" s="196"/>
      <c r="AB2001" s="196"/>
      <c r="AC2001" s="196"/>
      <c r="AD2001" s="196"/>
      <c r="AE2001" s="197"/>
      <c r="AF2001" s="197"/>
      <c r="AG2001" s="197"/>
      <c r="AH2001" s="197"/>
    </row>
    <row r="2002" customHeight="1" spans="19:34">
      <c r="S2002" s="196"/>
      <c r="T2002" s="196"/>
      <c r="U2002" s="196"/>
      <c r="V2002" s="196"/>
      <c r="W2002" s="196"/>
      <c r="X2002" s="196"/>
      <c r="Y2002" s="196"/>
      <c r="Z2002" s="196"/>
      <c r="AA2002" s="196"/>
      <c r="AB2002" s="196"/>
      <c r="AC2002" s="196"/>
      <c r="AD2002" s="196"/>
      <c r="AE2002" s="197"/>
      <c r="AF2002" s="197"/>
      <c r="AG2002" s="197"/>
      <c r="AH2002" s="197"/>
    </row>
    <row r="2003" customHeight="1" spans="19:34">
      <c r="S2003" s="196"/>
      <c r="T2003" s="196"/>
      <c r="U2003" s="196"/>
      <c r="V2003" s="196"/>
      <c r="W2003" s="196"/>
      <c r="X2003" s="196"/>
      <c r="Y2003" s="196"/>
      <c r="Z2003" s="196"/>
      <c r="AA2003" s="196"/>
      <c r="AB2003" s="196"/>
      <c r="AC2003" s="196"/>
      <c r="AD2003" s="196"/>
      <c r="AE2003" s="197"/>
      <c r="AF2003" s="197"/>
      <c r="AG2003" s="197"/>
      <c r="AH2003" s="197"/>
    </row>
    <row r="2004" customHeight="1" spans="19:34">
      <c r="S2004" s="196"/>
      <c r="T2004" s="196"/>
      <c r="U2004" s="196"/>
      <c r="V2004" s="196"/>
      <c r="W2004" s="196"/>
      <c r="X2004" s="196"/>
      <c r="Y2004" s="196"/>
      <c r="Z2004" s="196"/>
      <c r="AA2004" s="196"/>
      <c r="AB2004" s="196"/>
      <c r="AC2004" s="196"/>
      <c r="AD2004" s="196"/>
      <c r="AE2004" s="197"/>
      <c r="AF2004" s="197"/>
      <c r="AG2004" s="197"/>
      <c r="AH2004" s="197"/>
    </row>
    <row r="2005" customHeight="1" spans="19:34">
      <c r="S2005" s="196"/>
      <c r="T2005" s="196"/>
      <c r="U2005" s="196"/>
      <c r="V2005" s="196"/>
      <c r="W2005" s="196"/>
      <c r="X2005" s="196"/>
      <c r="Y2005" s="196"/>
      <c r="Z2005" s="196"/>
      <c r="AA2005" s="196"/>
      <c r="AB2005" s="196"/>
      <c r="AC2005" s="196"/>
      <c r="AD2005" s="196"/>
      <c r="AE2005" s="197"/>
      <c r="AF2005" s="197"/>
      <c r="AG2005" s="197"/>
      <c r="AH2005" s="197"/>
    </row>
    <row r="2006" customHeight="1" spans="19:34">
      <c r="S2006" s="196"/>
      <c r="T2006" s="196"/>
      <c r="U2006" s="196"/>
      <c r="V2006" s="196"/>
      <c r="W2006" s="196"/>
      <c r="X2006" s="196"/>
      <c r="Y2006" s="196"/>
      <c r="Z2006" s="196"/>
      <c r="AA2006" s="196"/>
      <c r="AB2006" s="196"/>
      <c r="AC2006" s="196"/>
      <c r="AD2006" s="196"/>
      <c r="AE2006" s="197"/>
      <c r="AF2006" s="197"/>
      <c r="AG2006" s="197"/>
      <c r="AH2006" s="197"/>
    </row>
    <row r="2007" customHeight="1" spans="19:34">
      <c r="S2007" s="196"/>
      <c r="T2007" s="196"/>
      <c r="U2007" s="196"/>
      <c r="V2007" s="196"/>
      <c r="W2007" s="196"/>
      <c r="X2007" s="196"/>
      <c r="Y2007" s="196"/>
      <c r="Z2007" s="196"/>
      <c r="AA2007" s="196"/>
      <c r="AB2007" s="196"/>
      <c r="AC2007" s="196"/>
      <c r="AD2007" s="196"/>
      <c r="AE2007" s="197"/>
      <c r="AF2007" s="197"/>
      <c r="AG2007" s="197"/>
      <c r="AH2007" s="197"/>
    </row>
    <row r="2008" customHeight="1" spans="19:34">
      <c r="S2008" s="196"/>
      <c r="T2008" s="196"/>
      <c r="U2008" s="196"/>
      <c r="V2008" s="196"/>
      <c r="W2008" s="196"/>
      <c r="X2008" s="196"/>
      <c r="Y2008" s="196"/>
      <c r="Z2008" s="196"/>
      <c r="AA2008" s="196"/>
      <c r="AB2008" s="196"/>
      <c r="AC2008" s="196"/>
      <c r="AD2008" s="196"/>
      <c r="AE2008" s="197"/>
      <c r="AF2008" s="197"/>
      <c r="AG2008" s="197"/>
      <c r="AH2008" s="197"/>
    </row>
    <row r="2009" customHeight="1" spans="19:34">
      <c r="S2009" s="196"/>
      <c r="T2009" s="196"/>
      <c r="U2009" s="196"/>
      <c r="V2009" s="196"/>
      <c r="W2009" s="196"/>
      <c r="X2009" s="196"/>
      <c r="Y2009" s="196"/>
      <c r="Z2009" s="196"/>
      <c r="AA2009" s="196"/>
      <c r="AB2009" s="196"/>
      <c r="AC2009" s="196"/>
      <c r="AD2009" s="196"/>
      <c r="AE2009" s="197"/>
      <c r="AF2009" s="197"/>
      <c r="AG2009" s="197"/>
      <c r="AH2009" s="197"/>
    </row>
    <row r="2010" customHeight="1" spans="19:34">
      <c r="S2010" s="196"/>
      <c r="T2010" s="196"/>
      <c r="U2010" s="196"/>
      <c r="V2010" s="196"/>
      <c r="W2010" s="196"/>
      <c r="X2010" s="196"/>
      <c r="Y2010" s="196"/>
      <c r="Z2010" s="196"/>
      <c r="AA2010" s="196"/>
      <c r="AB2010" s="196"/>
      <c r="AC2010" s="196"/>
      <c r="AD2010" s="196"/>
      <c r="AE2010" s="197"/>
      <c r="AF2010" s="197"/>
      <c r="AG2010" s="197"/>
      <c r="AH2010" s="197"/>
    </row>
    <row r="2011" customHeight="1" spans="19:34">
      <c r="S2011" s="196"/>
      <c r="T2011" s="196"/>
      <c r="U2011" s="196"/>
      <c r="V2011" s="196"/>
      <c r="W2011" s="196"/>
      <c r="X2011" s="196"/>
      <c r="Y2011" s="196"/>
      <c r="Z2011" s="196"/>
      <c r="AA2011" s="196"/>
      <c r="AB2011" s="196"/>
      <c r="AC2011" s="196"/>
      <c r="AD2011" s="196"/>
      <c r="AE2011" s="197"/>
      <c r="AF2011" s="197"/>
      <c r="AG2011" s="197"/>
      <c r="AH2011" s="197"/>
    </row>
    <row r="2012" customHeight="1" spans="19:34">
      <c r="S2012" s="196"/>
      <c r="T2012" s="196"/>
      <c r="U2012" s="196"/>
      <c r="V2012" s="196"/>
      <c r="W2012" s="196"/>
      <c r="X2012" s="196"/>
      <c r="Y2012" s="196"/>
      <c r="Z2012" s="196"/>
      <c r="AA2012" s="196"/>
      <c r="AB2012" s="196"/>
      <c r="AC2012" s="196"/>
      <c r="AD2012" s="196"/>
      <c r="AE2012" s="197"/>
      <c r="AF2012" s="197"/>
      <c r="AG2012" s="197"/>
      <c r="AH2012" s="197"/>
    </row>
    <row r="2013" customHeight="1" spans="19:34">
      <c r="S2013" s="196"/>
      <c r="T2013" s="196"/>
      <c r="U2013" s="196"/>
      <c r="V2013" s="196"/>
      <c r="W2013" s="196"/>
      <c r="X2013" s="196"/>
      <c r="Y2013" s="196"/>
      <c r="Z2013" s="196"/>
      <c r="AA2013" s="196"/>
      <c r="AB2013" s="196"/>
      <c r="AC2013" s="196"/>
      <c r="AD2013" s="196"/>
      <c r="AE2013" s="197"/>
      <c r="AF2013" s="197"/>
      <c r="AG2013" s="197"/>
      <c r="AH2013" s="197"/>
    </row>
    <row r="2014" customHeight="1" spans="19:34">
      <c r="S2014" s="196"/>
      <c r="T2014" s="196"/>
      <c r="U2014" s="196"/>
      <c r="V2014" s="196"/>
      <c r="W2014" s="196"/>
      <c r="X2014" s="196"/>
      <c r="Y2014" s="196"/>
      <c r="Z2014" s="196"/>
      <c r="AA2014" s="196"/>
      <c r="AB2014" s="196"/>
      <c r="AC2014" s="196"/>
      <c r="AD2014" s="196"/>
      <c r="AE2014" s="197"/>
      <c r="AF2014" s="197"/>
      <c r="AG2014" s="197"/>
      <c r="AH2014" s="197"/>
    </row>
    <row r="2015" customHeight="1" spans="19:34">
      <c r="S2015" s="196"/>
      <c r="T2015" s="196"/>
      <c r="U2015" s="196"/>
      <c r="V2015" s="196"/>
      <c r="W2015" s="196"/>
      <c r="X2015" s="196"/>
      <c r="Y2015" s="196"/>
      <c r="Z2015" s="196"/>
      <c r="AA2015" s="196"/>
      <c r="AB2015" s="196"/>
      <c r="AC2015" s="196"/>
      <c r="AD2015" s="196"/>
      <c r="AE2015" s="197"/>
      <c r="AF2015" s="197"/>
      <c r="AG2015" s="197"/>
      <c r="AH2015" s="197"/>
    </row>
    <row r="2016" customHeight="1" spans="19:34">
      <c r="S2016" s="196"/>
      <c r="T2016" s="196"/>
      <c r="U2016" s="196"/>
      <c r="V2016" s="196"/>
      <c r="W2016" s="196"/>
      <c r="X2016" s="196"/>
      <c r="Y2016" s="196"/>
      <c r="Z2016" s="196"/>
      <c r="AA2016" s="196"/>
      <c r="AB2016" s="196"/>
      <c r="AC2016" s="196"/>
      <c r="AD2016" s="196"/>
      <c r="AE2016" s="197"/>
      <c r="AF2016" s="197"/>
      <c r="AG2016" s="197"/>
      <c r="AH2016" s="197"/>
    </row>
    <row r="2017" customHeight="1" spans="19:34">
      <c r="S2017" s="196"/>
      <c r="T2017" s="196"/>
      <c r="U2017" s="196"/>
      <c r="V2017" s="196"/>
      <c r="W2017" s="196"/>
      <c r="X2017" s="196"/>
      <c r="Y2017" s="196"/>
      <c r="Z2017" s="196"/>
      <c r="AA2017" s="196"/>
      <c r="AB2017" s="196"/>
      <c r="AC2017" s="196"/>
      <c r="AD2017" s="196"/>
      <c r="AE2017" s="197"/>
      <c r="AF2017" s="197"/>
      <c r="AG2017" s="197"/>
      <c r="AH2017" s="197"/>
    </row>
    <row r="2018" customHeight="1" spans="19:34">
      <c r="S2018" s="196"/>
      <c r="T2018" s="196"/>
      <c r="U2018" s="196"/>
      <c r="V2018" s="196"/>
      <c r="W2018" s="196"/>
      <c r="X2018" s="196"/>
      <c r="Y2018" s="196"/>
      <c r="Z2018" s="196"/>
      <c r="AA2018" s="196"/>
      <c r="AB2018" s="196"/>
      <c r="AC2018" s="196"/>
      <c r="AD2018" s="196"/>
      <c r="AE2018" s="197"/>
      <c r="AF2018" s="197"/>
      <c r="AG2018" s="197"/>
      <c r="AH2018" s="197"/>
    </row>
    <row r="2019" customHeight="1" spans="19:34">
      <c r="S2019" s="196"/>
      <c r="T2019" s="196"/>
      <c r="U2019" s="196"/>
      <c r="V2019" s="196"/>
      <c r="W2019" s="196"/>
      <c r="X2019" s="196"/>
      <c r="Y2019" s="196"/>
      <c r="Z2019" s="196"/>
      <c r="AA2019" s="196"/>
      <c r="AB2019" s="196"/>
      <c r="AC2019" s="196"/>
      <c r="AD2019" s="196"/>
      <c r="AE2019" s="197"/>
      <c r="AF2019" s="197"/>
      <c r="AG2019" s="197"/>
      <c r="AH2019" s="197"/>
    </row>
    <row r="2020" customHeight="1" spans="19:34">
      <c r="S2020" s="196"/>
      <c r="T2020" s="196"/>
      <c r="U2020" s="196"/>
      <c r="V2020" s="196"/>
      <c r="W2020" s="196"/>
      <c r="X2020" s="196"/>
      <c r="Y2020" s="196"/>
      <c r="Z2020" s="196"/>
      <c r="AA2020" s="196"/>
      <c r="AB2020" s="196"/>
      <c r="AC2020" s="196"/>
      <c r="AD2020" s="196"/>
      <c r="AE2020" s="197"/>
      <c r="AF2020" s="197"/>
      <c r="AG2020" s="197"/>
      <c r="AH2020" s="197"/>
    </row>
    <row r="2021" customHeight="1" spans="19:34">
      <c r="S2021" s="196"/>
      <c r="T2021" s="196"/>
      <c r="U2021" s="196"/>
      <c r="V2021" s="196"/>
      <c r="W2021" s="196"/>
      <c r="X2021" s="196"/>
      <c r="Y2021" s="196"/>
      <c r="Z2021" s="196"/>
      <c r="AA2021" s="196"/>
      <c r="AB2021" s="196"/>
      <c r="AC2021" s="196"/>
      <c r="AD2021" s="196"/>
      <c r="AE2021" s="197"/>
      <c r="AF2021" s="197"/>
      <c r="AG2021" s="197"/>
      <c r="AH2021" s="197"/>
    </row>
    <row r="2022" customHeight="1" spans="19:34">
      <c r="S2022" s="196"/>
      <c r="T2022" s="196"/>
      <c r="U2022" s="196"/>
      <c r="V2022" s="196"/>
      <c r="W2022" s="196"/>
      <c r="X2022" s="196"/>
      <c r="Y2022" s="196"/>
      <c r="Z2022" s="196"/>
      <c r="AA2022" s="196"/>
      <c r="AB2022" s="196"/>
      <c r="AC2022" s="196"/>
      <c r="AD2022" s="196"/>
      <c r="AE2022" s="197"/>
      <c r="AF2022" s="197"/>
      <c r="AG2022" s="197"/>
      <c r="AH2022" s="197"/>
    </row>
    <row r="2023" customHeight="1" spans="19:34">
      <c r="S2023" s="196"/>
      <c r="T2023" s="196"/>
      <c r="U2023" s="196"/>
      <c r="V2023" s="196"/>
      <c r="W2023" s="196"/>
      <c r="X2023" s="196"/>
      <c r="Y2023" s="196"/>
      <c r="Z2023" s="196"/>
      <c r="AA2023" s="196"/>
      <c r="AB2023" s="196"/>
      <c r="AC2023" s="196"/>
      <c r="AD2023" s="196"/>
      <c r="AE2023" s="197"/>
      <c r="AF2023" s="197"/>
      <c r="AG2023" s="197"/>
      <c r="AH2023" s="197"/>
    </row>
    <row r="2024" customHeight="1" spans="19:34">
      <c r="S2024" s="196"/>
      <c r="T2024" s="196"/>
      <c r="U2024" s="196"/>
      <c r="V2024" s="196"/>
      <c r="W2024" s="196"/>
      <c r="X2024" s="196"/>
      <c r="Y2024" s="196"/>
      <c r="Z2024" s="196"/>
      <c r="AA2024" s="196"/>
      <c r="AB2024" s="196"/>
      <c r="AC2024" s="196"/>
      <c r="AD2024" s="196"/>
      <c r="AE2024" s="197"/>
      <c r="AF2024" s="197"/>
      <c r="AG2024" s="197"/>
      <c r="AH2024" s="197"/>
    </row>
    <row r="2025" customHeight="1" spans="19:34">
      <c r="S2025" s="196"/>
      <c r="T2025" s="196"/>
      <c r="U2025" s="196"/>
      <c r="V2025" s="196"/>
      <c r="W2025" s="196"/>
      <c r="X2025" s="196"/>
      <c r="Y2025" s="196"/>
      <c r="Z2025" s="196"/>
      <c r="AA2025" s="196"/>
      <c r="AB2025" s="196"/>
      <c r="AC2025" s="196"/>
      <c r="AD2025" s="196"/>
      <c r="AE2025" s="197"/>
      <c r="AF2025" s="197"/>
      <c r="AG2025" s="197"/>
      <c r="AH2025" s="197"/>
    </row>
    <row r="2026" customHeight="1" spans="19:34">
      <c r="S2026" s="196"/>
      <c r="T2026" s="196"/>
      <c r="U2026" s="196"/>
      <c r="V2026" s="196"/>
      <c r="W2026" s="196"/>
      <c r="X2026" s="196"/>
      <c r="Y2026" s="196"/>
      <c r="Z2026" s="196"/>
      <c r="AA2026" s="196"/>
      <c r="AB2026" s="196"/>
      <c r="AC2026" s="196"/>
      <c r="AD2026" s="196"/>
      <c r="AE2026" s="197"/>
      <c r="AF2026" s="197"/>
      <c r="AG2026" s="197"/>
      <c r="AH2026" s="197"/>
    </row>
    <row r="2027" customHeight="1" spans="19:34">
      <c r="S2027" s="196"/>
      <c r="T2027" s="196"/>
      <c r="U2027" s="196"/>
      <c r="V2027" s="196"/>
      <c r="W2027" s="196"/>
      <c r="X2027" s="196"/>
      <c r="Y2027" s="196"/>
      <c r="Z2027" s="196"/>
      <c r="AA2027" s="196"/>
      <c r="AB2027" s="196"/>
      <c r="AC2027" s="196"/>
      <c r="AD2027" s="196"/>
      <c r="AE2027" s="197"/>
      <c r="AF2027" s="197"/>
      <c r="AG2027" s="197"/>
      <c r="AH2027" s="197"/>
    </row>
    <row r="2028" customHeight="1" spans="19:34">
      <c r="S2028" s="196"/>
      <c r="T2028" s="196"/>
      <c r="U2028" s="196"/>
      <c r="V2028" s="196"/>
      <c r="W2028" s="196"/>
      <c r="X2028" s="196"/>
      <c r="Y2028" s="196"/>
      <c r="Z2028" s="196"/>
      <c r="AA2028" s="196"/>
      <c r="AB2028" s="196"/>
      <c r="AC2028" s="196"/>
      <c r="AD2028" s="196"/>
      <c r="AE2028" s="197"/>
      <c r="AF2028" s="197"/>
      <c r="AG2028" s="197"/>
      <c r="AH2028" s="197"/>
    </row>
    <row r="2029" customHeight="1" spans="19:34">
      <c r="S2029" s="196"/>
      <c r="T2029" s="196"/>
      <c r="U2029" s="196"/>
      <c r="V2029" s="196"/>
      <c r="W2029" s="196"/>
      <c r="X2029" s="196"/>
      <c r="Y2029" s="196"/>
      <c r="Z2029" s="196"/>
      <c r="AA2029" s="196"/>
      <c r="AB2029" s="196"/>
      <c r="AC2029" s="196"/>
      <c r="AD2029" s="196"/>
      <c r="AE2029" s="197"/>
      <c r="AF2029" s="197"/>
      <c r="AG2029" s="197"/>
      <c r="AH2029" s="197"/>
    </row>
    <row r="2030" customHeight="1" spans="19:34">
      <c r="S2030" s="196"/>
      <c r="T2030" s="196"/>
      <c r="U2030" s="196"/>
      <c r="V2030" s="196"/>
      <c r="W2030" s="196"/>
      <c r="X2030" s="196"/>
      <c r="Y2030" s="196"/>
      <c r="Z2030" s="196"/>
      <c r="AA2030" s="196"/>
      <c r="AB2030" s="196"/>
      <c r="AC2030" s="196"/>
      <c r="AD2030" s="196"/>
      <c r="AE2030" s="197"/>
      <c r="AF2030" s="197"/>
      <c r="AG2030" s="197"/>
      <c r="AH2030" s="197"/>
    </row>
    <row r="2031" customHeight="1" spans="19:34">
      <c r="S2031" s="196"/>
      <c r="T2031" s="196"/>
      <c r="U2031" s="196"/>
      <c r="V2031" s="196"/>
      <c r="W2031" s="196"/>
      <c r="X2031" s="196"/>
      <c r="Y2031" s="196"/>
      <c r="Z2031" s="196"/>
      <c r="AA2031" s="196"/>
      <c r="AB2031" s="196"/>
      <c r="AC2031" s="196"/>
      <c r="AD2031" s="196"/>
      <c r="AE2031" s="197"/>
      <c r="AF2031" s="197"/>
      <c r="AG2031" s="197"/>
      <c r="AH2031" s="197"/>
    </row>
    <row r="2032" customHeight="1" spans="19:34">
      <c r="S2032" s="196"/>
      <c r="T2032" s="196"/>
      <c r="U2032" s="196"/>
      <c r="V2032" s="196"/>
      <c r="W2032" s="196"/>
      <c r="X2032" s="196"/>
      <c r="Y2032" s="196"/>
      <c r="Z2032" s="196"/>
      <c r="AA2032" s="196"/>
      <c r="AB2032" s="196"/>
      <c r="AC2032" s="196"/>
      <c r="AD2032" s="196"/>
      <c r="AE2032" s="197"/>
      <c r="AF2032" s="197"/>
      <c r="AG2032" s="197"/>
      <c r="AH2032" s="197"/>
    </row>
    <row r="2033" customHeight="1" spans="19:34">
      <c r="S2033" s="196"/>
      <c r="T2033" s="196"/>
      <c r="U2033" s="196"/>
      <c r="V2033" s="196"/>
      <c r="W2033" s="196"/>
      <c r="X2033" s="196"/>
      <c r="Y2033" s="196"/>
      <c r="Z2033" s="196"/>
      <c r="AA2033" s="196"/>
      <c r="AB2033" s="196"/>
      <c r="AC2033" s="196"/>
      <c r="AD2033" s="196"/>
      <c r="AE2033" s="197"/>
      <c r="AF2033" s="197"/>
      <c r="AG2033" s="197"/>
      <c r="AH2033" s="197"/>
    </row>
    <row r="2034" customHeight="1" spans="19:34">
      <c r="S2034" s="196"/>
      <c r="T2034" s="196"/>
      <c r="U2034" s="196"/>
      <c r="V2034" s="196"/>
      <c r="W2034" s="196"/>
      <c r="X2034" s="196"/>
      <c r="Y2034" s="196"/>
      <c r="Z2034" s="196"/>
      <c r="AA2034" s="196"/>
      <c r="AB2034" s="196"/>
      <c r="AC2034" s="196"/>
      <c r="AD2034" s="196"/>
      <c r="AE2034" s="197"/>
      <c r="AF2034" s="197"/>
      <c r="AG2034" s="197"/>
      <c r="AH2034" s="197"/>
    </row>
    <row r="2035" customHeight="1" spans="19:34">
      <c r="S2035" s="196"/>
      <c r="T2035" s="196"/>
      <c r="U2035" s="196"/>
      <c r="V2035" s="196"/>
      <c r="W2035" s="196"/>
      <c r="X2035" s="196"/>
      <c r="Y2035" s="196"/>
      <c r="Z2035" s="196"/>
      <c r="AA2035" s="196"/>
      <c r="AB2035" s="196"/>
      <c r="AC2035" s="196"/>
      <c r="AD2035" s="196"/>
      <c r="AE2035" s="197"/>
      <c r="AF2035" s="197"/>
      <c r="AG2035" s="197"/>
      <c r="AH2035" s="197"/>
    </row>
    <row r="2036" customHeight="1" spans="19:34">
      <c r="S2036" s="196"/>
      <c r="T2036" s="196"/>
      <c r="U2036" s="196"/>
      <c r="V2036" s="196"/>
      <c r="W2036" s="196"/>
      <c r="X2036" s="196"/>
      <c r="Y2036" s="196"/>
      <c r="Z2036" s="196"/>
      <c r="AA2036" s="196"/>
      <c r="AB2036" s="196"/>
      <c r="AC2036" s="196"/>
      <c r="AD2036" s="196"/>
      <c r="AE2036" s="197"/>
      <c r="AF2036" s="197"/>
      <c r="AG2036" s="197"/>
      <c r="AH2036" s="197"/>
    </row>
    <row r="2037" customHeight="1" spans="19:34">
      <c r="S2037" s="196"/>
      <c r="T2037" s="196"/>
      <c r="U2037" s="196"/>
      <c r="V2037" s="196"/>
      <c r="W2037" s="196"/>
      <c r="X2037" s="196"/>
      <c r="Y2037" s="196"/>
      <c r="Z2037" s="196"/>
      <c r="AA2037" s="196"/>
      <c r="AB2037" s="196"/>
      <c r="AC2037" s="196"/>
      <c r="AD2037" s="196"/>
      <c r="AE2037" s="197"/>
      <c r="AF2037" s="197"/>
      <c r="AG2037" s="197"/>
      <c r="AH2037" s="197"/>
    </row>
    <row r="2038" customHeight="1" spans="19:34">
      <c r="S2038" s="196"/>
      <c r="T2038" s="196"/>
      <c r="U2038" s="196"/>
      <c r="V2038" s="196"/>
      <c r="W2038" s="196"/>
      <c r="X2038" s="196"/>
      <c r="Y2038" s="196"/>
      <c r="Z2038" s="196"/>
      <c r="AA2038" s="196"/>
      <c r="AB2038" s="196"/>
      <c r="AC2038" s="196"/>
      <c r="AD2038" s="196"/>
      <c r="AE2038" s="197"/>
      <c r="AF2038" s="197"/>
      <c r="AG2038" s="197"/>
      <c r="AH2038" s="197"/>
    </row>
    <row r="2039" customHeight="1" spans="19:34">
      <c r="S2039" s="196"/>
      <c r="T2039" s="196"/>
      <c r="U2039" s="196"/>
      <c r="V2039" s="196"/>
      <c r="W2039" s="196"/>
      <c r="X2039" s="196"/>
      <c r="Y2039" s="196"/>
      <c r="Z2039" s="196"/>
      <c r="AA2039" s="196"/>
      <c r="AB2039" s="196"/>
      <c r="AC2039" s="196"/>
      <c r="AD2039" s="196"/>
      <c r="AE2039" s="197"/>
      <c r="AF2039" s="197"/>
      <c r="AG2039" s="197"/>
      <c r="AH2039" s="197"/>
    </row>
    <row r="2040" customHeight="1" spans="19:34">
      <c r="S2040" s="196"/>
      <c r="T2040" s="196"/>
      <c r="U2040" s="196"/>
      <c r="V2040" s="196"/>
      <c r="W2040" s="196"/>
      <c r="X2040" s="196"/>
      <c r="Y2040" s="196"/>
      <c r="Z2040" s="196"/>
      <c r="AA2040" s="196"/>
      <c r="AB2040" s="196"/>
      <c r="AC2040" s="196"/>
      <c r="AD2040" s="196"/>
      <c r="AE2040" s="197"/>
      <c r="AF2040" s="197"/>
      <c r="AG2040" s="197"/>
      <c r="AH2040" s="197"/>
    </row>
    <row r="2041" customHeight="1" spans="19:34">
      <c r="S2041" s="196"/>
      <c r="T2041" s="196"/>
      <c r="U2041" s="196"/>
      <c r="V2041" s="196"/>
      <c r="W2041" s="196"/>
      <c r="X2041" s="196"/>
      <c r="Y2041" s="196"/>
      <c r="Z2041" s="196"/>
      <c r="AA2041" s="196"/>
      <c r="AB2041" s="196"/>
      <c r="AC2041" s="196"/>
      <c r="AD2041" s="196"/>
      <c r="AE2041" s="197"/>
      <c r="AF2041" s="197"/>
      <c r="AG2041" s="197"/>
      <c r="AH2041" s="197"/>
    </row>
    <row r="2042" customHeight="1" spans="19:34">
      <c r="S2042" s="196"/>
      <c r="T2042" s="196"/>
      <c r="U2042" s="196"/>
      <c r="V2042" s="196"/>
      <c r="W2042" s="196"/>
      <c r="X2042" s="196"/>
      <c r="Y2042" s="196"/>
      <c r="Z2042" s="196"/>
      <c r="AA2042" s="196"/>
      <c r="AB2042" s="196"/>
      <c r="AC2042" s="196"/>
      <c r="AD2042" s="196"/>
      <c r="AE2042" s="197"/>
      <c r="AF2042" s="197"/>
      <c r="AG2042" s="197"/>
      <c r="AH2042" s="197"/>
    </row>
    <row r="2043" customHeight="1" spans="19:34">
      <c r="S2043" s="196"/>
      <c r="T2043" s="196"/>
      <c r="U2043" s="196"/>
      <c r="V2043" s="196"/>
      <c r="W2043" s="196"/>
      <c r="X2043" s="196"/>
      <c r="Y2043" s="196"/>
      <c r="Z2043" s="196"/>
      <c r="AA2043" s="196"/>
      <c r="AB2043" s="196"/>
      <c r="AC2043" s="196"/>
      <c r="AD2043" s="196"/>
      <c r="AE2043" s="197"/>
      <c r="AF2043" s="197"/>
      <c r="AG2043" s="197"/>
      <c r="AH2043" s="197"/>
    </row>
    <row r="2044" customHeight="1" spans="19:34">
      <c r="S2044" s="196"/>
      <c r="T2044" s="196"/>
      <c r="U2044" s="196"/>
      <c r="V2044" s="196"/>
      <c r="W2044" s="196"/>
      <c r="X2044" s="196"/>
      <c r="Y2044" s="196"/>
      <c r="Z2044" s="196"/>
      <c r="AA2044" s="196"/>
      <c r="AB2044" s="196"/>
      <c r="AC2044" s="196"/>
      <c r="AD2044" s="196"/>
      <c r="AE2044" s="197"/>
      <c r="AF2044" s="197"/>
      <c r="AG2044" s="197"/>
      <c r="AH2044" s="197"/>
    </row>
    <row r="2045" customHeight="1" spans="19:34">
      <c r="S2045" s="196"/>
      <c r="T2045" s="196"/>
      <c r="U2045" s="196"/>
      <c r="V2045" s="196"/>
      <c r="W2045" s="196"/>
      <c r="X2045" s="196"/>
      <c r="Y2045" s="196"/>
      <c r="Z2045" s="196"/>
      <c r="AA2045" s="196"/>
      <c r="AB2045" s="196"/>
      <c r="AC2045" s="196"/>
      <c r="AD2045" s="196"/>
      <c r="AE2045" s="197"/>
      <c r="AF2045" s="197"/>
      <c r="AG2045" s="197"/>
      <c r="AH2045" s="197"/>
    </row>
    <row r="2046" customHeight="1" spans="19:34">
      <c r="S2046" s="196"/>
      <c r="T2046" s="196"/>
      <c r="U2046" s="196"/>
      <c r="V2046" s="196"/>
      <c r="W2046" s="196"/>
      <c r="X2046" s="196"/>
      <c r="Y2046" s="196"/>
      <c r="Z2046" s="196"/>
      <c r="AA2046" s="196"/>
      <c r="AB2046" s="196"/>
      <c r="AC2046" s="196"/>
      <c r="AD2046" s="196"/>
      <c r="AE2046" s="197"/>
      <c r="AF2046" s="197"/>
      <c r="AG2046" s="197"/>
      <c r="AH2046" s="197"/>
    </row>
    <row r="2047" customHeight="1" spans="19:34">
      <c r="S2047" s="196"/>
      <c r="T2047" s="196"/>
      <c r="U2047" s="196"/>
      <c r="V2047" s="196"/>
      <c r="W2047" s="196"/>
      <c r="X2047" s="196"/>
      <c r="Y2047" s="196"/>
      <c r="Z2047" s="196"/>
      <c r="AA2047" s="196"/>
      <c r="AB2047" s="196"/>
      <c r="AC2047" s="196"/>
      <c r="AD2047" s="196"/>
      <c r="AE2047" s="197"/>
      <c r="AF2047" s="197"/>
      <c r="AG2047" s="197"/>
      <c r="AH2047" s="197"/>
    </row>
    <row r="2048" customHeight="1" spans="19:34">
      <c r="S2048" s="196"/>
      <c r="T2048" s="196"/>
      <c r="U2048" s="196"/>
      <c r="V2048" s="196"/>
      <c r="W2048" s="196"/>
      <c r="X2048" s="196"/>
      <c r="Y2048" s="196"/>
      <c r="Z2048" s="196"/>
      <c r="AA2048" s="196"/>
      <c r="AB2048" s="196"/>
      <c r="AC2048" s="196"/>
      <c r="AD2048" s="196"/>
      <c r="AE2048" s="197"/>
      <c r="AF2048" s="197"/>
      <c r="AG2048" s="197"/>
      <c r="AH2048" s="197"/>
    </row>
    <row r="2049" customHeight="1" spans="19:34">
      <c r="S2049" s="196"/>
      <c r="T2049" s="196"/>
      <c r="U2049" s="196"/>
      <c r="V2049" s="196"/>
      <c r="W2049" s="196"/>
      <c r="X2049" s="196"/>
      <c r="Y2049" s="196"/>
      <c r="Z2049" s="196"/>
      <c r="AA2049" s="196"/>
      <c r="AB2049" s="196"/>
      <c r="AC2049" s="196"/>
      <c r="AD2049" s="196"/>
      <c r="AE2049" s="197"/>
      <c r="AF2049" s="197"/>
      <c r="AG2049" s="197"/>
      <c r="AH2049" s="197"/>
    </row>
    <row r="2050" customHeight="1" spans="19:34">
      <c r="S2050" s="196"/>
      <c r="T2050" s="196"/>
      <c r="U2050" s="196"/>
      <c r="V2050" s="196"/>
      <c r="W2050" s="196"/>
      <c r="X2050" s="196"/>
      <c r="Y2050" s="196"/>
      <c r="Z2050" s="196"/>
      <c r="AA2050" s="196"/>
      <c r="AB2050" s="196"/>
      <c r="AC2050" s="196"/>
      <c r="AD2050" s="196"/>
      <c r="AE2050" s="197"/>
      <c r="AF2050" s="197"/>
      <c r="AG2050" s="197"/>
      <c r="AH2050" s="197"/>
    </row>
    <row r="2051" customHeight="1" spans="19:34">
      <c r="S2051" s="196"/>
      <c r="T2051" s="196"/>
      <c r="U2051" s="196"/>
      <c r="V2051" s="196"/>
      <c r="W2051" s="196"/>
      <c r="X2051" s="196"/>
      <c r="Y2051" s="196"/>
      <c r="Z2051" s="196"/>
      <c r="AA2051" s="196"/>
      <c r="AB2051" s="196"/>
      <c r="AC2051" s="196"/>
      <c r="AD2051" s="196"/>
      <c r="AE2051" s="197"/>
      <c r="AF2051" s="197"/>
      <c r="AG2051" s="197"/>
      <c r="AH2051" s="197"/>
    </row>
    <row r="2052" customHeight="1" spans="19:34">
      <c r="S2052" s="196"/>
      <c r="T2052" s="196"/>
      <c r="U2052" s="196"/>
      <c r="V2052" s="196"/>
      <c r="W2052" s="196"/>
      <c r="X2052" s="196"/>
      <c r="Y2052" s="196"/>
      <c r="Z2052" s="196"/>
      <c r="AA2052" s="196"/>
      <c r="AB2052" s="196"/>
      <c r="AC2052" s="196"/>
      <c r="AD2052" s="196"/>
      <c r="AE2052" s="197"/>
      <c r="AF2052" s="197"/>
      <c r="AG2052" s="197"/>
      <c r="AH2052" s="197"/>
    </row>
    <row r="2053" customHeight="1" spans="19:34">
      <c r="S2053" s="196"/>
      <c r="T2053" s="196"/>
      <c r="U2053" s="196"/>
      <c r="V2053" s="196"/>
      <c r="W2053" s="196"/>
      <c r="X2053" s="196"/>
      <c r="Y2053" s="196"/>
      <c r="Z2053" s="196"/>
      <c r="AA2053" s="196"/>
      <c r="AB2053" s="196"/>
      <c r="AC2053" s="196"/>
      <c r="AD2053" s="196"/>
      <c r="AE2053" s="197"/>
      <c r="AF2053" s="197"/>
      <c r="AG2053" s="197"/>
      <c r="AH2053" s="197"/>
    </row>
    <row r="2054" customHeight="1" spans="19:34">
      <c r="S2054" s="196"/>
      <c r="T2054" s="196"/>
      <c r="U2054" s="196"/>
      <c r="V2054" s="196"/>
      <c r="W2054" s="196"/>
      <c r="X2054" s="196"/>
      <c r="Y2054" s="196"/>
      <c r="Z2054" s="196"/>
      <c r="AA2054" s="196"/>
      <c r="AB2054" s="196"/>
      <c r="AC2054" s="196"/>
      <c r="AD2054" s="196"/>
      <c r="AE2054" s="197"/>
      <c r="AF2054" s="197"/>
      <c r="AG2054" s="197"/>
      <c r="AH2054" s="197"/>
    </row>
    <row r="2055" customHeight="1" spans="19:34">
      <c r="S2055" s="196"/>
      <c r="T2055" s="196"/>
      <c r="U2055" s="196"/>
      <c r="V2055" s="196"/>
      <c r="W2055" s="196"/>
      <c r="X2055" s="196"/>
      <c r="Y2055" s="196"/>
      <c r="Z2055" s="196"/>
      <c r="AA2055" s="196"/>
      <c r="AB2055" s="196"/>
      <c r="AC2055" s="196"/>
      <c r="AD2055" s="196"/>
      <c r="AE2055" s="197"/>
      <c r="AF2055" s="197"/>
      <c r="AG2055" s="197"/>
      <c r="AH2055" s="197"/>
    </row>
    <row r="2056" customHeight="1" spans="19:34">
      <c r="S2056" s="196"/>
      <c r="T2056" s="196"/>
      <c r="U2056" s="196"/>
      <c r="V2056" s="196"/>
      <c r="W2056" s="196"/>
      <c r="X2056" s="196"/>
      <c r="Y2056" s="196"/>
      <c r="Z2056" s="196"/>
      <c r="AA2056" s="196"/>
      <c r="AB2056" s="196"/>
      <c r="AC2056" s="196"/>
      <c r="AD2056" s="196"/>
      <c r="AE2056" s="197"/>
      <c r="AF2056" s="197"/>
      <c r="AG2056" s="197"/>
      <c r="AH2056" s="197"/>
    </row>
    <row r="2057" customHeight="1" spans="19:34">
      <c r="S2057" s="196"/>
      <c r="T2057" s="196"/>
      <c r="U2057" s="196"/>
      <c r="V2057" s="196"/>
      <c r="W2057" s="196"/>
      <c r="X2057" s="196"/>
      <c r="Y2057" s="196"/>
      <c r="Z2057" s="196"/>
      <c r="AA2057" s="196"/>
      <c r="AB2057" s="196"/>
      <c r="AC2057" s="196"/>
      <c r="AD2057" s="196"/>
      <c r="AE2057" s="197"/>
      <c r="AF2057" s="197"/>
      <c r="AG2057" s="197"/>
      <c r="AH2057" s="197"/>
    </row>
    <row r="2058" customHeight="1" spans="19:34">
      <c r="S2058" s="196"/>
      <c r="T2058" s="196"/>
      <c r="U2058" s="196"/>
      <c r="V2058" s="196"/>
      <c r="W2058" s="196"/>
      <c r="X2058" s="196"/>
      <c r="Y2058" s="196"/>
      <c r="Z2058" s="196"/>
      <c r="AA2058" s="196"/>
      <c r="AB2058" s="196"/>
      <c r="AC2058" s="196"/>
      <c r="AD2058" s="196"/>
      <c r="AE2058" s="197"/>
      <c r="AF2058" s="197"/>
      <c r="AG2058" s="197"/>
      <c r="AH2058" s="197"/>
    </row>
    <row r="2059" customHeight="1" spans="19:34">
      <c r="S2059" s="196"/>
      <c r="T2059" s="196"/>
      <c r="U2059" s="196"/>
      <c r="V2059" s="196"/>
      <c r="W2059" s="196"/>
      <c r="X2059" s="196"/>
      <c r="Y2059" s="196"/>
      <c r="Z2059" s="196"/>
      <c r="AA2059" s="196"/>
      <c r="AB2059" s="196"/>
      <c r="AC2059" s="196"/>
      <c r="AD2059" s="196"/>
      <c r="AE2059" s="197"/>
      <c r="AF2059" s="197"/>
      <c r="AG2059" s="197"/>
      <c r="AH2059" s="197"/>
    </row>
    <row r="2060" customHeight="1" spans="19:34">
      <c r="S2060" s="196"/>
      <c r="T2060" s="196"/>
      <c r="U2060" s="196"/>
      <c r="V2060" s="196"/>
      <c r="W2060" s="196"/>
      <c r="X2060" s="196"/>
      <c r="Y2060" s="196"/>
      <c r="Z2060" s="196"/>
      <c r="AA2060" s="196"/>
      <c r="AB2060" s="196"/>
      <c r="AC2060" s="196"/>
      <c r="AD2060" s="196"/>
      <c r="AE2060" s="197"/>
      <c r="AF2060" s="197"/>
      <c r="AG2060" s="197"/>
      <c r="AH2060" s="197"/>
    </row>
    <row r="2061" customHeight="1" spans="19:34">
      <c r="S2061" s="196"/>
      <c r="T2061" s="196"/>
      <c r="U2061" s="196"/>
      <c r="V2061" s="196"/>
      <c r="W2061" s="196"/>
      <c r="X2061" s="196"/>
      <c r="Y2061" s="196"/>
      <c r="Z2061" s="196"/>
      <c r="AA2061" s="196"/>
      <c r="AB2061" s="196"/>
      <c r="AC2061" s="196"/>
      <c r="AD2061" s="196"/>
      <c r="AE2061" s="197"/>
      <c r="AF2061" s="197"/>
      <c r="AG2061" s="197"/>
      <c r="AH2061" s="197"/>
    </row>
    <row r="2062" customHeight="1" spans="19:34">
      <c r="S2062" s="196"/>
      <c r="T2062" s="196"/>
      <c r="U2062" s="196"/>
      <c r="V2062" s="196"/>
      <c r="W2062" s="196"/>
      <c r="X2062" s="196"/>
      <c r="Y2062" s="196"/>
      <c r="Z2062" s="196"/>
      <c r="AA2062" s="196"/>
      <c r="AB2062" s="196"/>
      <c r="AC2062" s="196"/>
      <c r="AD2062" s="196"/>
      <c r="AE2062" s="197"/>
      <c r="AF2062" s="197"/>
      <c r="AG2062" s="197"/>
      <c r="AH2062" s="197"/>
    </row>
    <row r="2063" customHeight="1" spans="19:34">
      <c r="S2063" s="196"/>
      <c r="T2063" s="196"/>
      <c r="U2063" s="196"/>
      <c r="V2063" s="196"/>
      <c r="W2063" s="196"/>
      <c r="X2063" s="196"/>
      <c r="Y2063" s="196"/>
      <c r="Z2063" s="196"/>
      <c r="AA2063" s="196"/>
      <c r="AB2063" s="196"/>
      <c r="AC2063" s="196"/>
      <c r="AD2063" s="196"/>
      <c r="AE2063" s="197"/>
      <c r="AF2063" s="197"/>
      <c r="AG2063" s="197"/>
      <c r="AH2063" s="197"/>
    </row>
    <row r="2064" customHeight="1" spans="19:34">
      <c r="S2064" s="196"/>
      <c r="T2064" s="196"/>
      <c r="U2064" s="196"/>
      <c r="V2064" s="196"/>
      <c r="W2064" s="196"/>
      <c r="X2064" s="196"/>
      <c r="Y2064" s="196"/>
      <c r="Z2064" s="196"/>
      <c r="AA2064" s="196"/>
      <c r="AB2064" s="196"/>
      <c r="AC2064" s="196"/>
      <c r="AD2064" s="196"/>
      <c r="AE2064" s="197"/>
      <c r="AF2064" s="197"/>
      <c r="AG2064" s="197"/>
      <c r="AH2064" s="197"/>
    </row>
    <row r="2065" customHeight="1" spans="19:34">
      <c r="S2065" s="196"/>
      <c r="T2065" s="196"/>
      <c r="U2065" s="196"/>
      <c r="V2065" s="196"/>
      <c r="W2065" s="196"/>
      <c r="X2065" s="196"/>
      <c r="Y2065" s="196"/>
      <c r="Z2065" s="196"/>
      <c r="AA2065" s="196"/>
      <c r="AB2065" s="196"/>
      <c r="AC2065" s="196"/>
      <c r="AD2065" s="196"/>
      <c r="AE2065" s="197"/>
      <c r="AF2065" s="197"/>
      <c r="AG2065" s="197"/>
      <c r="AH2065" s="197"/>
    </row>
    <row r="2066" customHeight="1" spans="19:34">
      <c r="S2066" s="196"/>
      <c r="T2066" s="196"/>
      <c r="U2066" s="196"/>
      <c r="V2066" s="196"/>
      <c r="W2066" s="196"/>
      <c r="X2066" s="196"/>
      <c r="Y2066" s="196"/>
      <c r="Z2066" s="196"/>
      <c r="AA2066" s="196"/>
      <c r="AB2066" s="196"/>
      <c r="AC2066" s="196"/>
      <c r="AD2066" s="196"/>
      <c r="AE2066" s="197"/>
      <c r="AF2066" s="197"/>
      <c r="AG2066" s="197"/>
      <c r="AH2066" s="197"/>
    </row>
    <row r="2067" customHeight="1" spans="19:34">
      <c r="S2067" s="196"/>
      <c r="T2067" s="196"/>
      <c r="U2067" s="196"/>
      <c r="V2067" s="196"/>
      <c r="W2067" s="196"/>
      <c r="X2067" s="196"/>
      <c r="Y2067" s="196"/>
      <c r="Z2067" s="196"/>
      <c r="AA2067" s="196"/>
      <c r="AB2067" s="196"/>
      <c r="AC2067" s="196"/>
      <c r="AD2067" s="196"/>
      <c r="AE2067" s="197"/>
      <c r="AF2067" s="197"/>
      <c r="AG2067" s="197"/>
      <c r="AH2067" s="197"/>
    </row>
    <row r="2068" customHeight="1" spans="19:34">
      <c r="S2068" s="196"/>
      <c r="T2068" s="196"/>
      <c r="U2068" s="196"/>
      <c r="V2068" s="196"/>
      <c r="W2068" s="196"/>
      <c r="X2068" s="196"/>
      <c r="Y2068" s="196"/>
      <c r="Z2068" s="196"/>
      <c r="AA2068" s="196"/>
      <c r="AB2068" s="196"/>
      <c r="AC2068" s="196"/>
      <c r="AD2068" s="196"/>
      <c r="AE2068" s="197"/>
      <c r="AF2068" s="197"/>
      <c r="AG2068" s="197"/>
      <c r="AH2068" s="197"/>
    </row>
    <row r="2069" customHeight="1" spans="19:34">
      <c r="S2069" s="196"/>
      <c r="T2069" s="196"/>
      <c r="U2069" s="196"/>
      <c r="V2069" s="196"/>
      <c r="W2069" s="196"/>
      <c r="X2069" s="196"/>
      <c r="Y2069" s="196"/>
      <c r="Z2069" s="196"/>
      <c r="AA2069" s="196"/>
      <c r="AB2069" s="196"/>
      <c r="AC2069" s="196"/>
      <c r="AD2069" s="196"/>
      <c r="AE2069" s="197"/>
      <c r="AF2069" s="197"/>
      <c r="AG2069" s="197"/>
      <c r="AH2069" s="197"/>
    </row>
    <row r="2070" customHeight="1" spans="19:34">
      <c r="S2070" s="196"/>
      <c r="T2070" s="196"/>
      <c r="U2070" s="196"/>
      <c r="V2070" s="196"/>
      <c r="W2070" s="196"/>
      <c r="X2070" s="196"/>
      <c r="Y2070" s="196"/>
      <c r="Z2070" s="196"/>
      <c r="AA2070" s="196"/>
      <c r="AB2070" s="196"/>
      <c r="AC2070" s="196"/>
      <c r="AD2070" s="196"/>
      <c r="AE2070" s="197"/>
      <c r="AF2070" s="197"/>
      <c r="AG2070" s="197"/>
      <c r="AH2070" s="197"/>
    </row>
    <row r="2071" customHeight="1" spans="19:34">
      <c r="S2071" s="196"/>
      <c r="T2071" s="196"/>
      <c r="U2071" s="196"/>
      <c r="V2071" s="196"/>
      <c r="W2071" s="196"/>
      <c r="X2071" s="196"/>
      <c r="Y2071" s="196"/>
      <c r="Z2071" s="196"/>
      <c r="AA2071" s="196"/>
      <c r="AB2071" s="196"/>
      <c r="AC2071" s="196"/>
      <c r="AD2071" s="196"/>
      <c r="AE2071" s="197"/>
      <c r="AF2071" s="197"/>
      <c r="AG2071" s="197"/>
      <c r="AH2071" s="197"/>
    </row>
    <row r="2072" customHeight="1" spans="19:34">
      <c r="S2072" s="196"/>
      <c r="T2072" s="196"/>
      <c r="U2072" s="196"/>
      <c r="V2072" s="196"/>
      <c r="W2072" s="196"/>
      <c r="X2072" s="196"/>
      <c r="Y2072" s="196"/>
      <c r="Z2072" s="196"/>
      <c r="AA2072" s="196"/>
      <c r="AB2072" s="196"/>
      <c r="AC2072" s="196"/>
      <c r="AD2072" s="196"/>
      <c r="AE2072" s="197"/>
      <c r="AF2072" s="197"/>
      <c r="AG2072" s="197"/>
      <c r="AH2072" s="197"/>
    </row>
    <row r="2073" customHeight="1" spans="19:34">
      <c r="S2073" s="196"/>
      <c r="T2073" s="196"/>
      <c r="U2073" s="196"/>
      <c r="V2073" s="196"/>
      <c r="W2073" s="196"/>
      <c r="X2073" s="196"/>
      <c r="Y2073" s="196"/>
      <c r="Z2073" s="196"/>
      <c r="AA2073" s="196"/>
      <c r="AB2073" s="196"/>
      <c r="AC2073" s="196"/>
      <c r="AD2073" s="196"/>
      <c r="AE2073" s="197"/>
      <c r="AF2073" s="197"/>
      <c r="AG2073" s="197"/>
      <c r="AH2073" s="197"/>
    </row>
    <row r="2074" customHeight="1" spans="19:34">
      <c r="S2074" s="196"/>
      <c r="T2074" s="196"/>
      <c r="U2074" s="196"/>
      <c r="V2074" s="196"/>
      <c r="W2074" s="196"/>
      <c r="X2074" s="196"/>
      <c r="Y2074" s="196"/>
      <c r="Z2074" s="196"/>
      <c r="AA2074" s="196"/>
      <c r="AB2074" s="196"/>
      <c r="AC2074" s="196"/>
      <c r="AD2074" s="196"/>
      <c r="AE2074" s="197"/>
      <c r="AF2074" s="197"/>
      <c r="AG2074" s="197"/>
      <c r="AH2074" s="197"/>
    </row>
    <row r="2075" customHeight="1" spans="19:34">
      <c r="S2075" s="196"/>
      <c r="T2075" s="196"/>
      <c r="U2075" s="196"/>
      <c r="V2075" s="196"/>
      <c r="W2075" s="196"/>
      <c r="X2075" s="196"/>
      <c r="Y2075" s="196"/>
      <c r="Z2075" s="196"/>
      <c r="AA2075" s="196"/>
      <c r="AB2075" s="196"/>
      <c r="AC2075" s="196"/>
      <c r="AD2075" s="196"/>
      <c r="AE2075" s="197"/>
      <c r="AF2075" s="197"/>
      <c r="AG2075" s="197"/>
      <c r="AH2075" s="197"/>
    </row>
    <row r="2076" customHeight="1" spans="19:34">
      <c r="S2076" s="196"/>
      <c r="T2076" s="196"/>
      <c r="U2076" s="196"/>
      <c r="V2076" s="196"/>
      <c r="W2076" s="196"/>
      <c r="X2076" s="196"/>
      <c r="Y2076" s="196"/>
      <c r="Z2076" s="196"/>
      <c r="AA2076" s="196"/>
      <c r="AB2076" s="196"/>
      <c r="AC2076" s="196"/>
      <c r="AD2076" s="196"/>
      <c r="AE2076" s="197"/>
      <c r="AF2076" s="197"/>
      <c r="AG2076" s="197"/>
      <c r="AH2076" s="197"/>
    </row>
    <row r="2077" customHeight="1" spans="19:34">
      <c r="S2077" s="196"/>
      <c r="T2077" s="196"/>
      <c r="U2077" s="196"/>
      <c r="V2077" s="196"/>
      <c r="W2077" s="196"/>
      <c r="X2077" s="196"/>
      <c r="Y2077" s="196"/>
      <c r="Z2077" s="196"/>
      <c r="AA2077" s="196"/>
      <c r="AB2077" s="196"/>
      <c r="AC2077" s="196"/>
      <c r="AD2077" s="196"/>
      <c r="AE2077" s="197"/>
      <c r="AF2077" s="197"/>
      <c r="AG2077" s="197"/>
      <c r="AH2077" s="197"/>
    </row>
    <row r="2078" customHeight="1" spans="19:34">
      <c r="S2078" s="196"/>
      <c r="T2078" s="196"/>
      <c r="U2078" s="196"/>
      <c r="V2078" s="196"/>
      <c r="W2078" s="196"/>
      <c r="X2078" s="196"/>
      <c r="Y2078" s="196"/>
      <c r="Z2078" s="196"/>
      <c r="AA2078" s="196"/>
      <c r="AB2078" s="196"/>
      <c r="AC2078" s="196"/>
      <c r="AD2078" s="196"/>
      <c r="AE2078" s="197"/>
      <c r="AF2078" s="197"/>
      <c r="AG2078" s="197"/>
      <c r="AH2078" s="197"/>
    </row>
    <row r="2079" customHeight="1" spans="19:34">
      <c r="S2079" s="196"/>
      <c r="T2079" s="196"/>
      <c r="U2079" s="196"/>
      <c r="V2079" s="196"/>
      <c r="W2079" s="196"/>
      <c r="X2079" s="196"/>
      <c r="Y2079" s="196"/>
      <c r="Z2079" s="196"/>
      <c r="AA2079" s="196"/>
      <c r="AB2079" s="196"/>
      <c r="AC2079" s="196"/>
      <c r="AD2079" s="196"/>
      <c r="AE2079" s="197"/>
      <c r="AF2079" s="197"/>
      <c r="AG2079" s="197"/>
      <c r="AH2079" s="197"/>
    </row>
    <row r="2080" customHeight="1" spans="19:34">
      <c r="S2080" s="196"/>
      <c r="T2080" s="196"/>
      <c r="U2080" s="196"/>
      <c r="V2080" s="196"/>
      <c r="W2080" s="196"/>
      <c r="X2080" s="196"/>
      <c r="Y2080" s="196"/>
      <c r="Z2080" s="196"/>
      <c r="AA2080" s="196"/>
      <c r="AB2080" s="196"/>
      <c r="AC2080" s="196"/>
      <c r="AD2080" s="196"/>
      <c r="AE2080" s="197"/>
      <c r="AF2080" s="197"/>
      <c r="AG2080" s="197"/>
      <c r="AH2080" s="197"/>
    </row>
    <row r="2081" customHeight="1" spans="19:34">
      <c r="S2081" s="196"/>
      <c r="T2081" s="196"/>
      <c r="U2081" s="196"/>
      <c r="V2081" s="196"/>
      <c r="W2081" s="196"/>
      <c r="X2081" s="196"/>
      <c r="Y2081" s="196"/>
      <c r="Z2081" s="196"/>
      <c r="AA2081" s="196"/>
      <c r="AB2081" s="196"/>
      <c r="AC2081" s="196"/>
      <c r="AD2081" s="196"/>
      <c r="AE2081" s="197"/>
      <c r="AF2081" s="197"/>
      <c r="AG2081" s="197"/>
      <c r="AH2081" s="197"/>
    </row>
    <row r="2082" customHeight="1" spans="19:34">
      <c r="S2082" s="196"/>
      <c r="T2082" s="196"/>
      <c r="U2082" s="196"/>
      <c r="V2082" s="196"/>
      <c r="W2082" s="196"/>
      <c r="X2082" s="196"/>
      <c r="Y2082" s="196"/>
      <c r="Z2082" s="196"/>
      <c r="AA2082" s="196"/>
      <c r="AB2082" s="196"/>
      <c r="AC2082" s="196"/>
      <c r="AD2082" s="196"/>
      <c r="AE2082" s="197"/>
      <c r="AF2082" s="197"/>
      <c r="AG2082" s="197"/>
      <c r="AH2082" s="197"/>
    </row>
    <row r="2083" customHeight="1" spans="19:34">
      <c r="S2083" s="196"/>
      <c r="T2083" s="196"/>
      <c r="U2083" s="196"/>
      <c r="V2083" s="196"/>
      <c r="W2083" s="196"/>
      <c r="X2083" s="196"/>
      <c r="Y2083" s="196"/>
      <c r="Z2083" s="196"/>
      <c r="AA2083" s="196"/>
      <c r="AB2083" s="196"/>
      <c r="AC2083" s="196"/>
      <c r="AD2083" s="196"/>
      <c r="AE2083" s="197"/>
      <c r="AF2083" s="197"/>
      <c r="AG2083" s="197"/>
      <c r="AH2083" s="197"/>
    </row>
    <row r="2084" customHeight="1" spans="19:34">
      <c r="S2084" s="196"/>
      <c r="T2084" s="196"/>
      <c r="U2084" s="196"/>
      <c r="V2084" s="196"/>
      <c r="W2084" s="196"/>
      <c r="X2084" s="196"/>
      <c r="Y2084" s="196"/>
      <c r="Z2084" s="196"/>
      <c r="AA2084" s="196"/>
      <c r="AB2084" s="196"/>
      <c r="AC2084" s="196"/>
      <c r="AD2084" s="196"/>
      <c r="AE2084" s="197"/>
      <c r="AF2084" s="197"/>
      <c r="AG2084" s="197"/>
      <c r="AH2084" s="197"/>
    </row>
    <row r="2085" customHeight="1" spans="19:34">
      <c r="S2085" s="196"/>
      <c r="T2085" s="196"/>
      <c r="U2085" s="196"/>
      <c r="V2085" s="196"/>
      <c r="W2085" s="196"/>
      <c r="X2085" s="196"/>
      <c r="Y2085" s="196"/>
      <c r="Z2085" s="196"/>
      <c r="AA2085" s="196"/>
      <c r="AB2085" s="196"/>
      <c r="AC2085" s="196"/>
      <c r="AD2085" s="196"/>
      <c r="AE2085" s="197"/>
      <c r="AF2085" s="197"/>
      <c r="AG2085" s="197"/>
      <c r="AH2085" s="197"/>
    </row>
    <row r="2086" customHeight="1" spans="19:34">
      <c r="S2086" s="196"/>
      <c r="T2086" s="196"/>
      <c r="U2086" s="196"/>
      <c r="V2086" s="196"/>
      <c r="W2086" s="196"/>
      <c r="X2086" s="196"/>
      <c r="Y2086" s="196"/>
      <c r="Z2086" s="196"/>
      <c r="AA2086" s="196"/>
      <c r="AB2086" s="196"/>
      <c r="AC2086" s="196"/>
      <c r="AD2086" s="196"/>
      <c r="AE2086" s="197"/>
      <c r="AF2086" s="197"/>
      <c r="AG2086" s="197"/>
      <c r="AH2086" s="197"/>
    </row>
    <row r="2087" customHeight="1" spans="19:34">
      <c r="S2087" s="196"/>
      <c r="T2087" s="196"/>
      <c r="U2087" s="196"/>
      <c r="V2087" s="196"/>
      <c r="W2087" s="196"/>
      <c r="X2087" s="196"/>
      <c r="Y2087" s="196"/>
      <c r="Z2087" s="196"/>
      <c r="AA2087" s="196"/>
      <c r="AB2087" s="196"/>
      <c r="AC2087" s="196"/>
      <c r="AD2087" s="196"/>
      <c r="AE2087" s="197"/>
      <c r="AF2087" s="197"/>
      <c r="AG2087" s="197"/>
      <c r="AH2087" s="197"/>
    </row>
    <row r="2088" customHeight="1" spans="19:34">
      <c r="S2088" s="196"/>
      <c r="T2088" s="196"/>
      <c r="U2088" s="196"/>
      <c r="V2088" s="196"/>
      <c r="W2088" s="196"/>
      <c r="X2088" s="196"/>
      <c r="Y2088" s="196"/>
      <c r="Z2088" s="196"/>
      <c r="AA2088" s="196"/>
      <c r="AB2088" s="196"/>
      <c r="AC2088" s="196"/>
      <c r="AD2088" s="196"/>
      <c r="AE2088" s="197"/>
      <c r="AF2088" s="197"/>
      <c r="AG2088" s="197"/>
      <c r="AH2088" s="197"/>
    </row>
    <row r="2089" customHeight="1" spans="19:34">
      <c r="S2089" s="196"/>
      <c r="T2089" s="196"/>
      <c r="U2089" s="196"/>
      <c r="V2089" s="196"/>
      <c r="W2089" s="196"/>
      <c r="X2089" s="196"/>
      <c r="Y2089" s="196"/>
      <c r="Z2089" s="196"/>
      <c r="AA2089" s="196"/>
      <c r="AB2089" s="196"/>
      <c r="AC2089" s="196"/>
      <c r="AD2089" s="196"/>
      <c r="AE2089" s="197"/>
      <c r="AF2089" s="197"/>
      <c r="AG2089" s="197"/>
      <c r="AH2089" s="197"/>
    </row>
    <row r="2090" customHeight="1" spans="19:34">
      <c r="S2090" s="196"/>
      <c r="T2090" s="196"/>
      <c r="U2090" s="196"/>
      <c r="V2090" s="196"/>
      <c r="W2090" s="196"/>
      <c r="X2090" s="196"/>
      <c r="Y2090" s="196"/>
      <c r="Z2090" s="196"/>
      <c r="AA2090" s="196"/>
      <c r="AB2090" s="196"/>
      <c r="AC2090" s="196"/>
      <c r="AD2090" s="196"/>
      <c r="AE2090" s="197"/>
      <c r="AF2090" s="197"/>
      <c r="AG2090" s="197"/>
      <c r="AH2090" s="197"/>
    </row>
    <row r="2091" customHeight="1" spans="19:34">
      <c r="S2091" s="196"/>
      <c r="T2091" s="196"/>
      <c r="U2091" s="196"/>
      <c r="V2091" s="196"/>
      <c r="W2091" s="196"/>
      <c r="X2091" s="196"/>
      <c r="Y2091" s="196"/>
      <c r="Z2091" s="196"/>
      <c r="AA2091" s="196"/>
      <c r="AB2091" s="196"/>
      <c r="AC2091" s="196"/>
      <c r="AD2091" s="196"/>
      <c r="AE2091" s="197"/>
      <c r="AF2091" s="197"/>
      <c r="AG2091" s="197"/>
      <c r="AH2091" s="197"/>
    </row>
    <row r="2092" customHeight="1" spans="19:34">
      <c r="S2092" s="196"/>
      <c r="T2092" s="196"/>
      <c r="U2092" s="196"/>
      <c r="V2092" s="196"/>
      <c r="W2092" s="196"/>
      <c r="X2092" s="196"/>
      <c r="Y2092" s="196"/>
      <c r="Z2092" s="196"/>
      <c r="AA2092" s="196"/>
      <c r="AB2092" s="196"/>
      <c r="AC2092" s="196"/>
      <c r="AD2092" s="196"/>
      <c r="AE2092" s="197"/>
      <c r="AF2092" s="197"/>
      <c r="AG2092" s="197"/>
      <c r="AH2092" s="197"/>
    </row>
    <row r="2093" customHeight="1" spans="19:34">
      <c r="S2093" s="196"/>
      <c r="T2093" s="196"/>
      <c r="U2093" s="196"/>
      <c r="V2093" s="196"/>
      <c r="W2093" s="196"/>
      <c r="X2093" s="196"/>
      <c r="Y2093" s="196"/>
      <c r="Z2093" s="196"/>
      <c r="AA2093" s="196"/>
      <c r="AB2093" s="196"/>
      <c r="AC2093" s="196"/>
      <c r="AD2093" s="196"/>
      <c r="AE2093" s="197"/>
      <c r="AF2093" s="197"/>
      <c r="AG2093" s="197"/>
      <c r="AH2093" s="197"/>
    </row>
    <row r="2094" customHeight="1" spans="19:34">
      <c r="S2094" s="196"/>
      <c r="T2094" s="196"/>
      <c r="U2094" s="196"/>
      <c r="V2094" s="196"/>
      <c r="W2094" s="196"/>
      <c r="X2094" s="196"/>
      <c r="Y2094" s="196"/>
      <c r="Z2094" s="196"/>
      <c r="AA2094" s="196"/>
      <c r="AB2094" s="196"/>
      <c r="AC2094" s="196"/>
      <c r="AD2094" s="196"/>
      <c r="AE2094" s="197"/>
      <c r="AF2094" s="197"/>
      <c r="AG2094" s="197"/>
      <c r="AH2094" s="197"/>
    </row>
    <row r="2095" customHeight="1" spans="19:34">
      <c r="S2095" s="196"/>
      <c r="T2095" s="196"/>
      <c r="U2095" s="196"/>
      <c r="V2095" s="196"/>
      <c r="W2095" s="196"/>
      <c r="X2095" s="196"/>
      <c r="Y2095" s="196"/>
      <c r="Z2095" s="196"/>
      <c r="AA2095" s="196"/>
      <c r="AB2095" s="196"/>
      <c r="AC2095" s="196"/>
      <c r="AD2095" s="196"/>
      <c r="AE2095" s="197"/>
      <c r="AF2095" s="197"/>
      <c r="AG2095" s="197"/>
      <c r="AH2095" s="197"/>
    </row>
    <row r="2096" customHeight="1" spans="19:34">
      <c r="S2096" s="196"/>
      <c r="T2096" s="196"/>
      <c r="U2096" s="196"/>
      <c r="V2096" s="196"/>
      <c r="W2096" s="196"/>
      <c r="X2096" s="196"/>
      <c r="Y2096" s="196"/>
      <c r="Z2096" s="196"/>
      <c r="AA2096" s="196"/>
      <c r="AB2096" s="196"/>
      <c r="AC2096" s="196"/>
      <c r="AD2096" s="196"/>
      <c r="AE2096" s="197"/>
      <c r="AF2096" s="197"/>
      <c r="AG2096" s="197"/>
      <c r="AH2096" s="197"/>
    </row>
    <row r="2097" customHeight="1" spans="19:34">
      <c r="S2097" s="196"/>
      <c r="T2097" s="196"/>
      <c r="U2097" s="196"/>
      <c r="V2097" s="196"/>
      <c r="W2097" s="196"/>
      <c r="X2097" s="196"/>
      <c r="Y2097" s="196"/>
      <c r="Z2097" s="196"/>
      <c r="AA2097" s="196"/>
      <c r="AB2097" s="196"/>
      <c r="AC2097" s="196"/>
      <c r="AD2097" s="196"/>
      <c r="AE2097" s="197"/>
      <c r="AF2097" s="197"/>
      <c r="AG2097" s="197"/>
      <c r="AH2097" s="197"/>
    </row>
    <row r="2098" customHeight="1" spans="19:34">
      <c r="S2098" s="196"/>
      <c r="T2098" s="196"/>
      <c r="U2098" s="196"/>
      <c r="V2098" s="196"/>
      <c r="W2098" s="196"/>
      <c r="X2098" s="196"/>
      <c r="Y2098" s="196"/>
      <c r="Z2098" s="196"/>
      <c r="AA2098" s="196"/>
      <c r="AB2098" s="196"/>
      <c r="AC2098" s="196"/>
      <c r="AD2098" s="196"/>
      <c r="AE2098" s="197"/>
      <c r="AF2098" s="197"/>
      <c r="AG2098" s="197"/>
      <c r="AH2098" s="197"/>
    </row>
    <row r="2099" customHeight="1" spans="19:34">
      <c r="S2099" s="196"/>
      <c r="T2099" s="196"/>
      <c r="U2099" s="196"/>
      <c r="V2099" s="196"/>
      <c r="W2099" s="196"/>
      <c r="X2099" s="196"/>
      <c r="Y2099" s="196"/>
      <c r="Z2099" s="196"/>
      <c r="AA2099" s="196"/>
      <c r="AB2099" s="196"/>
      <c r="AC2099" s="196"/>
      <c r="AD2099" s="196"/>
      <c r="AE2099" s="197"/>
      <c r="AF2099" s="197"/>
      <c r="AG2099" s="197"/>
      <c r="AH2099" s="197"/>
    </row>
    <row r="2100" customHeight="1" spans="19:34">
      <c r="S2100" s="196"/>
      <c r="T2100" s="196"/>
      <c r="U2100" s="196"/>
      <c r="V2100" s="196"/>
      <c r="W2100" s="196"/>
      <c r="X2100" s="196"/>
      <c r="Y2100" s="196"/>
      <c r="Z2100" s="196"/>
      <c r="AA2100" s="196"/>
      <c r="AB2100" s="196"/>
      <c r="AC2100" s="196"/>
      <c r="AD2100" s="196"/>
      <c r="AE2100" s="197"/>
      <c r="AF2100" s="197"/>
      <c r="AG2100" s="197"/>
      <c r="AH2100" s="197"/>
    </row>
  </sheetData>
  <mergeCells count="1626">
    <mergeCell ref="A1:G1"/>
    <mergeCell ref="A2:B2"/>
    <mergeCell ref="E2:G2"/>
    <mergeCell ref="A3:B3"/>
    <mergeCell ref="C3:E3"/>
    <mergeCell ref="A4:G4"/>
    <mergeCell ref="A5:G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A29:G29"/>
    <mergeCell ref="A30:B30"/>
    <mergeCell ref="E30:G30"/>
    <mergeCell ref="A31:B31"/>
    <mergeCell ref="C31:E31"/>
    <mergeCell ref="A32:G32"/>
    <mergeCell ref="A33:G33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A57:G57"/>
    <mergeCell ref="A58:B58"/>
    <mergeCell ref="E58:G58"/>
    <mergeCell ref="A59:B59"/>
    <mergeCell ref="C59:E59"/>
    <mergeCell ref="A60:G60"/>
    <mergeCell ref="A61:G61"/>
    <mergeCell ref="B62:C62"/>
    <mergeCell ref="B63:C63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6:C76"/>
    <mergeCell ref="B77:C77"/>
    <mergeCell ref="B78:C78"/>
    <mergeCell ref="B79:C79"/>
    <mergeCell ref="B80:C80"/>
    <mergeCell ref="B81:C81"/>
    <mergeCell ref="B82:C82"/>
    <mergeCell ref="B83:C83"/>
    <mergeCell ref="A85:G85"/>
    <mergeCell ref="A86:B86"/>
    <mergeCell ref="E86:G86"/>
    <mergeCell ref="A87:B87"/>
    <mergeCell ref="C87:E87"/>
    <mergeCell ref="A88:G88"/>
    <mergeCell ref="A89:G89"/>
    <mergeCell ref="B90:C90"/>
    <mergeCell ref="B91:C91"/>
    <mergeCell ref="B92:C92"/>
    <mergeCell ref="B93:C93"/>
    <mergeCell ref="B94:C94"/>
    <mergeCell ref="B95:C95"/>
    <mergeCell ref="B96:C96"/>
    <mergeCell ref="B97:C97"/>
    <mergeCell ref="B98:C98"/>
    <mergeCell ref="B99:C99"/>
    <mergeCell ref="B100:C100"/>
    <mergeCell ref="B101:C101"/>
    <mergeCell ref="B102:C102"/>
    <mergeCell ref="B103:C103"/>
    <mergeCell ref="B104:C104"/>
    <mergeCell ref="B105:C105"/>
    <mergeCell ref="B106:C106"/>
    <mergeCell ref="B107:C107"/>
    <mergeCell ref="B108:C108"/>
    <mergeCell ref="B109:C109"/>
    <mergeCell ref="B110:C110"/>
    <mergeCell ref="B111:C111"/>
    <mergeCell ref="A113:G113"/>
    <mergeCell ref="A114:B114"/>
    <mergeCell ref="E114:G114"/>
    <mergeCell ref="A115:B115"/>
    <mergeCell ref="C115:E115"/>
    <mergeCell ref="A116:G116"/>
    <mergeCell ref="A117:G117"/>
    <mergeCell ref="B118:C118"/>
    <mergeCell ref="B119:C119"/>
    <mergeCell ref="B120:C120"/>
    <mergeCell ref="B121:C121"/>
    <mergeCell ref="B122:C122"/>
    <mergeCell ref="B123:C123"/>
    <mergeCell ref="B124:C124"/>
    <mergeCell ref="B125:C125"/>
    <mergeCell ref="B126:C126"/>
    <mergeCell ref="B127:C127"/>
    <mergeCell ref="B128:C128"/>
    <mergeCell ref="B129:C129"/>
    <mergeCell ref="B130:C130"/>
    <mergeCell ref="B131:C131"/>
    <mergeCell ref="B132:C132"/>
    <mergeCell ref="B133:C133"/>
    <mergeCell ref="B134:C134"/>
    <mergeCell ref="B135:C135"/>
    <mergeCell ref="B136:C136"/>
    <mergeCell ref="B137:C137"/>
    <mergeCell ref="B138:C138"/>
    <mergeCell ref="B139:C139"/>
    <mergeCell ref="A141:G141"/>
    <mergeCell ref="A142:B142"/>
    <mergeCell ref="E142:G142"/>
    <mergeCell ref="A143:B143"/>
    <mergeCell ref="C143:E143"/>
    <mergeCell ref="A144:G144"/>
    <mergeCell ref="A145:G145"/>
    <mergeCell ref="B146:C146"/>
    <mergeCell ref="B147:C147"/>
    <mergeCell ref="B148:C148"/>
    <mergeCell ref="B149:C149"/>
    <mergeCell ref="B150:C150"/>
    <mergeCell ref="B151:C151"/>
    <mergeCell ref="B152:C152"/>
    <mergeCell ref="B153:C153"/>
    <mergeCell ref="B154:C154"/>
    <mergeCell ref="B155:C155"/>
    <mergeCell ref="B156:C156"/>
    <mergeCell ref="B157:C157"/>
    <mergeCell ref="B158:C158"/>
    <mergeCell ref="B159:C159"/>
    <mergeCell ref="B160:C160"/>
    <mergeCell ref="B161:C161"/>
    <mergeCell ref="B162:C162"/>
    <mergeCell ref="B163:C163"/>
    <mergeCell ref="B164:C164"/>
    <mergeCell ref="B165:C165"/>
    <mergeCell ref="B166:C166"/>
    <mergeCell ref="B167:C167"/>
    <mergeCell ref="A169:G169"/>
    <mergeCell ref="A170:B170"/>
    <mergeCell ref="E170:G170"/>
    <mergeCell ref="A171:B171"/>
    <mergeCell ref="C171:E171"/>
    <mergeCell ref="A172:G172"/>
    <mergeCell ref="A173:G173"/>
    <mergeCell ref="B174:C174"/>
    <mergeCell ref="B175:C175"/>
    <mergeCell ref="B176:C176"/>
    <mergeCell ref="B177:C177"/>
    <mergeCell ref="B178:C178"/>
    <mergeCell ref="B179:C179"/>
    <mergeCell ref="B180:C180"/>
    <mergeCell ref="B181:C181"/>
    <mergeCell ref="B182:C182"/>
    <mergeCell ref="B183:C183"/>
    <mergeCell ref="B184:C184"/>
    <mergeCell ref="B185:C185"/>
    <mergeCell ref="B186:C186"/>
    <mergeCell ref="B187:C187"/>
    <mergeCell ref="B188:C188"/>
    <mergeCell ref="B189:C189"/>
    <mergeCell ref="B190:C190"/>
    <mergeCell ref="B191:C191"/>
    <mergeCell ref="B192:C192"/>
    <mergeCell ref="B193:C193"/>
    <mergeCell ref="B194:C194"/>
    <mergeCell ref="B195:C195"/>
    <mergeCell ref="A198:G198"/>
    <mergeCell ref="A199:B199"/>
    <mergeCell ref="E199:G199"/>
    <mergeCell ref="A200:B200"/>
    <mergeCell ref="C200:E200"/>
    <mergeCell ref="A201:G201"/>
    <mergeCell ref="A202:G202"/>
    <mergeCell ref="B203:C203"/>
    <mergeCell ref="B204:C204"/>
    <mergeCell ref="B205:C205"/>
    <mergeCell ref="B206:C206"/>
    <mergeCell ref="B207:C207"/>
    <mergeCell ref="B208:C208"/>
    <mergeCell ref="B209:C209"/>
    <mergeCell ref="B210:C210"/>
    <mergeCell ref="B211:C211"/>
    <mergeCell ref="B212:C212"/>
    <mergeCell ref="B213:C213"/>
    <mergeCell ref="B214:C214"/>
    <mergeCell ref="B215:C215"/>
    <mergeCell ref="B216:C216"/>
    <mergeCell ref="B217:C217"/>
    <mergeCell ref="B218:C218"/>
    <mergeCell ref="B219:C219"/>
    <mergeCell ref="B220:C220"/>
    <mergeCell ref="B221:C221"/>
    <mergeCell ref="B222:C222"/>
    <mergeCell ref="B223:C223"/>
    <mergeCell ref="B224:C224"/>
    <mergeCell ref="A227:G227"/>
    <mergeCell ref="A228:B228"/>
    <mergeCell ref="E228:G228"/>
    <mergeCell ref="A229:B229"/>
    <mergeCell ref="C229:E229"/>
    <mergeCell ref="A230:G230"/>
    <mergeCell ref="A231:G231"/>
    <mergeCell ref="B232:C232"/>
    <mergeCell ref="B233:C233"/>
    <mergeCell ref="B234:C234"/>
    <mergeCell ref="B235:C235"/>
    <mergeCell ref="B236:C236"/>
    <mergeCell ref="B237:C237"/>
    <mergeCell ref="B238:C238"/>
    <mergeCell ref="B239:C239"/>
    <mergeCell ref="B240:C240"/>
    <mergeCell ref="B241:C241"/>
    <mergeCell ref="B242:C242"/>
    <mergeCell ref="B243:C243"/>
    <mergeCell ref="B244:C244"/>
    <mergeCell ref="B245:C245"/>
    <mergeCell ref="B246:C246"/>
    <mergeCell ref="B247:C247"/>
    <mergeCell ref="B248:C248"/>
    <mergeCell ref="B249:C249"/>
    <mergeCell ref="B250:C250"/>
    <mergeCell ref="B251:C251"/>
    <mergeCell ref="B252:C252"/>
    <mergeCell ref="B253:C253"/>
    <mergeCell ref="A255:G255"/>
    <mergeCell ref="A256:B256"/>
    <mergeCell ref="E256:G256"/>
    <mergeCell ref="A257:B257"/>
    <mergeCell ref="C257:E257"/>
    <mergeCell ref="A258:G258"/>
    <mergeCell ref="A259:G259"/>
    <mergeCell ref="B260:C260"/>
    <mergeCell ref="B261:C261"/>
    <mergeCell ref="B262:C262"/>
    <mergeCell ref="B263:C263"/>
    <mergeCell ref="B264:C264"/>
    <mergeCell ref="B265:C265"/>
    <mergeCell ref="B266:C266"/>
    <mergeCell ref="B267:C267"/>
    <mergeCell ref="B268:C268"/>
    <mergeCell ref="B269:C269"/>
    <mergeCell ref="B270:C270"/>
    <mergeCell ref="B271:C271"/>
    <mergeCell ref="B272:C272"/>
    <mergeCell ref="B273:C273"/>
    <mergeCell ref="B274:C274"/>
    <mergeCell ref="B275:C275"/>
    <mergeCell ref="B276:C276"/>
    <mergeCell ref="B277:C277"/>
    <mergeCell ref="B278:C278"/>
    <mergeCell ref="B279:C279"/>
    <mergeCell ref="B280:C280"/>
    <mergeCell ref="B281:C281"/>
    <mergeCell ref="A289:G289"/>
    <mergeCell ref="A290:B290"/>
    <mergeCell ref="E290:G290"/>
    <mergeCell ref="A291:B291"/>
    <mergeCell ref="C291:E291"/>
    <mergeCell ref="A292:G292"/>
    <mergeCell ref="A293:G293"/>
    <mergeCell ref="B294:C294"/>
    <mergeCell ref="B295:C295"/>
    <mergeCell ref="B296:C296"/>
    <mergeCell ref="B297:C297"/>
    <mergeCell ref="B298:C298"/>
    <mergeCell ref="B299:C299"/>
    <mergeCell ref="B300:C300"/>
    <mergeCell ref="B301:C301"/>
    <mergeCell ref="B302:C302"/>
    <mergeCell ref="B303:C303"/>
    <mergeCell ref="B304:C304"/>
    <mergeCell ref="B305:C305"/>
    <mergeCell ref="B306:C306"/>
    <mergeCell ref="B307:C307"/>
    <mergeCell ref="B308:C308"/>
    <mergeCell ref="B309:C309"/>
    <mergeCell ref="B310:C310"/>
    <mergeCell ref="B311:C311"/>
    <mergeCell ref="B312:C312"/>
    <mergeCell ref="B313:C313"/>
    <mergeCell ref="A315:G315"/>
    <mergeCell ref="A316:B316"/>
    <mergeCell ref="E316:G316"/>
    <mergeCell ref="A317:B317"/>
    <mergeCell ref="C317:E317"/>
    <mergeCell ref="A318:G318"/>
    <mergeCell ref="A319:G319"/>
    <mergeCell ref="B320:C320"/>
    <mergeCell ref="B321:C321"/>
    <mergeCell ref="B322:C322"/>
    <mergeCell ref="B323:C323"/>
    <mergeCell ref="B324:C324"/>
    <mergeCell ref="B325:C325"/>
    <mergeCell ref="B326:C326"/>
    <mergeCell ref="B327:C327"/>
    <mergeCell ref="B328:C328"/>
    <mergeCell ref="B329:C329"/>
    <mergeCell ref="B330:C330"/>
    <mergeCell ref="B331:C331"/>
    <mergeCell ref="B332:C332"/>
    <mergeCell ref="B333:C333"/>
    <mergeCell ref="B334:C334"/>
    <mergeCell ref="B335:C335"/>
    <mergeCell ref="B336:C336"/>
    <mergeCell ref="B337:C337"/>
    <mergeCell ref="B338:C338"/>
    <mergeCell ref="B339:C339"/>
    <mergeCell ref="A341:G341"/>
    <mergeCell ref="A342:B342"/>
    <mergeCell ref="E342:G342"/>
    <mergeCell ref="A343:B343"/>
    <mergeCell ref="C343:E343"/>
    <mergeCell ref="A344:G344"/>
    <mergeCell ref="A345:G345"/>
    <mergeCell ref="B346:C346"/>
    <mergeCell ref="B347:C347"/>
    <mergeCell ref="B348:C348"/>
    <mergeCell ref="B349:C349"/>
    <mergeCell ref="B350:C350"/>
    <mergeCell ref="B351:C351"/>
    <mergeCell ref="B352:C352"/>
    <mergeCell ref="B353:C353"/>
    <mergeCell ref="B354:C354"/>
    <mergeCell ref="B355:C355"/>
    <mergeCell ref="B356:C356"/>
    <mergeCell ref="B357:C357"/>
    <mergeCell ref="B358:C358"/>
    <mergeCell ref="B359:C359"/>
    <mergeCell ref="B360:C360"/>
    <mergeCell ref="B361:C361"/>
    <mergeCell ref="B362:C362"/>
    <mergeCell ref="B363:C363"/>
    <mergeCell ref="B364:C364"/>
    <mergeCell ref="B365:C365"/>
    <mergeCell ref="A367:G367"/>
    <mergeCell ref="A368:B368"/>
    <mergeCell ref="E368:G368"/>
    <mergeCell ref="A369:B369"/>
    <mergeCell ref="C369:E369"/>
    <mergeCell ref="A370:G370"/>
    <mergeCell ref="A371:G371"/>
    <mergeCell ref="B372:C372"/>
    <mergeCell ref="B373:C373"/>
    <mergeCell ref="B374:C374"/>
    <mergeCell ref="B375:C375"/>
    <mergeCell ref="B376:C376"/>
    <mergeCell ref="B377:C377"/>
    <mergeCell ref="B378:C378"/>
    <mergeCell ref="B379:C379"/>
    <mergeCell ref="B380:C380"/>
    <mergeCell ref="B381:C381"/>
    <mergeCell ref="B382:C382"/>
    <mergeCell ref="B383:C383"/>
    <mergeCell ref="B384:C384"/>
    <mergeCell ref="B385:C385"/>
    <mergeCell ref="B386:C386"/>
    <mergeCell ref="B387:C387"/>
    <mergeCell ref="B388:C388"/>
    <mergeCell ref="B389:C389"/>
    <mergeCell ref="B390:C390"/>
    <mergeCell ref="A392:G392"/>
    <mergeCell ref="A393:B393"/>
    <mergeCell ref="E393:G393"/>
    <mergeCell ref="A394:B394"/>
    <mergeCell ref="C394:E394"/>
    <mergeCell ref="A395:G395"/>
    <mergeCell ref="A396:G396"/>
    <mergeCell ref="B397:C397"/>
    <mergeCell ref="B398:C398"/>
    <mergeCell ref="B399:C399"/>
    <mergeCell ref="B400:C400"/>
    <mergeCell ref="B401:C401"/>
    <mergeCell ref="B402:C402"/>
    <mergeCell ref="B403:C403"/>
    <mergeCell ref="B404:C404"/>
    <mergeCell ref="B405:C405"/>
    <mergeCell ref="B406:C406"/>
    <mergeCell ref="B407:C407"/>
    <mergeCell ref="B408:C408"/>
    <mergeCell ref="B409:C409"/>
    <mergeCell ref="B410:C410"/>
    <mergeCell ref="B411:C411"/>
    <mergeCell ref="B412:C412"/>
    <mergeCell ref="B413:C413"/>
    <mergeCell ref="B414:C414"/>
    <mergeCell ref="B415:C415"/>
    <mergeCell ref="A417:G417"/>
    <mergeCell ref="A418:B418"/>
    <mergeCell ref="E418:G418"/>
    <mergeCell ref="A419:B419"/>
    <mergeCell ref="C419:E419"/>
    <mergeCell ref="A420:G420"/>
    <mergeCell ref="A421:G421"/>
    <mergeCell ref="B422:C422"/>
    <mergeCell ref="B423:C423"/>
    <mergeCell ref="B424:C424"/>
    <mergeCell ref="B425:C425"/>
    <mergeCell ref="B426:C426"/>
    <mergeCell ref="B427:C427"/>
    <mergeCell ref="B428:C428"/>
    <mergeCell ref="B429:C429"/>
    <mergeCell ref="B430:C430"/>
    <mergeCell ref="B431:C431"/>
    <mergeCell ref="B432:C432"/>
    <mergeCell ref="B433:C433"/>
    <mergeCell ref="B434:C434"/>
    <mergeCell ref="B435:C435"/>
    <mergeCell ref="B436:C436"/>
    <mergeCell ref="B437:C437"/>
    <mergeCell ref="B438:C438"/>
    <mergeCell ref="B439:C439"/>
    <mergeCell ref="B440:C440"/>
    <mergeCell ref="A442:G442"/>
    <mergeCell ref="A443:B443"/>
    <mergeCell ref="E443:G443"/>
    <mergeCell ref="A444:B444"/>
    <mergeCell ref="C444:E444"/>
    <mergeCell ref="A445:G445"/>
    <mergeCell ref="A446:G446"/>
    <mergeCell ref="B447:C447"/>
    <mergeCell ref="B448:C448"/>
    <mergeCell ref="B449:C449"/>
    <mergeCell ref="B450:C450"/>
    <mergeCell ref="B451:C451"/>
    <mergeCell ref="B452:C452"/>
    <mergeCell ref="B453:C453"/>
    <mergeCell ref="B454:C454"/>
    <mergeCell ref="B455:C455"/>
    <mergeCell ref="B456:C456"/>
    <mergeCell ref="B457:C457"/>
    <mergeCell ref="B458:C458"/>
    <mergeCell ref="B459:C459"/>
    <mergeCell ref="B460:C460"/>
    <mergeCell ref="B461:C461"/>
    <mergeCell ref="B462:C462"/>
    <mergeCell ref="B463:C463"/>
    <mergeCell ref="B464:C464"/>
    <mergeCell ref="B465:C465"/>
    <mergeCell ref="A468:G468"/>
    <mergeCell ref="A469:B469"/>
    <mergeCell ref="E469:G469"/>
    <mergeCell ref="A470:B470"/>
    <mergeCell ref="C470:E470"/>
    <mergeCell ref="A471:G471"/>
    <mergeCell ref="A472:G472"/>
    <mergeCell ref="B473:C473"/>
    <mergeCell ref="B474:C474"/>
    <mergeCell ref="B475:C475"/>
    <mergeCell ref="B476:C476"/>
    <mergeCell ref="B477:C477"/>
    <mergeCell ref="B478:C478"/>
    <mergeCell ref="B479:C479"/>
    <mergeCell ref="B480:C480"/>
    <mergeCell ref="B481:C481"/>
    <mergeCell ref="B482:C482"/>
    <mergeCell ref="B483:C483"/>
    <mergeCell ref="B484:C484"/>
    <mergeCell ref="B485:C485"/>
    <mergeCell ref="B486:C486"/>
    <mergeCell ref="B487:C487"/>
    <mergeCell ref="B488:C488"/>
    <mergeCell ref="B489:C489"/>
    <mergeCell ref="B490:C490"/>
    <mergeCell ref="B491:C491"/>
    <mergeCell ref="A493:G493"/>
    <mergeCell ref="A494:B494"/>
    <mergeCell ref="E494:G494"/>
    <mergeCell ref="A495:B495"/>
    <mergeCell ref="C495:E495"/>
    <mergeCell ref="A496:G496"/>
    <mergeCell ref="A497:G497"/>
    <mergeCell ref="B498:C498"/>
    <mergeCell ref="B499:C499"/>
    <mergeCell ref="B500:C500"/>
    <mergeCell ref="B501:C501"/>
    <mergeCell ref="B502:C502"/>
    <mergeCell ref="B503:C503"/>
    <mergeCell ref="B504:C504"/>
    <mergeCell ref="B505:C505"/>
    <mergeCell ref="B506:C506"/>
    <mergeCell ref="B507:C507"/>
    <mergeCell ref="B508:C508"/>
    <mergeCell ref="B509:C509"/>
    <mergeCell ref="B510:C510"/>
    <mergeCell ref="B511:C511"/>
    <mergeCell ref="B512:C512"/>
    <mergeCell ref="B513:C513"/>
    <mergeCell ref="B514:C514"/>
    <mergeCell ref="B515:C515"/>
    <mergeCell ref="B516:C516"/>
    <mergeCell ref="A517:G517"/>
    <mergeCell ref="A518:B518"/>
    <mergeCell ref="E518:G518"/>
    <mergeCell ref="A519:B519"/>
    <mergeCell ref="C519:E519"/>
    <mergeCell ref="A520:G520"/>
    <mergeCell ref="A521:G521"/>
    <mergeCell ref="B522:C522"/>
    <mergeCell ref="B523:C523"/>
    <mergeCell ref="B524:C524"/>
    <mergeCell ref="B525:C525"/>
    <mergeCell ref="B526:C526"/>
    <mergeCell ref="B527:C527"/>
    <mergeCell ref="B528:C528"/>
    <mergeCell ref="B529:C529"/>
    <mergeCell ref="B530:C530"/>
    <mergeCell ref="B531:C531"/>
    <mergeCell ref="B532:C532"/>
    <mergeCell ref="B533:C533"/>
    <mergeCell ref="B534:C534"/>
    <mergeCell ref="B535:C535"/>
    <mergeCell ref="B536:C536"/>
    <mergeCell ref="B537:C537"/>
    <mergeCell ref="B538:C538"/>
    <mergeCell ref="B539:C539"/>
    <mergeCell ref="A541:G541"/>
    <mergeCell ref="A542:B542"/>
    <mergeCell ref="E542:G542"/>
    <mergeCell ref="A543:B543"/>
    <mergeCell ref="C543:E543"/>
    <mergeCell ref="A544:G544"/>
    <mergeCell ref="A545:G545"/>
    <mergeCell ref="B546:C546"/>
    <mergeCell ref="B547:C547"/>
    <mergeCell ref="B548:C548"/>
    <mergeCell ref="B549:C549"/>
    <mergeCell ref="B550:C550"/>
    <mergeCell ref="B551:C551"/>
    <mergeCell ref="B552:C552"/>
    <mergeCell ref="B553:C553"/>
    <mergeCell ref="B554:C554"/>
    <mergeCell ref="B555:C555"/>
    <mergeCell ref="B556:C556"/>
    <mergeCell ref="B557:C557"/>
    <mergeCell ref="B558:C558"/>
    <mergeCell ref="B559:C559"/>
    <mergeCell ref="B560:C560"/>
    <mergeCell ref="B561:C561"/>
    <mergeCell ref="B562:C562"/>
    <mergeCell ref="B563:C563"/>
    <mergeCell ref="A739:G739"/>
    <mergeCell ref="A740:B740"/>
    <mergeCell ref="E740:G740"/>
    <mergeCell ref="A741:B741"/>
    <mergeCell ref="C741:E741"/>
    <mergeCell ref="A742:G742"/>
    <mergeCell ref="A743:G743"/>
    <mergeCell ref="B744:C744"/>
    <mergeCell ref="B745:C745"/>
    <mergeCell ref="B746:C746"/>
    <mergeCell ref="B747:C747"/>
    <mergeCell ref="B748:C748"/>
    <mergeCell ref="B749:C749"/>
    <mergeCell ref="B750:C750"/>
    <mergeCell ref="B751:C751"/>
    <mergeCell ref="B752:C752"/>
    <mergeCell ref="B753:C753"/>
    <mergeCell ref="B754:C754"/>
    <mergeCell ref="B755:C755"/>
    <mergeCell ref="B756:C756"/>
    <mergeCell ref="B757:C757"/>
    <mergeCell ref="B758:C758"/>
    <mergeCell ref="B759:C759"/>
    <mergeCell ref="B760:C760"/>
    <mergeCell ref="B761:C761"/>
    <mergeCell ref="A763:G763"/>
    <mergeCell ref="A764:B764"/>
    <mergeCell ref="E764:G764"/>
    <mergeCell ref="A765:B765"/>
    <mergeCell ref="C765:E765"/>
    <mergeCell ref="A766:G766"/>
    <mergeCell ref="A767:G767"/>
    <mergeCell ref="B768:C768"/>
    <mergeCell ref="B769:C769"/>
    <mergeCell ref="B770:C770"/>
    <mergeCell ref="B771:C771"/>
    <mergeCell ref="B772:C772"/>
    <mergeCell ref="B773:C773"/>
    <mergeCell ref="B774:C774"/>
    <mergeCell ref="B775:C775"/>
    <mergeCell ref="B776:C776"/>
    <mergeCell ref="B777:C777"/>
    <mergeCell ref="B778:C778"/>
    <mergeCell ref="B779:C779"/>
    <mergeCell ref="B780:C780"/>
    <mergeCell ref="B781:C781"/>
    <mergeCell ref="B782:C782"/>
    <mergeCell ref="B783:C783"/>
    <mergeCell ref="B784:C784"/>
    <mergeCell ref="B785:C785"/>
    <mergeCell ref="A787:G787"/>
    <mergeCell ref="A788:B788"/>
    <mergeCell ref="E788:G788"/>
    <mergeCell ref="A789:B789"/>
    <mergeCell ref="C789:E789"/>
    <mergeCell ref="A790:G790"/>
    <mergeCell ref="A791:G791"/>
    <mergeCell ref="B792:C792"/>
    <mergeCell ref="B793:C793"/>
    <mergeCell ref="B794:C794"/>
    <mergeCell ref="B795:C795"/>
    <mergeCell ref="B796:C796"/>
    <mergeCell ref="B797:C797"/>
    <mergeCell ref="B798:C798"/>
    <mergeCell ref="B799:C799"/>
    <mergeCell ref="B800:C800"/>
    <mergeCell ref="B801:C801"/>
    <mergeCell ref="B802:C802"/>
    <mergeCell ref="B803:C803"/>
    <mergeCell ref="B804:C804"/>
    <mergeCell ref="B805:C805"/>
    <mergeCell ref="B806:C806"/>
    <mergeCell ref="B807:C807"/>
    <mergeCell ref="B808:C808"/>
    <mergeCell ref="B809:C809"/>
    <mergeCell ref="A811:G811"/>
    <mergeCell ref="A812:B812"/>
    <mergeCell ref="E812:G812"/>
    <mergeCell ref="A813:B813"/>
    <mergeCell ref="C813:E813"/>
    <mergeCell ref="A814:G814"/>
    <mergeCell ref="A815:G815"/>
    <mergeCell ref="B816:C816"/>
    <mergeCell ref="B817:C817"/>
    <mergeCell ref="B818:C818"/>
    <mergeCell ref="B819:C819"/>
    <mergeCell ref="B820:C820"/>
    <mergeCell ref="B821:C821"/>
    <mergeCell ref="B822:C822"/>
    <mergeCell ref="B823:C823"/>
    <mergeCell ref="B824:C824"/>
    <mergeCell ref="B825:C825"/>
    <mergeCell ref="B826:C826"/>
    <mergeCell ref="B827:C827"/>
    <mergeCell ref="B828:C828"/>
    <mergeCell ref="B829:C829"/>
    <mergeCell ref="B830:C830"/>
    <mergeCell ref="B831:C831"/>
    <mergeCell ref="B832:C832"/>
    <mergeCell ref="B833:C833"/>
    <mergeCell ref="B834:C834"/>
    <mergeCell ref="B835:C835"/>
    <mergeCell ref="B836:C836"/>
    <mergeCell ref="A838:G838"/>
    <mergeCell ref="A839:B839"/>
    <mergeCell ref="E839:G839"/>
    <mergeCell ref="A840:B840"/>
    <mergeCell ref="C840:E840"/>
    <mergeCell ref="A841:G841"/>
    <mergeCell ref="A842:G842"/>
    <mergeCell ref="B843:C843"/>
    <mergeCell ref="B844:C844"/>
    <mergeCell ref="B845:C845"/>
    <mergeCell ref="B846:C846"/>
    <mergeCell ref="B847:C847"/>
    <mergeCell ref="B848:C848"/>
    <mergeCell ref="B849:C849"/>
    <mergeCell ref="B850:C850"/>
    <mergeCell ref="B851:C851"/>
    <mergeCell ref="B852:C852"/>
    <mergeCell ref="B853:C853"/>
    <mergeCell ref="B854:C854"/>
    <mergeCell ref="B855:C855"/>
    <mergeCell ref="B856:C856"/>
    <mergeCell ref="B857:C857"/>
    <mergeCell ref="B858:C858"/>
    <mergeCell ref="B859:C859"/>
    <mergeCell ref="B860:C860"/>
    <mergeCell ref="B861:C861"/>
    <mergeCell ref="B862:C862"/>
    <mergeCell ref="B863:C863"/>
    <mergeCell ref="A865:G865"/>
    <mergeCell ref="A866:B866"/>
    <mergeCell ref="E866:G866"/>
    <mergeCell ref="A867:B867"/>
    <mergeCell ref="C867:E867"/>
    <mergeCell ref="A868:G868"/>
    <mergeCell ref="A869:G869"/>
    <mergeCell ref="B870:C870"/>
    <mergeCell ref="B871:C871"/>
    <mergeCell ref="B872:C872"/>
    <mergeCell ref="B873:C873"/>
    <mergeCell ref="B874:C874"/>
    <mergeCell ref="B875:C875"/>
    <mergeCell ref="B876:C876"/>
    <mergeCell ref="B877:C877"/>
    <mergeCell ref="B878:C878"/>
    <mergeCell ref="B879:C879"/>
    <mergeCell ref="B880:C880"/>
    <mergeCell ref="B881:C881"/>
    <mergeCell ref="B882:C882"/>
    <mergeCell ref="B883:C883"/>
    <mergeCell ref="B884:C884"/>
    <mergeCell ref="B885:C885"/>
    <mergeCell ref="B886:C886"/>
    <mergeCell ref="B887:C887"/>
    <mergeCell ref="B888:C888"/>
    <mergeCell ref="B889:C889"/>
    <mergeCell ref="B890:C890"/>
    <mergeCell ref="A892:G892"/>
    <mergeCell ref="A893:B893"/>
    <mergeCell ref="E893:G893"/>
    <mergeCell ref="A894:B894"/>
    <mergeCell ref="C894:E894"/>
    <mergeCell ref="A895:G895"/>
    <mergeCell ref="A896:G896"/>
    <mergeCell ref="B897:C897"/>
    <mergeCell ref="B898:C898"/>
    <mergeCell ref="B899:C899"/>
    <mergeCell ref="B900:C900"/>
    <mergeCell ref="B901:C901"/>
    <mergeCell ref="B902:C902"/>
    <mergeCell ref="B903:C903"/>
    <mergeCell ref="B904:C904"/>
    <mergeCell ref="B905:C905"/>
    <mergeCell ref="B906:C906"/>
    <mergeCell ref="B907:C907"/>
    <mergeCell ref="B908:C908"/>
    <mergeCell ref="B909:C909"/>
    <mergeCell ref="B910:C910"/>
    <mergeCell ref="B911:C911"/>
    <mergeCell ref="B912:C912"/>
    <mergeCell ref="B913:C913"/>
    <mergeCell ref="B914:C914"/>
    <mergeCell ref="B915:C915"/>
    <mergeCell ref="B916:C916"/>
    <mergeCell ref="B917:C917"/>
    <mergeCell ref="A919:G919"/>
    <mergeCell ref="A920:B920"/>
    <mergeCell ref="E920:G920"/>
    <mergeCell ref="A921:B921"/>
    <mergeCell ref="C921:E921"/>
    <mergeCell ref="A922:G922"/>
    <mergeCell ref="A923:G923"/>
    <mergeCell ref="B924:C924"/>
    <mergeCell ref="B925:C925"/>
    <mergeCell ref="B926:C926"/>
    <mergeCell ref="B927:C927"/>
    <mergeCell ref="B928:C928"/>
    <mergeCell ref="B929:C929"/>
    <mergeCell ref="B930:C930"/>
    <mergeCell ref="B931:C931"/>
    <mergeCell ref="B932:C932"/>
    <mergeCell ref="B933:C933"/>
    <mergeCell ref="B934:C934"/>
    <mergeCell ref="B935:C935"/>
    <mergeCell ref="B936:C936"/>
    <mergeCell ref="B937:C937"/>
    <mergeCell ref="B938:C938"/>
    <mergeCell ref="B939:C939"/>
    <mergeCell ref="B940:C940"/>
    <mergeCell ref="B941:C941"/>
    <mergeCell ref="B942:C942"/>
    <mergeCell ref="B943:C943"/>
    <mergeCell ref="B944:C944"/>
    <mergeCell ref="A947:G947"/>
    <mergeCell ref="A948:B948"/>
    <mergeCell ref="E948:G948"/>
    <mergeCell ref="A949:B949"/>
    <mergeCell ref="C949:E949"/>
    <mergeCell ref="A950:G950"/>
    <mergeCell ref="A951:G951"/>
    <mergeCell ref="B952:C952"/>
    <mergeCell ref="B953:C953"/>
    <mergeCell ref="B954:C954"/>
    <mergeCell ref="B955:C955"/>
    <mergeCell ref="B956:C956"/>
    <mergeCell ref="B957:C957"/>
    <mergeCell ref="B958:C958"/>
    <mergeCell ref="B959:C959"/>
    <mergeCell ref="B960:C960"/>
    <mergeCell ref="B961:C961"/>
    <mergeCell ref="B962:C962"/>
    <mergeCell ref="B963:C963"/>
    <mergeCell ref="B964:C964"/>
    <mergeCell ref="B965:C965"/>
    <mergeCell ref="B966:C966"/>
    <mergeCell ref="B967:C967"/>
    <mergeCell ref="B968:C968"/>
    <mergeCell ref="B969:C969"/>
    <mergeCell ref="B970:C970"/>
    <mergeCell ref="B971:C971"/>
    <mergeCell ref="A973:G973"/>
    <mergeCell ref="A974:B974"/>
    <mergeCell ref="E974:G974"/>
    <mergeCell ref="A975:B975"/>
    <mergeCell ref="C975:E975"/>
    <mergeCell ref="A976:G976"/>
    <mergeCell ref="A977:G977"/>
    <mergeCell ref="B978:C978"/>
    <mergeCell ref="B979:C979"/>
    <mergeCell ref="B980:C980"/>
    <mergeCell ref="B981:C981"/>
    <mergeCell ref="B982:C982"/>
    <mergeCell ref="B983:C983"/>
    <mergeCell ref="B984:C984"/>
    <mergeCell ref="B985:C985"/>
    <mergeCell ref="B986:C986"/>
    <mergeCell ref="B987:C987"/>
    <mergeCell ref="B988:C988"/>
    <mergeCell ref="B989:C989"/>
    <mergeCell ref="B990:C990"/>
    <mergeCell ref="B991:C991"/>
    <mergeCell ref="B992:C992"/>
    <mergeCell ref="B993:C993"/>
    <mergeCell ref="B994:C994"/>
    <mergeCell ref="B995:C995"/>
    <mergeCell ref="B996:C996"/>
    <mergeCell ref="B997:C997"/>
    <mergeCell ref="A999:G999"/>
    <mergeCell ref="A1000:B1000"/>
    <mergeCell ref="E1000:G1000"/>
    <mergeCell ref="A1001:B1001"/>
    <mergeCell ref="C1001:E1001"/>
    <mergeCell ref="A1002:G1002"/>
    <mergeCell ref="A1003:G1003"/>
    <mergeCell ref="B1004:C1004"/>
    <mergeCell ref="B1005:C1005"/>
    <mergeCell ref="B1006:C1006"/>
    <mergeCell ref="B1007:C1007"/>
    <mergeCell ref="B1008:C1008"/>
    <mergeCell ref="B1009:C1009"/>
    <mergeCell ref="B1010:C1010"/>
    <mergeCell ref="B1011:C1011"/>
    <mergeCell ref="B1012:C1012"/>
    <mergeCell ref="B1013:C1013"/>
    <mergeCell ref="B1014:C1014"/>
    <mergeCell ref="B1015:C1015"/>
    <mergeCell ref="B1016:C1016"/>
    <mergeCell ref="B1017:C1017"/>
    <mergeCell ref="B1018:C1018"/>
    <mergeCell ref="B1019:C1019"/>
    <mergeCell ref="B1020:C1020"/>
    <mergeCell ref="B1021:C1021"/>
    <mergeCell ref="B1022:C1022"/>
    <mergeCell ref="B1023:C1023"/>
    <mergeCell ref="A1026:G1026"/>
    <mergeCell ref="A1027:B1027"/>
    <mergeCell ref="E1027:G1027"/>
    <mergeCell ref="A1028:B1028"/>
    <mergeCell ref="C1028:E1028"/>
    <mergeCell ref="A1029:G1029"/>
    <mergeCell ref="A1030:G1030"/>
    <mergeCell ref="B1031:C1031"/>
    <mergeCell ref="B1032:C1032"/>
    <mergeCell ref="B1033:C1033"/>
    <mergeCell ref="B1034:C1034"/>
    <mergeCell ref="B1035:C1035"/>
    <mergeCell ref="B1036:C1036"/>
    <mergeCell ref="B1037:C1037"/>
    <mergeCell ref="B1038:C1038"/>
    <mergeCell ref="B1039:C1039"/>
    <mergeCell ref="B1040:C1040"/>
    <mergeCell ref="B1041:C1041"/>
    <mergeCell ref="B1042:C1042"/>
    <mergeCell ref="B1043:C1043"/>
    <mergeCell ref="B1044:C1044"/>
    <mergeCell ref="B1045:C1045"/>
    <mergeCell ref="B1046:C1046"/>
    <mergeCell ref="B1047:C1047"/>
    <mergeCell ref="B1048:C1048"/>
    <mergeCell ref="A1050:G1050"/>
    <mergeCell ref="A1051:B1051"/>
    <mergeCell ref="E1051:G1051"/>
    <mergeCell ref="A1052:B1052"/>
    <mergeCell ref="C1052:E1052"/>
    <mergeCell ref="A1053:G1053"/>
    <mergeCell ref="A1054:G1054"/>
    <mergeCell ref="B1055:C1055"/>
    <mergeCell ref="B1056:C1056"/>
    <mergeCell ref="B1057:C1057"/>
    <mergeCell ref="B1058:C1058"/>
    <mergeCell ref="B1059:C1059"/>
    <mergeCell ref="B1060:C1060"/>
    <mergeCell ref="B1061:C1061"/>
    <mergeCell ref="B1062:C1062"/>
    <mergeCell ref="B1063:C1063"/>
    <mergeCell ref="B1064:C1064"/>
    <mergeCell ref="B1065:C1065"/>
    <mergeCell ref="B1066:C1066"/>
    <mergeCell ref="B1067:C1067"/>
    <mergeCell ref="B1068:C1068"/>
    <mergeCell ref="A1073:G1073"/>
    <mergeCell ref="A1074:B1074"/>
    <mergeCell ref="E1074:G1074"/>
    <mergeCell ref="A1075:B1075"/>
    <mergeCell ref="C1075:E1075"/>
    <mergeCell ref="A1076:G1076"/>
    <mergeCell ref="B1077:C1077"/>
    <mergeCell ref="B1078:C1078"/>
    <mergeCell ref="B1079:C1079"/>
    <mergeCell ref="B1080:C1080"/>
    <mergeCell ref="B1081:C1081"/>
    <mergeCell ref="B1082:C1082"/>
    <mergeCell ref="B1083:C1083"/>
    <mergeCell ref="B1084:C1084"/>
    <mergeCell ref="B1085:C1085"/>
    <mergeCell ref="B1087:C1087"/>
    <mergeCell ref="B1088:C1088"/>
    <mergeCell ref="B1089:C1089"/>
    <mergeCell ref="B1090:C1090"/>
    <mergeCell ref="B1091:C1091"/>
    <mergeCell ref="B1092:C1092"/>
    <mergeCell ref="B1093:C1093"/>
    <mergeCell ref="B1094:C1094"/>
    <mergeCell ref="B1095:C1095"/>
    <mergeCell ref="A1097:G1097"/>
    <mergeCell ref="A1098:B1098"/>
    <mergeCell ref="E1098:G1098"/>
    <mergeCell ref="A1099:B1099"/>
    <mergeCell ref="C1099:E1099"/>
    <mergeCell ref="A1100:G1100"/>
    <mergeCell ref="B1101:C1101"/>
    <mergeCell ref="B1102:C1102"/>
    <mergeCell ref="B1103:C1103"/>
    <mergeCell ref="B1104:C1104"/>
    <mergeCell ref="B1105:C1105"/>
    <mergeCell ref="B1106:C1106"/>
    <mergeCell ref="B1107:C1107"/>
    <mergeCell ref="B1108:C1108"/>
    <mergeCell ref="B1109:C1109"/>
    <mergeCell ref="B1111:C1111"/>
    <mergeCell ref="B1112:C1112"/>
    <mergeCell ref="B1113:C1113"/>
    <mergeCell ref="B1114:C1114"/>
    <mergeCell ref="B1115:C1115"/>
    <mergeCell ref="B1116:C1116"/>
    <mergeCell ref="B1117:C1117"/>
    <mergeCell ref="B1118:C1118"/>
    <mergeCell ref="B1119:C1119"/>
    <mergeCell ref="A1121:G1121"/>
    <mergeCell ref="A1122:B1122"/>
    <mergeCell ref="E1122:G1122"/>
    <mergeCell ref="A1123:B1123"/>
    <mergeCell ref="C1123:E1123"/>
    <mergeCell ref="A1124:G1124"/>
    <mergeCell ref="A1125:G1125"/>
    <mergeCell ref="B1126:C1126"/>
    <mergeCell ref="B1127:C1127"/>
    <mergeCell ref="B1128:C1128"/>
    <mergeCell ref="B1129:C1129"/>
    <mergeCell ref="B1130:C1130"/>
    <mergeCell ref="B1131:C1131"/>
    <mergeCell ref="B1132:C1132"/>
    <mergeCell ref="B1133:C1133"/>
    <mergeCell ref="B1134:C1134"/>
    <mergeCell ref="B1135:C1135"/>
    <mergeCell ref="B1136:C1136"/>
    <mergeCell ref="B1137:C1137"/>
    <mergeCell ref="B1138:C1138"/>
    <mergeCell ref="B1139:C1139"/>
    <mergeCell ref="B1140:C1140"/>
    <mergeCell ref="B1141:C1141"/>
    <mergeCell ref="B1142:C1142"/>
    <mergeCell ref="B1143:C1143"/>
    <mergeCell ref="B1144:C1144"/>
    <mergeCell ref="B1145:C1145"/>
    <mergeCell ref="B1146:C1146"/>
    <mergeCell ref="B1147:C1147"/>
    <mergeCell ref="B1148:C1148"/>
    <mergeCell ref="B1149:C1149"/>
    <mergeCell ref="B1150:C1150"/>
    <mergeCell ref="B1151:C1151"/>
    <mergeCell ref="B1152:C1152"/>
    <mergeCell ref="A1154:G1154"/>
    <mergeCell ref="A1155:B1155"/>
    <mergeCell ref="E1155:G1155"/>
    <mergeCell ref="A1156:B1156"/>
    <mergeCell ref="C1156:E1156"/>
    <mergeCell ref="A1157:G1157"/>
    <mergeCell ref="A1158:G1158"/>
    <mergeCell ref="B1159:C1159"/>
    <mergeCell ref="B1160:C1160"/>
    <mergeCell ref="B1161:C1161"/>
    <mergeCell ref="B1162:C1162"/>
    <mergeCell ref="B1163:C1163"/>
    <mergeCell ref="B1164:C1164"/>
    <mergeCell ref="B1165:C1165"/>
    <mergeCell ref="B1166:C1166"/>
    <mergeCell ref="B1167:C1167"/>
    <mergeCell ref="B1168:C1168"/>
    <mergeCell ref="B1169:C1169"/>
    <mergeCell ref="B1170:C1170"/>
    <mergeCell ref="B1171:C1171"/>
    <mergeCell ref="B1172:C1172"/>
    <mergeCell ref="B1173:C1173"/>
    <mergeCell ref="B1174:C1174"/>
    <mergeCell ref="B1175:C1175"/>
    <mergeCell ref="B1176:C1176"/>
    <mergeCell ref="B1177:C1177"/>
    <mergeCell ref="B1178:C1178"/>
    <mergeCell ref="B1179:C1179"/>
    <mergeCell ref="B1180:C1180"/>
    <mergeCell ref="B1181:C1181"/>
    <mergeCell ref="B1182:C1182"/>
    <mergeCell ref="B1183:C1183"/>
    <mergeCell ref="B1184:C1184"/>
    <mergeCell ref="B1185:C1185"/>
    <mergeCell ref="A1187:G1187"/>
    <mergeCell ref="A1188:B1188"/>
    <mergeCell ref="E1188:G1188"/>
    <mergeCell ref="A1189:B1189"/>
    <mergeCell ref="C1189:E1189"/>
    <mergeCell ref="A1190:G1190"/>
    <mergeCell ref="A1191:G1191"/>
    <mergeCell ref="B1192:C1192"/>
    <mergeCell ref="B1193:C1193"/>
    <mergeCell ref="B1194:C1194"/>
    <mergeCell ref="B1195:C1195"/>
    <mergeCell ref="B1196:C1196"/>
    <mergeCell ref="B1197:C1197"/>
    <mergeCell ref="B1198:C1198"/>
    <mergeCell ref="B1199:C1199"/>
    <mergeCell ref="B1200:C1200"/>
    <mergeCell ref="B1201:C1201"/>
    <mergeCell ref="B1202:C1202"/>
    <mergeCell ref="B1203:C1203"/>
    <mergeCell ref="B1204:C1204"/>
    <mergeCell ref="B1205:C1205"/>
    <mergeCell ref="B1206:C1206"/>
    <mergeCell ref="B1207:C1207"/>
    <mergeCell ref="B1208:C1208"/>
    <mergeCell ref="B1209:C1209"/>
    <mergeCell ref="B1210:C1210"/>
    <mergeCell ref="B1211:C1211"/>
    <mergeCell ref="B1212:C1212"/>
    <mergeCell ref="B1213:C1213"/>
    <mergeCell ref="B1214:C1214"/>
    <mergeCell ref="B1215:C1215"/>
    <mergeCell ref="B1216:C1216"/>
    <mergeCell ref="B1217:C1217"/>
    <mergeCell ref="B1218:C1218"/>
    <mergeCell ref="A1220:G1220"/>
    <mergeCell ref="A1221:B1221"/>
    <mergeCell ref="E1221:G1221"/>
    <mergeCell ref="A1222:B1222"/>
    <mergeCell ref="C1222:E1222"/>
    <mergeCell ref="A1223:G1223"/>
    <mergeCell ref="A1224:G1224"/>
    <mergeCell ref="B1225:C1225"/>
    <mergeCell ref="B1226:C1226"/>
    <mergeCell ref="B1227:C1227"/>
    <mergeCell ref="B1228:C1228"/>
    <mergeCell ref="B1229:C1229"/>
    <mergeCell ref="B1230:C1230"/>
    <mergeCell ref="B1231:C1231"/>
    <mergeCell ref="B1232:C1232"/>
    <mergeCell ref="B1233:C1233"/>
    <mergeCell ref="B1234:C1234"/>
    <mergeCell ref="B1235:C1235"/>
    <mergeCell ref="B1236:C1236"/>
    <mergeCell ref="B1237:C1237"/>
    <mergeCell ref="B1238:C1238"/>
    <mergeCell ref="B1239:C1239"/>
    <mergeCell ref="B1240:C1240"/>
    <mergeCell ref="B1241:C1241"/>
    <mergeCell ref="B1242:C1242"/>
    <mergeCell ref="B1243:C1243"/>
    <mergeCell ref="A1245:G1245"/>
    <mergeCell ref="A1246:B1246"/>
    <mergeCell ref="E1246:G1246"/>
    <mergeCell ref="A1247:B1247"/>
    <mergeCell ref="C1247:E1247"/>
    <mergeCell ref="A1248:G1248"/>
    <mergeCell ref="A1249:G1249"/>
    <mergeCell ref="B1250:C1250"/>
    <mergeCell ref="B1251:C1251"/>
    <mergeCell ref="B1252:C1252"/>
    <mergeCell ref="B1253:C1253"/>
    <mergeCell ref="B1254:C1254"/>
    <mergeCell ref="B1255:C1255"/>
    <mergeCell ref="B1256:C1256"/>
    <mergeCell ref="B1257:C1257"/>
    <mergeCell ref="B1258:C1258"/>
    <mergeCell ref="B1259:C1259"/>
    <mergeCell ref="B1260:C1260"/>
    <mergeCell ref="B1261:C1261"/>
    <mergeCell ref="B1262:C1262"/>
    <mergeCell ref="B1263:C1263"/>
    <mergeCell ref="A1266:G1266"/>
    <mergeCell ref="A1267:B1267"/>
    <mergeCell ref="E1267:G1267"/>
    <mergeCell ref="A1268:B1268"/>
    <mergeCell ref="C1268:E1268"/>
    <mergeCell ref="A1269:G1269"/>
    <mergeCell ref="B1270:C1270"/>
    <mergeCell ref="B1271:C1271"/>
    <mergeCell ref="B1272:C1272"/>
    <mergeCell ref="B1273:C1273"/>
    <mergeCell ref="B1274:C1274"/>
    <mergeCell ref="B1275:C1275"/>
    <mergeCell ref="B1276:C1276"/>
    <mergeCell ref="B1277:C1277"/>
    <mergeCell ref="B1278:C1278"/>
    <mergeCell ref="B1280:C1280"/>
    <mergeCell ref="B1281:C1281"/>
    <mergeCell ref="B1282:C1282"/>
    <mergeCell ref="B1283:C1283"/>
    <mergeCell ref="B1284:C1284"/>
    <mergeCell ref="B1285:C1285"/>
    <mergeCell ref="B1286:C1286"/>
    <mergeCell ref="B1287:C1287"/>
    <mergeCell ref="A1292:G1292"/>
    <mergeCell ref="A1293:B1293"/>
    <mergeCell ref="E1293:G1293"/>
    <mergeCell ref="A1294:B1294"/>
    <mergeCell ref="C1294:E1294"/>
    <mergeCell ref="A1295:G1295"/>
    <mergeCell ref="A1296:G1296"/>
    <mergeCell ref="B1297:C1297"/>
    <mergeCell ref="B1298:C1298"/>
    <mergeCell ref="B1299:C1299"/>
    <mergeCell ref="B1300:C1300"/>
    <mergeCell ref="B1301:C1301"/>
    <mergeCell ref="B1302:C1302"/>
    <mergeCell ref="B1303:C1303"/>
    <mergeCell ref="B1304:C1304"/>
    <mergeCell ref="B1305:C1305"/>
    <mergeCell ref="B1306:C1306"/>
    <mergeCell ref="B1307:C1307"/>
    <mergeCell ref="B1308:C1308"/>
    <mergeCell ref="B1309:C1309"/>
    <mergeCell ref="B1310:C1310"/>
    <mergeCell ref="B1311:C1311"/>
    <mergeCell ref="B1312:C1312"/>
    <mergeCell ref="B1313:C1313"/>
    <mergeCell ref="B1314:C1314"/>
    <mergeCell ref="B1315:C1315"/>
    <mergeCell ref="A1317:G1317"/>
    <mergeCell ref="A1318:B1318"/>
    <mergeCell ref="E1318:G1318"/>
    <mergeCell ref="A1319:B1319"/>
    <mergeCell ref="C1319:E1319"/>
    <mergeCell ref="A1320:G1320"/>
    <mergeCell ref="A1321:G1321"/>
    <mergeCell ref="B1322:C1322"/>
    <mergeCell ref="B1323:C1323"/>
    <mergeCell ref="B1324:C1324"/>
    <mergeCell ref="B1325:C1325"/>
    <mergeCell ref="B1326:C1326"/>
    <mergeCell ref="B1327:C1327"/>
    <mergeCell ref="B1328:C1328"/>
    <mergeCell ref="B1329:C1329"/>
    <mergeCell ref="B1330:C1330"/>
    <mergeCell ref="B1331:C1331"/>
    <mergeCell ref="B1332:C1332"/>
    <mergeCell ref="B1333:C1333"/>
    <mergeCell ref="B1334:C1334"/>
    <mergeCell ref="B1335:C1335"/>
    <mergeCell ref="B1336:C1336"/>
    <mergeCell ref="B1337:C1337"/>
    <mergeCell ref="B1338:C1338"/>
    <mergeCell ref="B1339:C1339"/>
    <mergeCell ref="B1340:C1340"/>
    <mergeCell ref="A1343:G1343"/>
    <mergeCell ref="A1344:B1344"/>
    <mergeCell ref="E1344:G1344"/>
    <mergeCell ref="A1345:B1345"/>
    <mergeCell ref="C1345:E1345"/>
    <mergeCell ref="A1346:G1346"/>
    <mergeCell ref="A1347:G1347"/>
    <mergeCell ref="B1348:C1348"/>
    <mergeCell ref="B1349:C1349"/>
    <mergeCell ref="B1350:C1350"/>
    <mergeCell ref="B1351:C1351"/>
    <mergeCell ref="B1352:C1352"/>
    <mergeCell ref="B1353:C1353"/>
    <mergeCell ref="B1354:C1354"/>
    <mergeCell ref="B1355:C1355"/>
    <mergeCell ref="B1356:C1356"/>
    <mergeCell ref="B1357:C1357"/>
    <mergeCell ref="B1358:C1358"/>
    <mergeCell ref="B1359:C1359"/>
    <mergeCell ref="B1360:C1360"/>
    <mergeCell ref="B1361:C1361"/>
    <mergeCell ref="B1362:C1362"/>
    <mergeCell ref="B1363:C1363"/>
    <mergeCell ref="B1364:C1364"/>
    <mergeCell ref="B1365:C1365"/>
    <mergeCell ref="A1367:G1367"/>
    <mergeCell ref="A1368:B1368"/>
    <mergeCell ref="E1368:G1368"/>
    <mergeCell ref="A1369:B1369"/>
    <mergeCell ref="C1369:E1369"/>
    <mergeCell ref="A1370:G1370"/>
    <mergeCell ref="A1371:G1371"/>
    <mergeCell ref="B1372:C1372"/>
    <mergeCell ref="B1373:C1373"/>
    <mergeCell ref="B1374:C1374"/>
    <mergeCell ref="B1375:C1375"/>
    <mergeCell ref="B1376:C1376"/>
    <mergeCell ref="B1377:C1377"/>
    <mergeCell ref="B1378:C1378"/>
    <mergeCell ref="B1379:C1379"/>
    <mergeCell ref="B1380:C1380"/>
    <mergeCell ref="B1381:C1381"/>
    <mergeCell ref="B1382:C1382"/>
    <mergeCell ref="B1383:C1383"/>
    <mergeCell ref="B1384:C1384"/>
    <mergeCell ref="B1385:C1385"/>
    <mergeCell ref="B1386:C1386"/>
    <mergeCell ref="B1387:C1387"/>
    <mergeCell ref="B1388:C1388"/>
    <mergeCell ref="B1389:C1389"/>
    <mergeCell ref="B1390:C1390"/>
    <mergeCell ref="B1391:C1391"/>
    <mergeCell ref="A1393:G1393"/>
    <mergeCell ref="A1394:B1394"/>
    <mergeCell ref="E1394:G1394"/>
    <mergeCell ref="A1395:B1395"/>
    <mergeCell ref="C1395:E1395"/>
    <mergeCell ref="A1396:G1396"/>
    <mergeCell ref="A1397:G1397"/>
    <mergeCell ref="B1398:C1398"/>
    <mergeCell ref="B1399:C1399"/>
    <mergeCell ref="B1400:C1400"/>
    <mergeCell ref="B1401:C1401"/>
    <mergeCell ref="B1402:C1402"/>
    <mergeCell ref="B1403:C1403"/>
    <mergeCell ref="B1404:C1404"/>
    <mergeCell ref="B1405:C1405"/>
    <mergeCell ref="B1406:C1406"/>
    <mergeCell ref="B1407:C1407"/>
    <mergeCell ref="B1408:C1408"/>
    <mergeCell ref="B1409:C1409"/>
    <mergeCell ref="B1410:C1410"/>
    <mergeCell ref="B1411:C1411"/>
    <mergeCell ref="B1412:C1412"/>
    <mergeCell ref="B1413:C1413"/>
    <mergeCell ref="B1414:C1414"/>
    <mergeCell ref="B1415:C1415"/>
    <mergeCell ref="B1416:C1416"/>
    <mergeCell ref="B1417:C1417"/>
    <mergeCell ref="B1418:C1418"/>
    <mergeCell ref="B1419:C1419"/>
    <mergeCell ref="B1420:C1420"/>
    <mergeCell ref="B1421:C1421"/>
    <mergeCell ref="B1422:C1422"/>
    <mergeCell ref="B1423:C1423"/>
    <mergeCell ref="B1424:C1424"/>
    <mergeCell ref="B1425:C1425"/>
    <mergeCell ref="A1427:G1427"/>
    <mergeCell ref="A1428:B1428"/>
    <mergeCell ref="E1428:G1428"/>
    <mergeCell ref="A1429:B1429"/>
    <mergeCell ref="C1429:E1429"/>
    <mergeCell ref="A1430:G1430"/>
    <mergeCell ref="A1431:G1431"/>
    <mergeCell ref="B1432:C1432"/>
    <mergeCell ref="B1433:C1433"/>
    <mergeCell ref="B1434:C1434"/>
    <mergeCell ref="B1435:C1435"/>
    <mergeCell ref="B1436:C1436"/>
    <mergeCell ref="B1437:C1437"/>
    <mergeCell ref="B1438:C1438"/>
    <mergeCell ref="B1439:C1439"/>
    <mergeCell ref="B1440:C1440"/>
    <mergeCell ref="B1441:C1441"/>
    <mergeCell ref="B1442:C1442"/>
    <mergeCell ref="B1443:C1443"/>
    <mergeCell ref="B1444:C1444"/>
    <mergeCell ref="B1445:C1445"/>
    <mergeCell ref="B1446:C1446"/>
    <mergeCell ref="B1447:C1447"/>
    <mergeCell ref="B1448:C1448"/>
    <mergeCell ref="B1449:C1449"/>
    <mergeCell ref="B1450:C1450"/>
    <mergeCell ref="B1451:C1451"/>
    <mergeCell ref="B1452:C1452"/>
    <mergeCell ref="B1453:C1453"/>
    <mergeCell ref="B1454:C1454"/>
    <mergeCell ref="B1455:C1455"/>
    <mergeCell ref="B1456:C1456"/>
    <mergeCell ref="B1457:C1457"/>
    <mergeCell ref="B1458:C1458"/>
    <mergeCell ref="B1459:C1459"/>
    <mergeCell ref="A1462:G1462"/>
    <mergeCell ref="A1463:B1463"/>
    <mergeCell ref="E1463:G1463"/>
    <mergeCell ref="A1464:B1464"/>
    <mergeCell ref="C1464:E1464"/>
    <mergeCell ref="A1465:G1465"/>
    <mergeCell ref="A1466:G1466"/>
    <mergeCell ref="B1467:C1467"/>
    <mergeCell ref="B1468:C1468"/>
    <mergeCell ref="B1469:C1469"/>
    <mergeCell ref="B1470:C1470"/>
    <mergeCell ref="B1471:C1471"/>
    <mergeCell ref="B1472:C1472"/>
    <mergeCell ref="B1473:C1473"/>
    <mergeCell ref="B1474:C1474"/>
    <mergeCell ref="B1475:C1475"/>
    <mergeCell ref="B1476:C1476"/>
    <mergeCell ref="B1477:C1477"/>
    <mergeCell ref="B1478:C1478"/>
    <mergeCell ref="B1479:C1479"/>
    <mergeCell ref="B1480:C1480"/>
    <mergeCell ref="B1481:C1481"/>
    <mergeCell ref="B1482:C1482"/>
    <mergeCell ref="B1483:C1483"/>
    <mergeCell ref="B1484:C1484"/>
    <mergeCell ref="B1485:C1485"/>
    <mergeCell ref="B1486:C1486"/>
    <mergeCell ref="B1487:C1487"/>
    <mergeCell ref="B1488:C1488"/>
    <mergeCell ref="B1489:C1489"/>
    <mergeCell ref="B1490:C1490"/>
    <mergeCell ref="B1491:C1491"/>
    <mergeCell ref="B1492:C1492"/>
    <mergeCell ref="B1493:C1493"/>
    <mergeCell ref="B1494:C1494"/>
    <mergeCell ref="B1495:C1495"/>
    <mergeCell ref="B1496:C1496"/>
    <mergeCell ref="B1497:C1497"/>
    <mergeCell ref="B1498:C1498"/>
    <mergeCell ref="B1499:C1499"/>
    <mergeCell ref="A1501:G1501"/>
    <mergeCell ref="A1502:B1502"/>
    <mergeCell ref="E1502:G1502"/>
    <mergeCell ref="A1503:B1503"/>
    <mergeCell ref="C1503:E1503"/>
    <mergeCell ref="A1504:G1504"/>
    <mergeCell ref="A1505:G1505"/>
    <mergeCell ref="B1506:C1506"/>
    <mergeCell ref="B1507:C1507"/>
    <mergeCell ref="B1508:C1508"/>
    <mergeCell ref="B1509:C1509"/>
    <mergeCell ref="B1510:C1510"/>
    <mergeCell ref="B1511:C1511"/>
    <mergeCell ref="B1512:C1512"/>
    <mergeCell ref="B1513:C1513"/>
    <mergeCell ref="B1514:C1514"/>
    <mergeCell ref="B1515:C1515"/>
    <mergeCell ref="B1516:C1516"/>
    <mergeCell ref="B1517:C1517"/>
    <mergeCell ref="B1518:C1518"/>
    <mergeCell ref="B1519:C1519"/>
    <mergeCell ref="B1520:C1520"/>
    <mergeCell ref="B1521:C1521"/>
    <mergeCell ref="B1522:C1522"/>
    <mergeCell ref="B1523:C1523"/>
    <mergeCell ref="B1524:C1524"/>
    <mergeCell ref="B1525:C1525"/>
    <mergeCell ref="B1526:C1526"/>
    <mergeCell ref="B1527:C1527"/>
    <mergeCell ref="B1528:C1528"/>
    <mergeCell ref="B1529:C1529"/>
    <mergeCell ref="B1530:C1530"/>
    <mergeCell ref="B1531:C1531"/>
    <mergeCell ref="B1532:C1532"/>
    <mergeCell ref="B1533:C1533"/>
    <mergeCell ref="B1534:C1534"/>
    <mergeCell ref="B1535:C1535"/>
    <mergeCell ref="B1536:C1536"/>
    <mergeCell ref="B1537:C1537"/>
    <mergeCell ref="B1538:C1538"/>
    <mergeCell ref="A1541:G1541"/>
    <mergeCell ref="A1542:B1542"/>
    <mergeCell ref="E1542:G1542"/>
    <mergeCell ref="A1543:B1543"/>
    <mergeCell ref="C1543:E1543"/>
    <mergeCell ref="A1544:G1544"/>
    <mergeCell ref="A1545:G1545"/>
    <mergeCell ref="B1546:C1546"/>
    <mergeCell ref="B1547:C1547"/>
    <mergeCell ref="B1548:C1548"/>
    <mergeCell ref="B1549:C1549"/>
    <mergeCell ref="B1550:C1550"/>
    <mergeCell ref="B1551:C1551"/>
    <mergeCell ref="B1552:C1552"/>
    <mergeCell ref="B1553:C1553"/>
    <mergeCell ref="B1554:C1554"/>
    <mergeCell ref="B1555:C1555"/>
    <mergeCell ref="B1556:C1556"/>
    <mergeCell ref="B1557:C1557"/>
    <mergeCell ref="B1558:C1558"/>
    <mergeCell ref="B1559:C1559"/>
    <mergeCell ref="B1560:C1560"/>
    <mergeCell ref="B1561:C1561"/>
    <mergeCell ref="B1562:C1562"/>
    <mergeCell ref="B1563:C1563"/>
    <mergeCell ref="B1564:C1564"/>
    <mergeCell ref="B1565:C1565"/>
    <mergeCell ref="B1566:C1566"/>
    <mergeCell ref="B1567:C1567"/>
    <mergeCell ref="B1568:C1568"/>
    <mergeCell ref="B1569:C1569"/>
    <mergeCell ref="B1570:C1570"/>
    <mergeCell ref="B1571:C1571"/>
    <mergeCell ref="B1572:C1572"/>
    <mergeCell ref="B1573:C1573"/>
    <mergeCell ref="A1575:G1575"/>
    <mergeCell ref="A1576:B1576"/>
    <mergeCell ref="E1576:G1576"/>
    <mergeCell ref="A1577:B1577"/>
    <mergeCell ref="C1577:E1577"/>
    <mergeCell ref="A1578:G1578"/>
    <mergeCell ref="A1579:G1579"/>
    <mergeCell ref="B1580:C1580"/>
    <mergeCell ref="B1581:C1581"/>
    <mergeCell ref="B1582:C1582"/>
    <mergeCell ref="B1583:C1583"/>
    <mergeCell ref="B1584:C1584"/>
    <mergeCell ref="B1585:C1585"/>
    <mergeCell ref="B1586:C1586"/>
    <mergeCell ref="B1587:C1587"/>
    <mergeCell ref="B1588:C1588"/>
    <mergeCell ref="B1589:C1589"/>
    <mergeCell ref="B1590:C1590"/>
    <mergeCell ref="B1591:C1591"/>
    <mergeCell ref="B1592:C1592"/>
    <mergeCell ref="B1593:C1593"/>
    <mergeCell ref="B1594:C1594"/>
    <mergeCell ref="B1595:C1595"/>
    <mergeCell ref="B1596:C1596"/>
    <mergeCell ref="B1597:C1597"/>
    <mergeCell ref="B1598:C1598"/>
    <mergeCell ref="B1599:C1599"/>
    <mergeCell ref="B1600:C1600"/>
    <mergeCell ref="B1601:C1601"/>
    <mergeCell ref="B1602:C1602"/>
    <mergeCell ref="B1603:C1603"/>
    <mergeCell ref="A1605:G1605"/>
    <mergeCell ref="A1606:B1606"/>
    <mergeCell ref="E1606:G1606"/>
    <mergeCell ref="A1607:B1607"/>
    <mergeCell ref="C1607:E1607"/>
    <mergeCell ref="A1608:G1608"/>
    <mergeCell ref="A1609:G1609"/>
    <mergeCell ref="B1610:C1610"/>
    <mergeCell ref="B1611:C1611"/>
    <mergeCell ref="B1612:C1612"/>
    <mergeCell ref="B1613:C1613"/>
    <mergeCell ref="B1614:C1614"/>
    <mergeCell ref="B1615:C1615"/>
    <mergeCell ref="B1616:C1616"/>
    <mergeCell ref="B1617:C1617"/>
    <mergeCell ref="B1618:C1618"/>
    <mergeCell ref="B1619:C1619"/>
    <mergeCell ref="B1620:C1620"/>
    <mergeCell ref="B1621:C1621"/>
    <mergeCell ref="B1622:C1622"/>
    <mergeCell ref="B1623:C1623"/>
    <mergeCell ref="B1624:C1624"/>
    <mergeCell ref="B1625:C1625"/>
    <mergeCell ref="B1626:C1626"/>
    <mergeCell ref="B1627:C1627"/>
    <mergeCell ref="B1628:C1628"/>
    <mergeCell ref="B1629:C1629"/>
    <mergeCell ref="B1630:C1630"/>
    <mergeCell ref="A1632:G1632"/>
    <mergeCell ref="A1633:B1633"/>
    <mergeCell ref="E1633:G1633"/>
    <mergeCell ref="A1634:B1634"/>
    <mergeCell ref="C1634:E1634"/>
    <mergeCell ref="A1635:G1635"/>
    <mergeCell ref="A1636:G1636"/>
    <mergeCell ref="B1637:C1637"/>
    <mergeCell ref="B1638:C1638"/>
    <mergeCell ref="B1639:C1639"/>
    <mergeCell ref="B1640:C1640"/>
    <mergeCell ref="B1641:C1641"/>
    <mergeCell ref="B1642:C1642"/>
    <mergeCell ref="B1643:C1643"/>
    <mergeCell ref="B1644:C1644"/>
    <mergeCell ref="B1646:C1646"/>
    <mergeCell ref="B1647:C1647"/>
    <mergeCell ref="B1648:C1648"/>
    <mergeCell ref="B1649:C1649"/>
    <mergeCell ref="B1650:C1650"/>
    <mergeCell ref="B1651:C1651"/>
    <mergeCell ref="B1652:C1652"/>
    <mergeCell ref="B1653:C1653"/>
    <mergeCell ref="B1654:C1654"/>
    <mergeCell ref="B1655:C1655"/>
    <mergeCell ref="B1656:C1656"/>
    <mergeCell ref="B1657:C1657"/>
    <mergeCell ref="B1658:C1658"/>
    <mergeCell ref="B1659:C1659"/>
    <mergeCell ref="B1660:C1660"/>
    <mergeCell ref="B1661:C1661"/>
    <mergeCell ref="B1662:C1662"/>
    <mergeCell ref="B1663:C1663"/>
    <mergeCell ref="B1664:C1664"/>
    <mergeCell ref="B1665:C1665"/>
    <mergeCell ref="A1824:G1824"/>
    <mergeCell ref="A1825:B1825"/>
    <mergeCell ref="E1825:G1825"/>
    <mergeCell ref="A1826:B1826"/>
    <mergeCell ref="C1826:E1826"/>
    <mergeCell ref="A1827:G1827"/>
    <mergeCell ref="A1828:G1828"/>
    <mergeCell ref="B1829:C1829"/>
    <mergeCell ref="B1830:C1830"/>
    <mergeCell ref="B1831:C1831"/>
    <mergeCell ref="B1832:C1832"/>
    <mergeCell ref="B1833:C1833"/>
    <mergeCell ref="B1834:C1834"/>
    <mergeCell ref="B1835:C1835"/>
    <mergeCell ref="B1836:C1836"/>
    <mergeCell ref="B1837:C1837"/>
    <mergeCell ref="B1838:C1838"/>
    <mergeCell ref="B1839:C1839"/>
    <mergeCell ref="B1840:C1840"/>
    <mergeCell ref="B1841:C1841"/>
    <mergeCell ref="B1842:C1842"/>
    <mergeCell ref="B1843:C1843"/>
    <mergeCell ref="A1845:G1845"/>
    <mergeCell ref="A1846:B1846"/>
    <mergeCell ref="E1846:G1846"/>
    <mergeCell ref="A1847:B1847"/>
    <mergeCell ref="C1847:E1847"/>
    <mergeCell ref="A1848:G1848"/>
    <mergeCell ref="A1849:G1849"/>
    <mergeCell ref="B1850:C1850"/>
    <mergeCell ref="B1851:C1851"/>
    <mergeCell ref="B1852:C1852"/>
    <mergeCell ref="B1853:C1853"/>
    <mergeCell ref="B1854:C1854"/>
    <mergeCell ref="B1855:C1855"/>
    <mergeCell ref="B1856:C1856"/>
    <mergeCell ref="B1857:C1857"/>
    <mergeCell ref="B1858:C1858"/>
    <mergeCell ref="B1859:C1859"/>
    <mergeCell ref="B1860:C1860"/>
    <mergeCell ref="B1861:C1861"/>
    <mergeCell ref="B1862:C1862"/>
    <mergeCell ref="B1863:C1863"/>
    <mergeCell ref="B1864:C1864"/>
    <mergeCell ref="B1865:C1865"/>
    <mergeCell ref="B1866:C1866"/>
    <mergeCell ref="B1867:C1867"/>
    <mergeCell ref="A1872:G1872"/>
    <mergeCell ref="A1873:B1873"/>
    <mergeCell ref="E1873:G1873"/>
    <mergeCell ref="A1874:B1874"/>
    <mergeCell ref="C1874:E1874"/>
    <mergeCell ref="A1875:G1875"/>
    <mergeCell ref="A1876:G1876"/>
    <mergeCell ref="B1877:C1877"/>
    <mergeCell ref="B1878:C1878"/>
    <mergeCell ref="B1879:C1879"/>
    <mergeCell ref="B1880:C1880"/>
    <mergeCell ref="B1881:C1881"/>
    <mergeCell ref="B1882:C1882"/>
    <mergeCell ref="B1883:C1883"/>
    <mergeCell ref="B1884:C1884"/>
    <mergeCell ref="B1885:C1885"/>
    <mergeCell ref="B1886:C1886"/>
    <mergeCell ref="B1887:C1887"/>
    <mergeCell ref="B1888:C1888"/>
    <mergeCell ref="A1890:G1890"/>
    <mergeCell ref="A1891:B1891"/>
    <mergeCell ref="E1891:G1891"/>
    <mergeCell ref="A1892:B1892"/>
    <mergeCell ref="C1892:E1892"/>
    <mergeCell ref="A1893:G1893"/>
    <mergeCell ref="A1894:G1894"/>
    <mergeCell ref="B1895:C1895"/>
    <mergeCell ref="B1896:C1896"/>
    <mergeCell ref="B1897:C1897"/>
    <mergeCell ref="B1898:C1898"/>
    <mergeCell ref="B1899:C1899"/>
    <mergeCell ref="B1900:C1900"/>
    <mergeCell ref="B1901:C1901"/>
    <mergeCell ref="B1902:C1902"/>
    <mergeCell ref="B1903:C1903"/>
    <mergeCell ref="B1904:C1904"/>
    <mergeCell ref="B1905:C1905"/>
    <mergeCell ref="B1906:C1906"/>
    <mergeCell ref="A1909:G1909"/>
    <mergeCell ref="A1910:B1910"/>
    <mergeCell ref="E1910:G1910"/>
    <mergeCell ref="A1911:B1911"/>
    <mergeCell ref="C1911:E1911"/>
    <mergeCell ref="A1912:G1912"/>
    <mergeCell ref="A1913:G1913"/>
    <mergeCell ref="B1914:C1914"/>
    <mergeCell ref="B1915:C1915"/>
    <mergeCell ref="B1916:C1916"/>
    <mergeCell ref="B1917:C1917"/>
    <mergeCell ref="B1918:C1918"/>
    <mergeCell ref="B1919:C1919"/>
    <mergeCell ref="B1920:C1920"/>
    <mergeCell ref="B1921:C1921"/>
    <mergeCell ref="B1922:C1922"/>
    <mergeCell ref="B1923:C1923"/>
    <mergeCell ref="B1924:C1924"/>
    <mergeCell ref="B1925:C1925"/>
  </mergeCells>
  <printOptions horizontalCentered="1"/>
  <pageMargins left="0.979861111111111" right="0.789583333333333" top="0.839583333333333" bottom="0.85" header="0.509722222222222" footer="0.509722222222222"/>
  <pageSetup paperSize="9" orientation="portrait"/>
  <headerFooter alignWithMargins="0" scaleWithDoc="0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0"/>
  <sheetViews>
    <sheetView workbookViewId="0">
      <selection activeCell="D86" sqref="D86"/>
    </sheetView>
  </sheetViews>
  <sheetFormatPr defaultColWidth="9" defaultRowHeight="14.25"/>
  <cols>
    <col min="1" max="1" width="6.375" style="31" customWidth="1"/>
    <col min="2" max="2" width="23.875" style="31" customWidth="1"/>
    <col min="3" max="3" width="9" style="31"/>
    <col min="4" max="4" width="9.375" style="31" customWidth="1"/>
    <col min="5" max="5" width="11.375" style="31" customWidth="1"/>
    <col min="6" max="6" width="10.75" style="32" customWidth="1"/>
    <col min="7" max="16384" width="9" style="32"/>
  </cols>
  <sheetData>
    <row r="1" ht="20.1" customHeight="1" spans="1:9">
      <c r="A1" s="33" t="s">
        <v>1620</v>
      </c>
      <c r="B1" s="33"/>
      <c r="C1" s="33"/>
      <c r="D1" s="33"/>
      <c r="E1" s="33"/>
      <c r="F1" s="34"/>
      <c r="G1" s="34"/>
      <c r="H1" s="35"/>
      <c r="I1" s="34"/>
    </row>
    <row r="2" ht="20.1" customHeight="1" spans="1:9">
      <c r="A2" s="36" t="s">
        <v>34</v>
      </c>
      <c r="B2" s="37" t="s">
        <v>653</v>
      </c>
      <c r="C2" s="37" t="s">
        <v>60</v>
      </c>
      <c r="D2" s="38" t="s">
        <v>1621</v>
      </c>
      <c r="E2" s="37" t="s">
        <v>34</v>
      </c>
      <c r="F2" s="37" t="s">
        <v>653</v>
      </c>
      <c r="G2" s="37" t="s">
        <v>60</v>
      </c>
      <c r="H2" s="39" t="s">
        <v>1621</v>
      </c>
      <c r="I2" s="34"/>
    </row>
    <row r="3" ht="20.1" customHeight="1" spans="1:9">
      <c r="A3" s="40">
        <v>1</v>
      </c>
      <c r="B3" s="41" t="s">
        <v>913</v>
      </c>
      <c r="C3" s="42" t="s">
        <v>695</v>
      </c>
      <c r="D3" s="43">
        <v>4.04</v>
      </c>
      <c r="E3" s="44">
        <v>1</v>
      </c>
      <c r="F3" s="45" t="s">
        <v>1555</v>
      </c>
      <c r="G3" s="42" t="s">
        <v>695</v>
      </c>
      <c r="H3" s="46">
        <v>17</v>
      </c>
      <c r="I3" s="34"/>
    </row>
    <row r="4" ht="20.1" customHeight="1" spans="1:9">
      <c r="A4" s="40">
        <v>2</v>
      </c>
      <c r="B4" s="47" t="s">
        <v>1021</v>
      </c>
      <c r="C4" s="44" t="s">
        <v>695</v>
      </c>
      <c r="D4" s="48">
        <v>7.03</v>
      </c>
      <c r="E4" s="44">
        <v>2</v>
      </c>
      <c r="F4" s="45" t="s">
        <v>1556</v>
      </c>
      <c r="G4" s="44" t="s">
        <v>695</v>
      </c>
      <c r="H4" s="46">
        <v>13.86</v>
      </c>
      <c r="I4" s="34"/>
    </row>
    <row r="5" ht="20.1" customHeight="1" spans="1:9">
      <c r="A5" s="40">
        <v>3</v>
      </c>
      <c r="B5" s="47" t="s">
        <v>990</v>
      </c>
      <c r="C5" s="44" t="s">
        <v>695</v>
      </c>
      <c r="D5" s="48">
        <v>4.5</v>
      </c>
      <c r="E5" s="44">
        <v>3</v>
      </c>
      <c r="F5" s="45" t="s">
        <v>1557</v>
      </c>
      <c r="G5" s="44" t="s">
        <v>695</v>
      </c>
      <c r="H5" s="49">
        <v>4.61</v>
      </c>
      <c r="I5" s="34"/>
    </row>
    <row r="6" ht="20.1" customHeight="1" spans="1:9">
      <c r="A6" s="40">
        <v>4</v>
      </c>
      <c r="B6" s="47" t="s">
        <v>978</v>
      </c>
      <c r="C6" s="44" t="s">
        <v>695</v>
      </c>
      <c r="D6" s="48">
        <v>7.99</v>
      </c>
      <c r="E6" s="44">
        <v>4</v>
      </c>
      <c r="F6" s="45" t="s">
        <v>696</v>
      </c>
      <c r="G6" s="44" t="s">
        <v>695</v>
      </c>
      <c r="H6" s="50">
        <f>主要材料预算!L14</f>
        <v>10.8827586206897</v>
      </c>
      <c r="I6" s="34"/>
    </row>
    <row r="7" ht="20.1" customHeight="1" spans="1:9">
      <c r="A7" s="40">
        <v>5</v>
      </c>
      <c r="B7" s="47" t="s">
        <v>889</v>
      </c>
      <c r="C7" s="44" t="s">
        <v>695</v>
      </c>
      <c r="D7" s="48">
        <v>6.39</v>
      </c>
      <c r="E7" s="44">
        <v>5</v>
      </c>
      <c r="F7" s="45" t="s">
        <v>694</v>
      </c>
      <c r="G7" s="44" t="s">
        <v>695</v>
      </c>
      <c r="H7" s="50">
        <f>主要材料预算!L13</f>
        <v>9.0516206482593</v>
      </c>
      <c r="I7" s="34"/>
    </row>
    <row r="8" spans="1:9">
      <c r="A8" s="40">
        <v>6</v>
      </c>
      <c r="B8" s="47" t="s">
        <v>1622</v>
      </c>
      <c r="C8" s="44" t="s">
        <v>695</v>
      </c>
      <c r="D8" s="48">
        <v>5.15</v>
      </c>
      <c r="E8" s="44">
        <v>6</v>
      </c>
      <c r="F8" s="45" t="s">
        <v>1558</v>
      </c>
      <c r="G8" s="44" t="s">
        <v>695</v>
      </c>
      <c r="H8" s="46">
        <v>5.2</v>
      </c>
      <c r="I8" s="34"/>
    </row>
    <row r="9" spans="1:9">
      <c r="A9" s="40">
        <v>7</v>
      </c>
      <c r="B9" s="47" t="s">
        <v>885</v>
      </c>
      <c r="C9" s="44" t="s">
        <v>695</v>
      </c>
      <c r="D9" s="48">
        <v>4.44</v>
      </c>
      <c r="E9" s="44">
        <v>7</v>
      </c>
      <c r="F9" s="45" t="s">
        <v>1559</v>
      </c>
      <c r="G9" s="44" t="s">
        <v>366</v>
      </c>
      <c r="H9" s="49">
        <v>10</v>
      </c>
      <c r="I9" s="34"/>
    </row>
    <row r="10" spans="1:9">
      <c r="A10" s="40">
        <v>8</v>
      </c>
      <c r="B10" s="47" t="s">
        <v>1458</v>
      </c>
      <c r="C10" s="44" t="s">
        <v>695</v>
      </c>
      <c r="D10" s="51">
        <v>4.44</v>
      </c>
      <c r="E10" s="44">
        <v>8</v>
      </c>
      <c r="F10" s="45" t="s">
        <v>1560</v>
      </c>
      <c r="G10" s="44" t="s">
        <v>695</v>
      </c>
      <c r="H10" s="46">
        <v>6.1</v>
      </c>
      <c r="I10" s="34"/>
    </row>
    <row r="11" spans="1:9">
      <c r="A11" s="40">
        <v>9</v>
      </c>
      <c r="B11" s="52" t="s">
        <v>1438</v>
      </c>
      <c r="C11" s="44" t="s">
        <v>695</v>
      </c>
      <c r="D11" s="53">
        <v>4.9</v>
      </c>
      <c r="E11" s="44">
        <v>9</v>
      </c>
      <c r="F11" s="45" t="s">
        <v>1581</v>
      </c>
      <c r="G11" s="44" t="s">
        <v>695</v>
      </c>
      <c r="H11" s="46">
        <v>45</v>
      </c>
      <c r="I11" s="34"/>
    </row>
    <row r="12" spans="1:9">
      <c r="A12" s="40">
        <v>10</v>
      </c>
      <c r="B12" s="52" t="s">
        <v>1446</v>
      </c>
      <c r="C12" s="54" t="s">
        <v>695</v>
      </c>
      <c r="D12" s="55">
        <v>4.8</v>
      </c>
      <c r="E12" s="44">
        <v>10</v>
      </c>
      <c r="F12" s="45" t="s">
        <v>1588</v>
      </c>
      <c r="G12" s="44" t="s">
        <v>695</v>
      </c>
      <c r="H12" s="46">
        <v>17</v>
      </c>
      <c r="I12" s="34"/>
    </row>
    <row r="13" spans="1:9">
      <c r="A13" s="40">
        <v>11</v>
      </c>
      <c r="B13" s="52" t="s">
        <v>1447</v>
      </c>
      <c r="C13" s="54" t="s">
        <v>1396</v>
      </c>
      <c r="D13" s="55">
        <v>12</v>
      </c>
      <c r="E13" s="44">
        <v>11</v>
      </c>
      <c r="F13" s="45" t="s">
        <v>1549</v>
      </c>
      <c r="G13" s="44" t="s">
        <v>695</v>
      </c>
      <c r="H13" s="56">
        <v>9.5</v>
      </c>
      <c r="I13" s="34"/>
    </row>
    <row r="14" spans="1:9">
      <c r="A14" s="40">
        <v>12</v>
      </c>
      <c r="B14" s="52" t="s">
        <v>1448</v>
      </c>
      <c r="C14" s="54" t="s">
        <v>695</v>
      </c>
      <c r="D14" s="55">
        <v>5.5</v>
      </c>
      <c r="E14" s="44">
        <v>12</v>
      </c>
      <c r="F14" s="45" t="s">
        <v>1550</v>
      </c>
      <c r="G14" s="44" t="s">
        <v>67</v>
      </c>
      <c r="H14" s="56">
        <v>50</v>
      </c>
      <c r="I14" s="34"/>
    </row>
    <row r="15" spans="1:9">
      <c r="A15" s="40">
        <v>13</v>
      </c>
      <c r="B15" s="52" t="s">
        <v>1449</v>
      </c>
      <c r="C15" s="54" t="s">
        <v>695</v>
      </c>
      <c r="D15" s="55">
        <v>3.7</v>
      </c>
      <c r="E15" s="44">
        <v>13</v>
      </c>
      <c r="F15" s="57" t="s">
        <v>1623</v>
      </c>
      <c r="G15" s="44" t="s">
        <v>67</v>
      </c>
      <c r="H15" s="46">
        <v>45</v>
      </c>
      <c r="I15" s="34"/>
    </row>
    <row r="16" spans="1:9">
      <c r="A16" s="40">
        <v>14</v>
      </c>
      <c r="B16" s="52" t="s">
        <v>1397</v>
      </c>
      <c r="C16" s="54" t="s">
        <v>1398</v>
      </c>
      <c r="D16" s="58">
        <v>15</v>
      </c>
      <c r="E16" s="44">
        <v>14</v>
      </c>
      <c r="F16" s="59"/>
      <c r="G16" s="59"/>
      <c r="H16" s="46"/>
      <c r="I16" s="34"/>
    </row>
    <row r="17" spans="1:15">
      <c r="A17" s="40">
        <v>15</v>
      </c>
      <c r="B17" s="52" t="s">
        <v>1395</v>
      </c>
      <c r="C17" s="44" t="s">
        <v>1396</v>
      </c>
      <c r="D17" s="60">
        <v>3</v>
      </c>
      <c r="E17" s="44">
        <v>15</v>
      </c>
      <c r="F17" s="59"/>
      <c r="G17" s="59"/>
      <c r="H17" s="46"/>
      <c r="I17" s="34"/>
    </row>
    <row r="18" spans="1:15">
      <c r="A18" s="40">
        <v>16</v>
      </c>
      <c r="B18" s="52" t="s">
        <v>1472</v>
      </c>
      <c r="C18" s="61" t="s">
        <v>1142</v>
      </c>
      <c r="D18" s="58">
        <v>31</v>
      </c>
      <c r="E18" s="44">
        <v>16</v>
      </c>
      <c r="F18" s="59"/>
      <c r="G18" s="59"/>
      <c r="H18" s="46"/>
      <c r="I18" s="34"/>
    </row>
    <row r="19" spans="1:15">
      <c r="A19" s="40">
        <v>17</v>
      </c>
      <c r="B19" s="52" t="s">
        <v>1473</v>
      </c>
      <c r="C19" s="61" t="s">
        <v>1142</v>
      </c>
      <c r="D19" s="61">
        <v>8.5</v>
      </c>
      <c r="E19" s="44">
        <v>17</v>
      </c>
      <c r="F19" s="59"/>
      <c r="G19" s="59"/>
      <c r="H19" s="46"/>
      <c r="I19" s="34"/>
    </row>
    <row r="20" spans="1:15">
      <c r="A20" s="40">
        <v>18</v>
      </c>
      <c r="B20" s="52" t="s">
        <v>1474</v>
      </c>
      <c r="C20" s="61" t="s">
        <v>1142</v>
      </c>
      <c r="D20" s="61">
        <v>23.87</v>
      </c>
      <c r="E20" s="44">
        <v>18</v>
      </c>
      <c r="F20" s="59"/>
      <c r="G20" s="59"/>
      <c r="H20" s="46"/>
      <c r="I20" s="34"/>
    </row>
    <row r="21" spans="1:15">
      <c r="A21" s="40">
        <v>19</v>
      </c>
      <c r="B21" s="52" t="s">
        <v>1475</v>
      </c>
      <c r="C21" s="61" t="s">
        <v>1142</v>
      </c>
      <c r="D21" s="55">
        <v>15</v>
      </c>
      <c r="E21" s="44">
        <v>19</v>
      </c>
      <c r="F21" s="59"/>
      <c r="G21" s="59"/>
      <c r="H21" s="46"/>
      <c r="I21" s="34"/>
    </row>
    <row r="22" spans="1:15">
      <c r="A22" s="40">
        <v>20</v>
      </c>
      <c r="B22" s="52" t="s">
        <v>1476</v>
      </c>
      <c r="C22" s="61" t="s">
        <v>1142</v>
      </c>
      <c r="D22" s="61">
        <v>10</v>
      </c>
      <c r="E22" s="44">
        <v>20</v>
      </c>
      <c r="F22" s="59"/>
      <c r="G22" s="59"/>
      <c r="H22" s="46"/>
      <c r="I22" s="34"/>
    </row>
    <row r="23" spans="1:15">
      <c r="A23" s="40">
        <v>21</v>
      </c>
      <c r="B23" s="52" t="s">
        <v>1477</v>
      </c>
      <c r="C23" s="61" t="s">
        <v>1142</v>
      </c>
      <c r="D23" s="58">
        <v>8.35</v>
      </c>
      <c r="E23" s="44">
        <v>21</v>
      </c>
      <c r="F23" s="59"/>
      <c r="G23" s="59"/>
      <c r="H23" s="46"/>
      <c r="I23" s="34"/>
    </row>
    <row r="24" spans="1:15">
      <c r="A24" s="40">
        <v>22</v>
      </c>
      <c r="B24" s="52" t="s">
        <v>1478</v>
      </c>
      <c r="C24" s="61" t="s">
        <v>1146</v>
      </c>
      <c r="D24" s="58">
        <v>1.82</v>
      </c>
      <c r="E24" s="44">
        <v>22</v>
      </c>
      <c r="F24" s="59"/>
      <c r="G24" s="59"/>
      <c r="H24" s="46"/>
      <c r="I24" s="34"/>
    </row>
    <row r="25" spans="1:15">
      <c r="A25" s="40">
        <v>23</v>
      </c>
      <c r="B25" s="52" t="s">
        <v>1479</v>
      </c>
      <c r="C25" s="61" t="s">
        <v>1480</v>
      </c>
      <c r="D25" s="58">
        <v>65</v>
      </c>
      <c r="E25" s="44">
        <v>23</v>
      </c>
      <c r="F25" s="59"/>
      <c r="G25" s="59"/>
      <c r="H25" s="46"/>
      <c r="I25" s="34"/>
    </row>
    <row r="26" spans="1:15">
      <c r="A26" s="40">
        <v>24</v>
      </c>
      <c r="B26" s="52" t="s">
        <v>1481</v>
      </c>
      <c r="C26" s="61" t="s">
        <v>1480</v>
      </c>
      <c r="D26" s="62">
        <v>15</v>
      </c>
      <c r="E26" s="44">
        <v>24</v>
      </c>
      <c r="F26" s="59"/>
      <c r="G26" s="59"/>
      <c r="H26" s="46"/>
      <c r="I26" s="34"/>
    </row>
    <row r="27" spans="1:15">
      <c r="A27" s="40">
        <v>25</v>
      </c>
      <c r="B27" s="52" t="s">
        <v>1624</v>
      </c>
      <c r="C27" s="61" t="s">
        <v>1480</v>
      </c>
      <c r="D27" s="60">
        <v>17.01</v>
      </c>
      <c r="E27" s="44">
        <v>25</v>
      </c>
      <c r="F27" s="59"/>
      <c r="G27" s="59"/>
      <c r="H27" s="46"/>
      <c r="I27" s="34"/>
    </row>
    <row r="28" spans="1:15">
      <c r="A28" s="40">
        <v>26</v>
      </c>
      <c r="B28" s="52" t="s">
        <v>1208</v>
      </c>
      <c r="C28" s="61" t="s">
        <v>395</v>
      </c>
      <c r="D28" s="60">
        <v>0.8</v>
      </c>
      <c r="E28" s="44">
        <v>26</v>
      </c>
      <c r="F28" s="59"/>
      <c r="G28" s="59"/>
      <c r="H28" s="63"/>
      <c r="I28" s="34"/>
    </row>
    <row r="29" spans="1:15">
      <c r="A29" s="40">
        <v>27</v>
      </c>
      <c r="B29" s="52" t="s">
        <v>1625</v>
      </c>
      <c r="C29" s="61" t="s">
        <v>204</v>
      </c>
      <c r="D29" s="64">
        <f>14.3*1000</f>
        <v>14300</v>
      </c>
      <c r="E29" s="44">
        <v>27</v>
      </c>
      <c r="F29" s="59"/>
      <c r="G29" s="59">
        <f>14.3*1000</f>
        <v>14300</v>
      </c>
      <c r="H29" s="63"/>
      <c r="I29" s="34"/>
    </row>
    <row r="30" spans="1:15">
      <c r="A30" s="40">
        <v>28</v>
      </c>
      <c r="B30" s="52" t="s">
        <v>1503</v>
      </c>
      <c r="C30" s="61" t="s">
        <v>1142</v>
      </c>
      <c r="D30" s="65">
        <v>0.5</v>
      </c>
      <c r="E30" s="44">
        <v>28</v>
      </c>
      <c r="F30" s="59"/>
      <c r="G30" s="59"/>
      <c r="H30" s="63"/>
      <c r="I30" s="34"/>
      <c r="L30" s="32">
        <f>350/1000</f>
        <v>0.35</v>
      </c>
    </row>
    <row r="31" spans="1:15">
      <c r="A31" s="40">
        <v>29</v>
      </c>
      <c r="B31" s="52" t="s">
        <v>1510</v>
      </c>
      <c r="C31" s="61" t="s">
        <v>1142</v>
      </c>
      <c r="D31" s="65">
        <v>1.5</v>
      </c>
      <c r="E31" s="44">
        <v>29</v>
      </c>
      <c r="F31" s="59"/>
      <c r="G31" s="59"/>
      <c r="H31" s="63"/>
      <c r="I31" s="34"/>
    </row>
    <row r="32" spans="1:15">
      <c r="A32" s="40">
        <v>30</v>
      </c>
      <c r="B32" s="52" t="s">
        <v>1514</v>
      </c>
      <c r="C32" s="61" t="s">
        <v>1142</v>
      </c>
      <c r="D32" s="48">
        <v>3.5</v>
      </c>
      <c r="E32" s="44">
        <v>30</v>
      </c>
      <c r="F32" s="59"/>
      <c r="G32" s="59"/>
      <c r="H32" s="63"/>
      <c r="I32" s="34"/>
      <c r="N32" s="66" t="s">
        <v>1540</v>
      </c>
      <c r="O32" s="67"/>
    </row>
    <row r="33" spans="1:15">
      <c r="A33" s="40">
        <v>31</v>
      </c>
      <c r="B33" s="52" t="s">
        <v>1504</v>
      </c>
      <c r="C33" s="61" t="s">
        <v>204</v>
      </c>
      <c r="D33" s="48">
        <v>3.2</v>
      </c>
      <c r="E33" s="44">
        <v>31</v>
      </c>
      <c r="F33" s="59"/>
      <c r="G33" s="59"/>
      <c r="H33" s="63"/>
      <c r="I33" s="34"/>
      <c r="N33" s="66" t="s">
        <v>1537</v>
      </c>
      <c r="O33" s="67"/>
    </row>
    <row r="34" spans="1:15">
      <c r="A34" s="40">
        <v>32</v>
      </c>
      <c r="B34" s="52" t="s">
        <v>1540</v>
      </c>
      <c r="C34" s="61" t="s">
        <v>1146</v>
      </c>
      <c r="D34" s="48">
        <v>104.27</v>
      </c>
      <c r="E34" s="44"/>
      <c r="F34" s="59"/>
      <c r="G34" s="59"/>
      <c r="H34" s="63"/>
      <c r="I34" s="34"/>
      <c r="N34" s="66"/>
      <c r="O34" s="67"/>
    </row>
    <row r="35" spans="1:15">
      <c r="A35" s="40"/>
      <c r="B35" s="52" t="s">
        <v>1626</v>
      </c>
      <c r="C35" s="61" t="s">
        <v>1146</v>
      </c>
      <c r="D35" s="48">
        <v>20.51</v>
      </c>
      <c r="E35" s="44"/>
      <c r="F35" s="59"/>
      <c r="G35" s="59"/>
      <c r="H35" s="63"/>
      <c r="I35" s="34"/>
      <c r="N35" s="66"/>
      <c r="O35" s="67"/>
    </row>
    <row r="36" spans="1:15">
      <c r="A36" s="40">
        <v>33</v>
      </c>
      <c r="B36" s="52" t="s">
        <v>1537</v>
      </c>
      <c r="C36" s="61" t="s">
        <v>1480</v>
      </c>
      <c r="D36" s="48">
        <v>20</v>
      </c>
      <c r="E36" s="44"/>
      <c r="F36" s="59"/>
      <c r="G36" s="59"/>
      <c r="H36" s="63"/>
      <c r="I36" s="34"/>
      <c r="N36" s="66"/>
      <c r="O36" s="67"/>
    </row>
    <row r="37" spans="1:15">
      <c r="A37" s="40">
        <v>34</v>
      </c>
      <c r="B37" s="52" t="s">
        <v>1538</v>
      </c>
      <c r="C37" s="61" t="s">
        <v>1480</v>
      </c>
      <c r="D37" s="48">
        <v>10</v>
      </c>
      <c r="E37" s="44"/>
      <c r="F37" s="59"/>
      <c r="G37" s="59"/>
      <c r="H37" s="63"/>
      <c r="I37" s="34"/>
      <c r="N37" s="66"/>
      <c r="O37" s="67"/>
    </row>
    <row r="38" spans="1:15">
      <c r="A38" s="40">
        <v>35</v>
      </c>
      <c r="B38" s="52" t="s">
        <v>1544</v>
      </c>
      <c r="C38" s="61" t="s">
        <v>1142</v>
      </c>
      <c r="D38" s="48">
        <v>3.5</v>
      </c>
      <c r="E38" s="44"/>
      <c r="F38" s="59"/>
      <c r="G38" s="59"/>
      <c r="H38" s="63"/>
      <c r="I38" s="34"/>
      <c r="N38" s="66"/>
      <c r="O38" s="67"/>
    </row>
    <row r="39" spans="1:15">
      <c r="A39" s="40">
        <v>36</v>
      </c>
      <c r="B39" s="52" t="s">
        <v>1627</v>
      </c>
      <c r="C39" s="61" t="s">
        <v>67</v>
      </c>
      <c r="D39" s="48">
        <v>9.9</v>
      </c>
      <c r="E39" s="44"/>
      <c r="F39" s="59"/>
      <c r="G39" s="59"/>
      <c r="H39" s="63"/>
      <c r="I39" s="34"/>
      <c r="N39" s="66"/>
      <c r="O39" s="67"/>
    </row>
    <row r="40" spans="1:15">
      <c r="A40" s="40">
        <v>37</v>
      </c>
      <c r="B40" s="52" t="s">
        <v>1628</v>
      </c>
      <c r="C40" s="61" t="s">
        <v>204</v>
      </c>
      <c r="D40" s="48">
        <v>4392.02</v>
      </c>
      <c r="E40" s="44"/>
      <c r="F40" s="59"/>
      <c r="G40" s="59"/>
      <c r="H40" s="63"/>
      <c r="I40" s="34"/>
      <c r="N40" s="66"/>
      <c r="O40" s="67"/>
    </row>
    <row r="41" spans="1:15">
      <c r="A41" s="40">
        <v>38</v>
      </c>
      <c r="B41" s="52"/>
      <c r="C41" s="61"/>
      <c r="D41" s="48"/>
      <c r="E41" s="44"/>
      <c r="F41" s="59"/>
      <c r="G41" s="59"/>
      <c r="H41" s="63"/>
      <c r="I41" s="34"/>
      <c r="N41" s="66"/>
      <c r="O41" s="67"/>
    </row>
    <row r="42" customHeight="1" spans="1:15">
      <c r="A42" s="40">
        <v>39</v>
      </c>
      <c r="B42" s="68" t="s">
        <v>1629</v>
      </c>
      <c r="C42" s="69" t="s">
        <v>695</v>
      </c>
      <c r="D42" s="48">
        <v>3.96</v>
      </c>
      <c r="E42" s="44">
        <v>32</v>
      </c>
      <c r="F42" s="59"/>
      <c r="G42" s="59"/>
      <c r="H42" s="63"/>
      <c r="I42" s="34"/>
      <c r="N42" s="66" t="s">
        <v>1538</v>
      </c>
      <c r="O42" s="67"/>
    </row>
    <row r="43" spans="1:15">
      <c r="A43" s="40">
        <v>40</v>
      </c>
      <c r="B43" s="68" t="s">
        <v>1132</v>
      </c>
      <c r="C43" s="44" t="s">
        <v>1396</v>
      </c>
      <c r="D43" s="48">
        <v>83.97</v>
      </c>
      <c r="E43" s="44">
        <v>33</v>
      </c>
      <c r="F43" s="59"/>
      <c r="G43" s="59"/>
      <c r="H43" s="63"/>
      <c r="I43" s="34"/>
    </row>
    <row r="44" spans="1:15">
      <c r="A44" s="40">
        <v>41</v>
      </c>
      <c r="B44" s="68" t="s">
        <v>1133</v>
      </c>
      <c r="C44" s="44" t="s">
        <v>695</v>
      </c>
      <c r="D44" s="48">
        <v>5.2</v>
      </c>
      <c r="E44" s="44"/>
      <c r="F44" s="59"/>
      <c r="G44" s="59"/>
      <c r="H44" s="63"/>
      <c r="I44" s="34"/>
    </row>
    <row r="45" spans="1:15">
      <c r="A45" s="40">
        <v>42</v>
      </c>
      <c r="B45" s="47" t="s">
        <v>1630</v>
      </c>
      <c r="C45" s="44" t="s">
        <v>695</v>
      </c>
      <c r="D45" s="48">
        <v>5.5</v>
      </c>
      <c r="E45" s="44">
        <v>34</v>
      </c>
      <c r="F45" s="59"/>
      <c r="G45" s="59"/>
      <c r="H45" s="63"/>
      <c r="I45" s="34"/>
    </row>
    <row r="46" spans="1:15">
      <c r="A46" s="40">
        <v>43</v>
      </c>
      <c r="B46" s="70" t="s">
        <v>1631</v>
      </c>
      <c r="C46" s="44" t="s">
        <v>70</v>
      </c>
      <c r="D46" s="48">
        <v>14000</v>
      </c>
      <c r="E46" s="44">
        <v>35</v>
      </c>
      <c r="F46" s="59"/>
      <c r="G46" s="59"/>
      <c r="H46" s="63"/>
      <c r="I46" s="34"/>
    </row>
    <row r="47" spans="1:15">
      <c r="A47" s="40">
        <v>44</v>
      </c>
      <c r="B47" s="71" t="s">
        <v>1632</v>
      </c>
      <c r="C47" s="42" t="s">
        <v>1633</v>
      </c>
      <c r="D47" s="43">
        <v>1844</v>
      </c>
      <c r="E47" s="44">
        <v>36</v>
      </c>
      <c r="F47" s="59"/>
      <c r="G47" s="59"/>
      <c r="H47" s="63"/>
      <c r="I47" s="34"/>
    </row>
    <row r="48" spans="1:15">
      <c r="A48" s="40">
        <v>45</v>
      </c>
      <c r="B48" s="71" t="s">
        <v>1634</v>
      </c>
      <c r="C48" s="42" t="s">
        <v>1633</v>
      </c>
      <c r="D48" s="43">
        <v>1788</v>
      </c>
      <c r="E48" s="44">
        <v>37</v>
      </c>
      <c r="F48" s="59"/>
      <c r="G48" s="59"/>
      <c r="H48" s="63"/>
      <c r="I48" s="34"/>
    </row>
    <row r="49" spans="1:9">
      <c r="A49" s="40">
        <v>46</v>
      </c>
      <c r="B49" s="71" t="s">
        <v>984</v>
      </c>
      <c r="C49" s="42" t="s">
        <v>1633</v>
      </c>
      <c r="D49" s="43">
        <v>1568</v>
      </c>
      <c r="E49" s="72"/>
      <c r="F49" s="59"/>
      <c r="G49" s="59"/>
      <c r="H49" s="63"/>
      <c r="I49" s="34"/>
    </row>
    <row r="50" spans="1:9">
      <c r="A50" s="40">
        <v>47</v>
      </c>
      <c r="B50" s="47" t="s">
        <v>1635</v>
      </c>
      <c r="C50" s="44" t="s">
        <v>695</v>
      </c>
      <c r="D50" s="48">
        <v>5.5</v>
      </c>
      <c r="E50" s="72"/>
      <c r="F50" s="59"/>
      <c r="G50" s="59"/>
      <c r="H50" s="63"/>
      <c r="I50" s="34"/>
    </row>
    <row r="51" spans="1:9">
      <c r="A51" s="40">
        <v>48</v>
      </c>
      <c r="B51" s="70" t="s">
        <v>1636</v>
      </c>
      <c r="C51" s="69" t="s">
        <v>204</v>
      </c>
      <c r="D51" s="48">
        <v>100</v>
      </c>
      <c r="E51" s="70"/>
      <c r="F51" s="59"/>
      <c r="G51" s="59"/>
      <c r="H51" s="63"/>
      <c r="I51" s="34"/>
    </row>
    <row r="52" spans="1:9">
      <c r="A52" s="40">
        <v>49</v>
      </c>
      <c r="B52" s="70" t="s">
        <v>1214</v>
      </c>
      <c r="C52" s="69" t="s">
        <v>204</v>
      </c>
      <c r="D52" s="73">
        <v>233.01</v>
      </c>
      <c r="E52" s="70"/>
      <c r="F52" s="59"/>
      <c r="G52" s="59"/>
      <c r="H52" s="63"/>
      <c r="I52" s="34"/>
    </row>
    <row r="53" spans="1:9">
      <c r="A53" s="40">
        <v>50</v>
      </c>
      <c r="B53" s="68" t="s">
        <v>1637</v>
      </c>
      <c r="C53" s="69" t="s">
        <v>67</v>
      </c>
      <c r="D53" s="48">
        <v>3.5</v>
      </c>
      <c r="E53" s="70"/>
      <c r="F53" s="59"/>
      <c r="G53" s="59"/>
      <c r="H53" s="63"/>
      <c r="I53" s="34"/>
    </row>
    <row r="54" spans="1:9">
      <c r="A54" s="40">
        <v>51</v>
      </c>
      <c r="B54" s="68" t="s">
        <v>1638</v>
      </c>
      <c r="C54" s="69" t="s">
        <v>67</v>
      </c>
      <c r="D54" s="48">
        <v>2.8</v>
      </c>
      <c r="E54" s="70"/>
      <c r="F54" s="59"/>
      <c r="G54" s="59"/>
      <c r="H54" s="63"/>
      <c r="I54" s="34"/>
    </row>
    <row r="55" spans="1:9">
      <c r="A55" s="40">
        <v>52</v>
      </c>
      <c r="B55" s="68" t="s">
        <v>1639</v>
      </c>
      <c r="C55" s="44" t="s">
        <v>395</v>
      </c>
      <c r="D55" s="48">
        <v>2.5</v>
      </c>
      <c r="E55" s="70"/>
      <c r="F55" s="59"/>
      <c r="G55" s="59"/>
      <c r="H55" s="63"/>
      <c r="I55" s="34"/>
    </row>
    <row r="56" spans="1:9">
      <c r="A56" s="40">
        <v>53</v>
      </c>
      <c r="B56" s="68" t="s">
        <v>1133</v>
      </c>
      <c r="C56" s="44" t="s">
        <v>1142</v>
      </c>
      <c r="D56" s="48">
        <v>4.58</v>
      </c>
      <c r="E56" s="70"/>
      <c r="F56" s="59"/>
      <c r="G56" s="59"/>
      <c r="H56" s="63"/>
      <c r="I56" s="34"/>
    </row>
    <row r="57" spans="1:9">
      <c r="A57" s="40">
        <v>54</v>
      </c>
      <c r="B57" s="41" t="s">
        <v>890</v>
      </c>
      <c r="C57" s="44" t="s">
        <v>695</v>
      </c>
      <c r="D57" s="48">
        <v>5.97</v>
      </c>
      <c r="E57" s="70"/>
      <c r="F57" s="59"/>
      <c r="G57" s="59"/>
      <c r="H57" s="63"/>
      <c r="I57" s="34"/>
    </row>
    <row r="58" spans="1:9">
      <c r="A58" s="40">
        <v>55</v>
      </c>
      <c r="B58" s="68" t="s">
        <v>1640</v>
      </c>
      <c r="C58" s="44" t="s">
        <v>395</v>
      </c>
      <c r="D58" s="48">
        <v>0.8</v>
      </c>
      <c r="E58" s="70"/>
      <c r="F58" s="59"/>
      <c r="G58" s="59"/>
      <c r="H58" s="63"/>
      <c r="I58" s="34"/>
    </row>
    <row r="59" spans="1:9">
      <c r="A59" s="40">
        <v>56</v>
      </c>
      <c r="B59" s="68" t="s">
        <v>1641</v>
      </c>
      <c r="C59" s="44" t="s">
        <v>395</v>
      </c>
      <c r="D59" s="48">
        <v>0.8</v>
      </c>
      <c r="E59" s="70"/>
      <c r="F59" s="59"/>
      <c r="G59" s="59"/>
      <c r="H59" s="63"/>
      <c r="I59" s="34"/>
    </row>
    <row r="60" spans="1:9">
      <c r="A60" s="40">
        <v>57</v>
      </c>
      <c r="B60" s="70" t="s">
        <v>1642</v>
      </c>
      <c r="C60" s="69" t="s">
        <v>204</v>
      </c>
      <c r="D60" s="48">
        <v>2</v>
      </c>
      <c r="E60" s="70"/>
      <c r="F60" s="59"/>
      <c r="G60" s="59"/>
      <c r="H60" s="63"/>
      <c r="I60" s="34"/>
    </row>
    <row r="61" spans="1:9">
      <c r="A61" s="40">
        <v>58</v>
      </c>
      <c r="B61" s="74" t="s">
        <v>1044</v>
      </c>
      <c r="C61" s="44" t="s">
        <v>204</v>
      </c>
      <c r="D61" s="48">
        <v>3500</v>
      </c>
      <c r="E61" s="70"/>
      <c r="F61" s="59"/>
      <c r="G61" s="59"/>
      <c r="H61" s="63"/>
      <c r="I61" s="34"/>
    </row>
    <row r="62" spans="1:9">
      <c r="A62" s="40">
        <v>59</v>
      </c>
      <c r="B62" s="68" t="s">
        <v>1643</v>
      </c>
      <c r="C62" s="44" t="s">
        <v>1644</v>
      </c>
      <c r="D62" s="48">
        <v>5.74</v>
      </c>
      <c r="E62" s="70"/>
      <c r="F62" s="59"/>
      <c r="G62" s="59"/>
      <c r="H62" s="63"/>
      <c r="I62" s="34"/>
    </row>
    <row r="63" spans="1:9">
      <c r="A63" s="40">
        <v>60</v>
      </c>
      <c r="B63" s="47" t="s">
        <v>1045</v>
      </c>
      <c r="C63" s="44" t="s">
        <v>695</v>
      </c>
      <c r="D63" s="48">
        <v>0.2</v>
      </c>
      <c r="E63" s="70"/>
      <c r="F63" s="59"/>
      <c r="G63" s="59"/>
      <c r="H63" s="63"/>
      <c r="I63" s="34"/>
    </row>
    <row r="64" spans="1:9">
      <c r="A64" s="40">
        <v>61</v>
      </c>
      <c r="B64" s="70" t="s">
        <v>1645</v>
      </c>
      <c r="C64" s="44" t="s">
        <v>70</v>
      </c>
      <c r="D64" s="48">
        <v>35</v>
      </c>
      <c r="E64" s="70"/>
      <c r="F64" s="59"/>
      <c r="G64" s="59"/>
      <c r="H64" s="63"/>
      <c r="I64" s="34"/>
    </row>
    <row r="65" spans="1:9">
      <c r="A65" s="40">
        <v>62</v>
      </c>
      <c r="B65" s="70" t="s">
        <v>1646</v>
      </c>
      <c r="C65" s="44" t="s">
        <v>695</v>
      </c>
      <c r="D65" s="48">
        <v>5</v>
      </c>
      <c r="E65" s="70"/>
      <c r="F65" s="59"/>
      <c r="G65" s="59"/>
      <c r="H65" s="63"/>
      <c r="I65" s="34"/>
    </row>
    <row r="66" spans="1:9">
      <c r="A66" s="40">
        <v>63</v>
      </c>
      <c r="B66" s="70" t="s">
        <v>1647</v>
      </c>
      <c r="C66" s="69" t="s">
        <v>67</v>
      </c>
      <c r="D66" s="48">
        <v>110</v>
      </c>
      <c r="E66" s="70"/>
      <c r="F66" s="59"/>
      <c r="G66" s="59"/>
      <c r="H66" s="63"/>
      <c r="I66" s="34"/>
    </row>
    <row r="67" spans="1:9">
      <c r="A67" s="40">
        <v>64</v>
      </c>
      <c r="B67" s="70" t="s">
        <v>1648</v>
      </c>
      <c r="C67" s="69" t="s">
        <v>67</v>
      </c>
      <c r="D67" s="48">
        <v>2.5</v>
      </c>
      <c r="E67" s="70"/>
      <c r="F67" s="59"/>
      <c r="G67" s="59"/>
      <c r="H67" s="63"/>
      <c r="I67" s="34"/>
    </row>
    <row r="68" spans="1:9">
      <c r="A68" s="40">
        <v>65</v>
      </c>
      <c r="B68" s="70" t="s">
        <v>1649</v>
      </c>
      <c r="C68" s="75" t="s">
        <v>395</v>
      </c>
      <c r="D68" s="48">
        <v>60</v>
      </c>
      <c r="E68" s="70"/>
      <c r="F68" s="59"/>
      <c r="G68" s="59"/>
      <c r="H68" s="63"/>
      <c r="I68" s="34"/>
    </row>
    <row r="69" spans="1:9">
      <c r="A69" s="40">
        <v>66</v>
      </c>
      <c r="B69" s="70" t="s">
        <v>1650</v>
      </c>
      <c r="C69" s="75" t="s">
        <v>1142</v>
      </c>
      <c r="D69" s="76">
        <v>4.61</v>
      </c>
      <c r="E69" s="70"/>
      <c r="F69" s="59"/>
      <c r="G69" s="59"/>
      <c r="H69" s="63"/>
      <c r="I69" s="34"/>
    </row>
    <row r="70" spans="1:9">
      <c r="A70" s="40">
        <v>67</v>
      </c>
      <c r="B70" s="70" t="s">
        <v>1651</v>
      </c>
      <c r="C70" s="69" t="s">
        <v>1652</v>
      </c>
      <c r="D70" s="48">
        <v>2.5</v>
      </c>
      <c r="E70" s="70"/>
      <c r="F70" s="59"/>
      <c r="G70" s="59"/>
      <c r="H70" s="63"/>
      <c r="I70" s="34"/>
    </row>
    <row r="71" spans="1:9">
      <c r="A71" s="40">
        <v>68</v>
      </c>
      <c r="B71" s="70" t="s">
        <v>1653</v>
      </c>
      <c r="C71" s="69" t="s">
        <v>695</v>
      </c>
      <c r="D71" s="48">
        <v>4.5</v>
      </c>
      <c r="E71" s="70"/>
      <c r="F71" s="59"/>
      <c r="G71" s="59"/>
      <c r="H71" s="63"/>
      <c r="I71" s="34"/>
    </row>
    <row r="72" spans="1:9">
      <c r="A72" s="40">
        <v>69</v>
      </c>
      <c r="B72" s="70" t="s">
        <v>1654</v>
      </c>
      <c r="C72" s="69" t="s">
        <v>695</v>
      </c>
      <c r="D72" s="48">
        <v>4.8</v>
      </c>
      <c r="E72" s="70"/>
      <c r="F72" s="59"/>
      <c r="G72" s="59"/>
      <c r="H72" s="63"/>
      <c r="I72" s="34"/>
    </row>
    <row r="73" spans="1:9">
      <c r="A73" s="40">
        <v>70</v>
      </c>
      <c r="B73" s="47" t="s">
        <v>1655</v>
      </c>
      <c r="C73" s="44" t="s">
        <v>695</v>
      </c>
      <c r="D73" s="48">
        <v>3.4</v>
      </c>
      <c r="E73" s="70"/>
      <c r="F73" s="59"/>
      <c r="G73" s="59"/>
      <c r="H73" s="63"/>
      <c r="I73" s="34"/>
    </row>
    <row r="74" spans="1:9">
      <c r="A74" s="40">
        <v>71</v>
      </c>
      <c r="B74" s="47" t="s">
        <v>1656</v>
      </c>
      <c r="C74" s="44" t="s">
        <v>695</v>
      </c>
      <c r="D74" s="31">
        <v>4.8</v>
      </c>
      <c r="E74" s="70"/>
      <c r="F74" s="59"/>
      <c r="G74" s="59"/>
      <c r="H74" s="63"/>
      <c r="I74" s="34"/>
    </row>
    <row r="75" spans="1:9">
      <c r="A75" s="40">
        <v>72</v>
      </c>
      <c r="B75" s="47" t="s">
        <v>1036</v>
      </c>
      <c r="C75" s="44" t="s">
        <v>695</v>
      </c>
      <c r="D75" s="48">
        <v>4.5</v>
      </c>
      <c r="E75" s="70"/>
      <c r="F75" s="59"/>
      <c r="G75" s="59"/>
      <c r="H75" s="63"/>
      <c r="I75" s="34"/>
    </row>
    <row r="76" spans="1:9">
      <c r="A76" s="40">
        <v>73</v>
      </c>
      <c r="B76" s="68" t="s">
        <v>1657</v>
      </c>
      <c r="C76" s="69" t="s">
        <v>695</v>
      </c>
      <c r="D76" s="48">
        <v>2.5</v>
      </c>
      <c r="E76" s="70"/>
      <c r="F76" s="59"/>
      <c r="G76" s="59"/>
      <c r="H76" s="63"/>
      <c r="I76" s="34"/>
    </row>
    <row r="77" spans="1:9">
      <c r="A77" s="40">
        <v>74</v>
      </c>
      <c r="B77" s="70" t="s">
        <v>673</v>
      </c>
      <c r="C77" s="44" t="s">
        <v>695</v>
      </c>
      <c r="D77" s="48">
        <v>3</v>
      </c>
      <c r="E77" s="70"/>
      <c r="F77" s="59"/>
      <c r="G77" s="59"/>
      <c r="H77" s="63"/>
      <c r="I77" s="34"/>
    </row>
    <row r="78" spans="1:9">
      <c r="A78" s="40">
        <v>75</v>
      </c>
      <c r="B78" s="70" t="s">
        <v>1070</v>
      </c>
      <c r="C78" s="69" t="s">
        <v>683</v>
      </c>
      <c r="D78" s="43">
        <v>14.56</v>
      </c>
      <c r="E78" s="70"/>
      <c r="F78" s="59"/>
      <c r="G78" s="59"/>
      <c r="H78" s="63"/>
      <c r="I78" s="34"/>
    </row>
    <row r="79" spans="1:9">
      <c r="A79" s="40">
        <v>76</v>
      </c>
      <c r="B79" s="70" t="s">
        <v>1658</v>
      </c>
      <c r="C79" s="69" t="s">
        <v>1652</v>
      </c>
      <c r="D79" s="43">
        <v>14.56</v>
      </c>
      <c r="E79" s="70"/>
      <c r="F79" s="59"/>
      <c r="G79" s="59">
        <v>17.8</v>
      </c>
      <c r="H79" s="63"/>
      <c r="I79" s="34"/>
    </row>
    <row r="80" spans="1:9">
      <c r="A80" s="40">
        <v>77</v>
      </c>
      <c r="B80" s="70" t="s">
        <v>1659</v>
      </c>
      <c r="C80" s="69"/>
      <c r="D80" s="43">
        <v>19.4</v>
      </c>
      <c r="E80" s="70"/>
      <c r="F80" s="59"/>
      <c r="G80" s="59">
        <v>20.8</v>
      </c>
      <c r="H80" s="63"/>
      <c r="I80" s="34"/>
    </row>
    <row r="81" spans="1:9">
      <c r="A81" s="40">
        <v>78</v>
      </c>
      <c r="B81" s="70" t="s">
        <v>1660</v>
      </c>
      <c r="C81" s="69" t="s">
        <v>1652</v>
      </c>
      <c r="D81" s="43">
        <v>17.93</v>
      </c>
      <c r="E81" s="70"/>
      <c r="F81" s="59"/>
      <c r="G81" s="59">
        <v>7.4</v>
      </c>
      <c r="H81" s="63"/>
      <c r="I81" s="34"/>
    </row>
    <row r="82" spans="1:9">
      <c r="A82" s="40">
        <v>79</v>
      </c>
      <c r="B82" s="70" t="s">
        <v>1661</v>
      </c>
      <c r="C82" s="69" t="s">
        <v>1652</v>
      </c>
      <c r="D82" s="77">
        <v>3.72</v>
      </c>
      <c r="E82" s="70"/>
      <c r="F82" s="59"/>
      <c r="G82" s="59">
        <v>9.5</v>
      </c>
      <c r="H82" s="63"/>
      <c r="I82" s="34"/>
    </row>
    <row r="83" spans="1:9">
      <c r="A83" s="40">
        <v>80</v>
      </c>
      <c r="B83" s="70" t="s">
        <v>1662</v>
      </c>
      <c r="C83" s="69" t="s">
        <v>1652</v>
      </c>
      <c r="D83" s="77"/>
      <c r="E83" s="70"/>
      <c r="F83" s="59"/>
      <c r="G83" s="59">
        <v>13.5</v>
      </c>
      <c r="H83" s="63"/>
      <c r="I83" s="34"/>
    </row>
    <row r="84" spans="1:9">
      <c r="A84" s="40">
        <v>81</v>
      </c>
      <c r="B84" s="70" t="s">
        <v>1197</v>
      </c>
      <c r="C84" s="69" t="s">
        <v>683</v>
      </c>
      <c r="D84" s="77">
        <v>5.32</v>
      </c>
      <c r="E84" s="70"/>
      <c r="F84" s="59"/>
      <c r="G84" s="59"/>
      <c r="H84" s="63"/>
      <c r="I84" s="34"/>
    </row>
    <row r="85" spans="1:9">
      <c r="A85" s="40">
        <v>82</v>
      </c>
      <c r="B85" s="70" t="s">
        <v>1663</v>
      </c>
      <c r="C85" s="69" t="s">
        <v>683</v>
      </c>
      <c r="D85" s="77">
        <v>2.48</v>
      </c>
      <c r="E85" s="70"/>
      <c r="F85" s="59"/>
      <c r="G85" s="59"/>
      <c r="H85" s="63"/>
      <c r="I85" s="34"/>
    </row>
    <row r="86" spans="1:9">
      <c r="A86" s="40">
        <v>83</v>
      </c>
      <c r="B86" s="70" t="s">
        <v>1664</v>
      </c>
      <c r="C86" s="69" t="s">
        <v>683</v>
      </c>
      <c r="D86" s="77">
        <v>470</v>
      </c>
      <c r="E86" s="70"/>
      <c r="F86" s="59"/>
      <c r="G86" s="59"/>
      <c r="H86" s="63"/>
      <c r="I86" s="34"/>
    </row>
    <row r="87" spans="1:9">
      <c r="A87" s="40">
        <v>84</v>
      </c>
      <c r="B87" s="70" t="s">
        <v>1198</v>
      </c>
      <c r="C87" s="69" t="s">
        <v>695</v>
      </c>
      <c r="D87" s="48">
        <v>5.78</v>
      </c>
      <c r="E87" s="70"/>
      <c r="F87" s="59"/>
      <c r="G87" s="59"/>
      <c r="H87" s="63"/>
      <c r="I87" s="34"/>
    </row>
    <row r="88" spans="1:9">
      <c r="A88" s="40">
        <v>85</v>
      </c>
      <c r="B88" s="70" t="s">
        <v>1665</v>
      </c>
      <c r="C88" s="44" t="s">
        <v>1127</v>
      </c>
      <c r="D88" s="43">
        <v>477.52</v>
      </c>
      <c r="E88" s="70"/>
      <c r="F88" s="59"/>
      <c r="G88" s="59"/>
      <c r="H88" s="63"/>
      <c r="I88" s="34"/>
    </row>
    <row r="89" spans="1:9">
      <c r="A89" s="40">
        <v>86</v>
      </c>
      <c r="B89" s="68" t="s">
        <v>1666</v>
      </c>
      <c r="C89" s="69" t="s">
        <v>67</v>
      </c>
      <c r="D89" s="73"/>
      <c r="E89" s="70"/>
      <c r="F89" s="59"/>
      <c r="G89" s="59"/>
      <c r="H89" s="63"/>
      <c r="I89" s="34"/>
    </row>
    <row r="90" spans="1:9">
      <c r="A90" s="40">
        <v>87</v>
      </c>
      <c r="B90" s="68" t="s">
        <v>1667</v>
      </c>
      <c r="C90" s="69" t="s">
        <v>67</v>
      </c>
      <c r="D90" s="78">
        <v>820.51</v>
      </c>
      <c r="E90" s="70"/>
      <c r="F90" s="59"/>
      <c r="G90" s="59"/>
      <c r="H90" s="63"/>
      <c r="I90" s="34"/>
    </row>
    <row r="91" spans="1:9">
      <c r="A91" s="40">
        <v>88</v>
      </c>
      <c r="B91" s="68" t="s">
        <v>1668</v>
      </c>
      <c r="C91" s="69" t="s">
        <v>67</v>
      </c>
      <c r="D91" s="78">
        <v>572.65</v>
      </c>
      <c r="E91" s="70"/>
      <c r="F91" s="59"/>
      <c r="G91" s="59"/>
      <c r="H91" s="63"/>
      <c r="I91" s="34"/>
    </row>
    <row r="92" spans="1:9">
      <c r="A92" s="40">
        <v>89</v>
      </c>
      <c r="B92" s="68" t="s">
        <v>1669</v>
      </c>
      <c r="C92" s="69" t="s">
        <v>67</v>
      </c>
      <c r="D92" s="78">
        <v>350.43</v>
      </c>
      <c r="E92" s="70"/>
      <c r="F92" s="59"/>
      <c r="G92" s="59"/>
      <c r="H92" s="63"/>
      <c r="I92" s="34"/>
    </row>
    <row r="93" spans="1:9">
      <c r="A93" s="40">
        <v>90</v>
      </c>
      <c r="B93" s="68" t="s">
        <v>1670</v>
      </c>
      <c r="C93" s="69" t="s">
        <v>67</v>
      </c>
      <c r="D93" s="78">
        <v>222.22</v>
      </c>
      <c r="E93" s="70"/>
      <c r="F93" s="59"/>
      <c r="G93" s="59"/>
      <c r="H93" s="63"/>
      <c r="I93" s="34"/>
    </row>
    <row r="94" spans="1:9">
      <c r="A94" s="40">
        <v>91</v>
      </c>
      <c r="B94" s="68" t="s">
        <v>1671</v>
      </c>
      <c r="C94" s="69" t="s">
        <v>67</v>
      </c>
      <c r="D94" s="78">
        <v>192.31</v>
      </c>
      <c r="E94" s="70"/>
      <c r="F94" s="59"/>
      <c r="G94" s="59"/>
      <c r="H94" s="63"/>
      <c r="I94" s="34"/>
    </row>
    <row r="95" spans="1:9">
      <c r="A95" s="40">
        <v>79</v>
      </c>
      <c r="B95" s="68" t="s">
        <v>1672</v>
      </c>
      <c r="C95" s="69" t="s">
        <v>67</v>
      </c>
      <c r="D95" s="78">
        <v>166.67</v>
      </c>
      <c r="E95" s="70"/>
      <c r="F95" s="59"/>
      <c r="G95" s="59"/>
      <c r="H95" s="63"/>
      <c r="I95" s="34"/>
    </row>
    <row r="96" ht="15" spans="1:9">
      <c r="A96" s="79">
        <v>80</v>
      </c>
      <c r="B96" s="68" t="s">
        <v>1673</v>
      </c>
      <c r="C96" s="80" t="s">
        <v>67</v>
      </c>
      <c r="D96" s="81">
        <v>153.85</v>
      </c>
      <c r="E96" s="82"/>
      <c r="F96" s="83"/>
      <c r="G96" s="83"/>
      <c r="H96" s="84"/>
      <c r="I96" s="34"/>
    </row>
    <row r="97" ht="15" spans="1:9">
      <c r="A97" s="85">
        <v>81</v>
      </c>
      <c r="B97" s="86" t="s">
        <v>1674</v>
      </c>
      <c r="C97" s="87" t="s">
        <v>67</v>
      </c>
      <c r="D97" s="88"/>
      <c r="E97" s="89"/>
      <c r="F97" s="34"/>
      <c r="G97" s="34"/>
      <c r="H97" s="34"/>
      <c r="I97" s="34"/>
    </row>
    <row r="98" ht="15" spans="1:9">
      <c r="A98" s="40">
        <v>82</v>
      </c>
      <c r="B98" s="90" t="s">
        <v>1675</v>
      </c>
      <c r="C98" s="34"/>
      <c r="D98" s="34"/>
      <c r="E98" s="34"/>
      <c r="F98" s="34"/>
      <c r="G98" s="34"/>
      <c r="H98" s="34"/>
      <c r="I98" s="34"/>
    </row>
    <row r="99" spans="1:9">
      <c r="A99" s="34"/>
      <c r="B99" s="34"/>
      <c r="C99" s="34"/>
      <c r="D99" s="34"/>
      <c r="E99" s="34"/>
      <c r="F99" s="34"/>
      <c r="G99" s="34"/>
      <c r="H99" s="34"/>
      <c r="I99" s="34"/>
    </row>
    <row r="100" spans="1:9">
      <c r="B100" s="34"/>
    </row>
  </sheetData>
  <mergeCells count="4">
    <mergeCell ref="A1:E1"/>
    <mergeCell ref="N32:O32"/>
    <mergeCell ref="N33:O33"/>
    <mergeCell ref="N42:O42"/>
  </mergeCells>
  <printOptions horizontalCentered="1"/>
  <pageMargins left="0.75" right="0.75" top="0.979861111111111" bottom="0.979861111111111" header="0.509722222222222" footer="0.509722222222222"/>
  <pageSetup paperSize="9" orientation="portrait"/>
  <headerFooter alignWithMargins="0" scaleWithDoc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26"/>
  <sheetViews>
    <sheetView workbookViewId="0">
      <selection activeCell="O2" sqref="O2"/>
    </sheetView>
  </sheetViews>
  <sheetFormatPr defaultColWidth="9" defaultRowHeight="14.25"/>
  <sheetData>
    <row r="1" ht="18.75" spans="1:27">
      <c r="A1" s="1" t="s">
        <v>1676</v>
      </c>
      <c r="B1" s="1"/>
      <c r="C1" s="2"/>
      <c r="D1" s="2"/>
      <c r="E1" s="2"/>
      <c r="F1" s="2"/>
      <c r="G1" s="2"/>
      <c r="H1" s="2"/>
      <c r="I1" s="2"/>
      <c r="J1" s="1" t="s">
        <v>1677</v>
      </c>
      <c r="K1" s="1"/>
      <c r="L1" s="2"/>
      <c r="M1" s="2"/>
      <c r="N1" s="2"/>
      <c r="O1" s="2"/>
      <c r="P1" s="2"/>
      <c r="Q1" s="2"/>
      <c r="R1" s="2"/>
      <c r="S1" s="3" t="s">
        <v>1678</v>
      </c>
      <c r="T1" s="3"/>
      <c r="U1" s="4"/>
      <c r="V1" s="4"/>
      <c r="W1" s="4"/>
      <c r="X1" s="4"/>
      <c r="Y1" s="4"/>
      <c r="Z1" s="4" t="s">
        <v>1679</v>
      </c>
      <c r="AA1" s="4"/>
    </row>
    <row r="2" spans="1:27">
      <c r="A2" s="5"/>
      <c r="B2" s="5"/>
      <c r="C2" s="5"/>
      <c r="D2" s="5"/>
      <c r="E2" s="6" t="s">
        <v>1680</v>
      </c>
      <c r="F2" s="7">
        <f>O2</f>
        <v>11000</v>
      </c>
      <c r="G2" s="5" t="s">
        <v>1681</v>
      </c>
      <c r="H2" s="5" t="s">
        <v>1682</v>
      </c>
      <c r="I2" s="5"/>
      <c r="J2" s="5"/>
      <c r="K2" s="5"/>
      <c r="L2" s="5"/>
      <c r="M2" s="5"/>
      <c r="N2" s="6" t="s">
        <v>1680</v>
      </c>
      <c r="O2" s="7">
        <v>11000</v>
      </c>
      <c r="P2" s="5" t="s">
        <v>1681</v>
      </c>
      <c r="Q2" s="5" t="s">
        <v>1683</v>
      </c>
      <c r="R2" s="5">
        <f>O2/1000*AA5</f>
        <v>2.2913</v>
      </c>
      <c r="S2" s="8"/>
      <c r="T2" s="8"/>
      <c r="U2" s="4"/>
      <c r="V2" s="4"/>
      <c r="W2" s="4"/>
      <c r="X2" s="4"/>
      <c r="Y2" s="4"/>
      <c r="Z2" s="4"/>
      <c r="AA2" s="4"/>
    </row>
    <row r="3" spans="1:27">
      <c r="A3" s="9" t="s">
        <v>1684</v>
      </c>
      <c r="B3" s="9"/>
      <c r="C3" s="9" t="s">
        <v>1685</v>
      </c>
      <c r="D3" s="9"/>
      <c r="E3" s="9"/>
      <c r="F3" s="9"/>
      <c r="G3" s="9"/>
      <c r="H3" s="9"/>
      <c r="I3" s="9"/>
      <c r="J3" s="9" t="s">
        <v>1684</v>
      </c>
      <c r="K3" s="9"/>
      <c r="L3" s="9" t="s">
        <v>1685</v>
      </c>
      <c r="M3" s="9"/>
      <c r="N3" s="9"/>
      <c r="O3" s="9"/>
      <c r="P3" s="9"/>
      <c r="Q3" s="9"/>
      <c r="R3" s="9"/>
      <c r="S3" s="10" t="s">
        <v>1686</v>
      </c>
      <c r="T3" s="11" t="s">
        <v>1687</v>
      </c>
      <c r="U3" s="12"/>
      <c r="V3" s="12"/>
      <c r="W3" s="12"/>
      <c r="X3" s="12"/>
      <c r="Y3" s="12"/>
      <c r="Z3" s="12"/>
      <c r="AA3" s="13"/>
    </row>
    <row r="4" spans="1:27">
      <c r="A4" s="9"/>
      <c r="B4" s="14" t="s">
        <v>1688</v>
      </c>
      <c r="C4" s="15" t="s">
        <v>1689</v>
      </c>
      <c r="D4" s="15" t="s">
        <v>1690</v>
      </c>
      <c r="E4" s="15" t="s">
        <v>1691</v>
      </c>
      <c r="F4" s="15" t="s">
        <v>1692</v>
      </c>
      <c r="G4" s="15" t="s">
        <v>1693</v>
      </c>
      <c r="H4" s="15" t="s">
        <v>1694</v>
      </c>
      <c r="I4" s="15" t="s">
        <v>1695</v>
      </c>
      <c r="J4" s="9"/>
      <c r="K4" s="16" t="s">
        <v>1688</v>
      </c>
      <c r="L4" s="15" t="s">
        <v>1689</v>
      </c>
      <c r="M4" s="15" t="s">
        <v>1690</v>
      </c>
      <c r="N4" s="15" t="s">
        <v>1691</v>
      </c>
      <c r="O4" s="15" t="s">
        <v>1692</v>
      </c>
      <c r="P4" s="15" t="s">
        <v>1693</v>
      </c>
      <c r="Q4" s="15" t="s">
        <v>1694</v>
      </c>
      <c r="R4" s="15" t="s">
        <v>1695</v>
      </c>
      <c r="S4" s="17"/>
      <c r="T4" s="16" t="s">
        <v>1688</v>
      </c>
      <c r="U4" s="16" t="s">
        <v>1689</v>
      </c>
      <c r="V4" s="16" t="s">
        <v>1690</v>
      </c>
      <c r="W4" s="16" t="s">
        <v>1691</v>
      </c>
      <c r="X4" s="16" t="s">
        <v>1692</v>
      </c>
      <c r="Y4" s="16" t="s">
        <v>1693</v>
      </c>
      <c r="Z4" s="16" t="s">
        <v>1694</v>
      </c>
      <c r="AA4" s="16" t="s">
        <v>1695</v>
      </c>
    </row>
    <row r="5" ht="15" spans="1:27">
      <c r="A5" s="9" t="s">
        <v>1696</v>
      </c>
      <c r="B5" s="9"/>
      <c r="C5" s="18"/>
      <c r="D5" s="18"/>
      <c r="E5" s="18"/>
      <c r="F5" s="18"/>
      <c r="G5" s="18"/>
      <c r="H5" s="19">
        <f>Q5*1000</f>
        <v>2020</v>
      </c>
      <c r="I5" s="19">
        <f>R5*1000</f>
        <v>2290</v>
      </c>
      <c r="J5" s="9" t="s">
        <v>1696</v>
      </c>
      <c r="K5" s="9"/>
      <c r="L5" s="18"/>
      <c r="M5" s="18"/>
      <c r="N5" s="18"/>
      <c r="O5" s="18"/>
      <c r="P5" s="18"/>
      <c r="Q5" s="20">
        <f>ROUND($O$2*Z5/1000,2)</f>
        <v>2.02</v>
      </c>
      <c r="R5" s="21">
        <f>ROUND($O$2*AA5/1000,2)</f>
        <v>2.29</v>
      </c>
      <c r="S5" s="16" t="s">
        <v>1696</v>
      </c>
      <c r="T5" s="16"/>
      <c r="U5" s="22"/>
      <c r="V5" s="22"/>
      <c r="W5" s="22"/>
      <c r="X5" s="22"/>
      <c r="Y5" s="22"/>
      <c r="Z5" s="22">
        <v>0.1833</v>
      </c>
      <c r="AA5" s="22">
        <v>0.2083</v>
      </c>
    </row>
    <row r="6" ht="15" spans="1:27">
      <c r="A6" s="9" t="s">
        <v>1697</v>
      </c>
      <c r="B6" s="9"/>
      <c r="C6" s="18"/>
      <c r="D6" s="18"/>
      <c r="E6" s="18"/>
      <c r="F6" s="18"/>
      <c r="G6" s="19">
        <f t="shared" ref="G6:I6" si="0">P6*1000</f>
        <v>2540</v>
      </c>
      <c r="H6" s="19">
        <f t="shared" si="0"/>
        <v>2950</v>
      </c>
      <c r="I6" s="19">
        <f t="shared" si="0"/>
        <v>3450</v>
      </c>
      <c r="J6" s="9" t="s">
        <v>1697</v>
      </c>
      <c r="K6" s="9"/>
      <c r="L6" s="18"/>
      <c r="M6" s="18"/>
      <c r="N6" s="18"/>
      <c r="O6" s="18"/>
      <c r="P6" s="20">
        <f t="shared" ref="P6:R6" si="1">ROUND($O$2*Y6/1000,2)</f>
        <v>2.54</v>
      </c>
      <c r="Q6" s="20">
        <f t="shared" si="1"/>
        <v>2.95</v>
      </c>
      <c r="R6" s="20">
        <f t="shared" si="1"/>
        <v>3.45</v>
      </c>
      <c r="S6" s="16" t="s">
        <v>1697</v>
      </c>
      <c r="T6" s="16"/>
      <c r="U6" s="22"/>
      <c r="V6" s="22"/>
      <c r="W6" s="22"/>
      <c r="X6" s="22"/>
      <c r="Y6" s="22">
        <v>0.2311</v>
      </c>
      <c r="Z6" s="22">
        <v>0.268</v>
      </c>
      <c r="AA6" s="22">
        <v>0.3135</v>
      </c>
    </row>
    <row r="7" ht="15" spans="1:27">
      <c r="A7" s="9" t="s">
        <v>1698</v>
      </c>
      <c r="B7" s="9"/>
      <c r="C7" s="18"/>
      <c r="D7" s="18"/>
      <c r="E7" s="18"/>
      <c r="F7" s="19">
        <f t="shared" ref="F7:I7" si="2">O7*1000</f>
        <v>3330</v>
      </c>
      <c r="G7" s="19">
        <f t="shared" si="2"/>
        <v>3950</v>
      </c>
      <c r="H7" s="19">
        <f t="shared" si="2"/>
        <v>4680</v>
      </c>
      <c r="I7" s="19">
        <f t="shared" si="2"/>
        <v>5650</v>
      </c>
      <c r="J7" s="9" t="s">
        <v>1698</v>
      </c>
      <c r="K7" s="9"/>
      <c r="L7" s="18"/>
      <c r="M7" s="18"/>
      <c r="N7" s="18"/>
      <c r="O7" s="20">
        <f t="shared" ref="O7:R7" si="3">ROUND($O$2*X7/1000,2)</f>
        <v>3.33</v>
      </c>
      <c r="P7" s="20">
        <f t="shared" si="3"/>
        <v>3.95</v>
      </c>
      <c r="Q7" s="20">
        <f t="shared" si="3"/>
        <v>4.68</v>
      </c>
      <c r="R7" s="20">
        <f t="shared" si="3"/>
        <v>5.65</v>
      </c>
      <c r="S7" s="16" t="s">
        <v>1698</v>
      </c>
      <c r="T7" s="16"/>
      <c r="U7" s="22"/>
      <c r="V7" s="22"/>
      <c r="W7" s="22"/>
      <c r="X7" s="22">
        <v>0.3026</v>
      </c>
      <c r="Y7" s="22">
        <v>0.3589</v>
      </c>
      <c r="Z7" s="22">
        <v>0.4258</v>
      </c>
      <c r="AA7" s="22">
        <v>0.5134</v>
      </c>
    </row>
    <row r="8" ht="15" spans="1:27">
      <c r="A8" s="9" t="s">
        <v>1699</v>
      </c>
      <c r="B8" s="9"/>
      <c r="C8" s="18"/>
      <c r="D8" s="18"/>
      <c r="E8" s="19">
        <f t="shared" ref="E8:I8" si="4">N8*1000</f>
        <v>4230</v>
      </c>
      <c r="F8" s="19">
        <f t="shared" si="4"/>
        <v>5030</v>
      </c>
      <c r="G8" s="19">
        <f t="shared" si="4"/>
        <v>6070</v>
      </c>
      <c r="H8" s="19">
        <f t="shared" si="4"/>
        <v>7440</v>
      </c>
      <c r="I8" s="19">
        <f t="shared" si="4"/>
        <v>8810</v>
      </c>
      <c r="J8" s="9" t="s">
        <v>1699</v>
      </c>
      <c r="K8" s="9"/>
      <c r="L8" s="18"/>
      <c r="M8" s="18"/>
      <c r="N8" s="20">
        <f t="shared" ref="N8:R8" si="5">ROUND($O$2*W8/1000,2)</f>
        <v>4.23</v>
      </c>
      <c r="O8" s="20">
        <f t="shared" si="5"/>
        <v>5.03</v>
      </c>
      <c r="P8" s="20">
        <f t="shared" si="5"/>
        <v>6.07</v>
      </c>
      <c r="Q8" s="20">
        <f t="shared" si="5"/>
        <v>7.44</v>
      </c>
      <c r="R8" s="20">
        <f t="shared" si="5"/>
        <v>8.81</v>
      </c>
      <c r="S8" s="16" t="s">
        <v>1699</v>
      </c>
      <c r="T8" s="16"/>
      <c r="U8" s="22"/>
      <c r="V8" s="22"/>
      <c r="W8" s="22">
        <v>0.3841</v>
      </c>
      <c r="X8" s="22">
        <v>0.4574</v>
      </c>
      <c r="Y8" s="22">
        <v>0.5521</v>
      </c>
      <c r="Z8" s="22">
        <v>0.6761</v>
      </c>
      <c r="AA8" s="22">
        <v>0.8005</v>
      </c>
    </row>
    <row r="9" ht="15" spans="1:27">
      <c r="A9" s="9" t="s">
        <v>1700</v>
      </c>
      <c r="B9" s="9"/>
      <c r="C9" s="18"/>
      <c r="D9" s="19">
        <f t="shared" ref="D9:I9" si="6">M9*1000</f>
        <v>5380</v>
      </c>
      <c r="E9" s="19">
        <f t="shared" si="6"/>
        <v>6410</v>
      </c>
      <c r="F9" s="19">
        <f t="shared" si="6"/>
        <v>7770</v>
      </c>
      <c r="G9" s="19">
        <f t="shared" si="6"/>
        <v>9780</v>
      </c>
      <c r="H9" s="19">
        <f t="shared" si="6"/>
        <v>11580</v>
      </c>
      <c r="I9" s="19">
        <f t="shared" si="6"/>
        <v>13810</v>
      </c>
      <c r="J9" s="9" t="s">
        <v>1700</v>
      </c>
      <c r="K9" s="9"/>
      <c r="L9" s="18"/>
      <c r="M9" s="20">
        <f t="shared" ref="M9:R9" si="7">ROUND($O$2*V9/1000,2)</f>
        <v>5.38</v>
      </c>
      <c r="N9" s="20">
        <f t="shared" si="7"/>
        <v>6.41</v>
      </c>
      <c r="O9" s="20">
        <f t="shared" si="7"/>
        <v>7.77</v>
      </c>
      <c r="P9" s="20">
        <f t="shared" si="7"/>
        <v>9.78</v>
      </c>
      <c r="Q9" s="20">
        <f t="shared" si="7"/>
        <v>11.58</v>
      </c>
      <c r="R9" s="20">
        <f t="shared" si="7"/>
        <v>13.81</v>
      </c>
      <c r="S9" s="16" t="s">
        <v>1700</v>
      </c>
      <c r="T9" s="16"/>
      <c r="U9" s="22"/>
      <c r="V9" s="22">
        <v>0.4887</v>
      </c>
      <c r="W9" s="22">
        <v>0.5829</v>
      </c>
      <c r="X9" s="22">
        <v>0.7063</v>
      </c>
      <c r="Y9" s="22">
        <v>0.8889</v>
      </c>
      <c r="Z9" s="22">
        <v>1.0531</v>
      </c>
      <c r="AA9" s="22">
        <v>1.2556</v>
      </c>
    </row>
    <row r="10" ht="15" spans="1:27">
      <c r="A10" s="9" t="s">
        <v>1701</v>
      </c>
      <c r="B10" s="9"/>
      <c r="C10" s="19">
        <f t="shared" ref="C10:I10" si="8">L10*1000</f>
        <v>6890</v>
      </c>
      <c r="D10" s="19">
        <f t="shared" si="8"/>
        <v>8490</v>
      </c>
      <c r="E10" s="19">
        <f t="shared" si="8"/>
        <v>9940</v>
      </c>
      <c r="F10" s="19">
        <f t="shared" si="8"/>
        <v>12360</v>
      </c>
      <c r="G10" s="19">
        <f t="shared" si="8"/>
        <v>15120</v>
      </c>
      <c r="H10" s="19">
        <f t="shared" si="8"/>
        <v>18450</v>
      </c>
      <c r="I10" s="19">
        <f t="shared" si="8"/>
        <v>22030</v>
      </c>
      <c r="J10" s="9" t="s">
        <v>1701</v>
      </c>
      <c r="K10" s="9"/>
      <c r="L10" s="20">
        <f t="shared" ref="L10:R10" si="9">ROUND($O$2*U10/1000,2)</f>
        <v>6.89</v>
      </c>
      <c r="M10" s="20">
        <f t="shared" si="9"/>
        <v>8.49</v>
      </c>
      <c r="N10" s="20">
        <f t="shared" si="9"/>
        <v>9.94</v>
      </c>
      <c r="O10" s="20">
        <f t="shared" si="9"/>
        <v>12.36</v>
      </c>
      <c r="P10" s="20">
        <f t="shared" si="9"/>
        <v>15.12</v>
      </c>
      <c r="Q10" s="20">
        <f t="shared" si="9"/>
        <v>18.45</v>
      </c>
      <c r="R10" s="20">
        <f t="shared" si="9"/>
        <v>22.03</v>
      </c>
      <c r="S10" s="16" t="s">
        <v>1701</v>
      </c>
      <c r="T10" s="10"/>
      <c r="U10" s="22">
        <v>0.626</v>
      </c>
      <c r="V10" s="22">
        <v>0.7714</v>
      </c>
      <c r="W10" s="22">
        <v>0.9036</v>
      </c>
      <c r="X10" s="22">
        <v>1.1237</v>
      </c>
      <c r="Y10" s="22">
        <v>1.3743</v>
      </c>
      <c r="Z10" s="22">
        <v>1.6777</v>
      </c>
      <c r="AA10" s="22">
        <v>2.0029</v>
      </c>
    </row>
    <row r="11" ht="15" spans="1:27">
      <c r="A11" s="9" t="s">
        <v>1702</v>
      </c>
      <c r="B11" s="19">
        <f t="shared" ref="B11:I11" si="10">K11*1000</f>
        <v>6160</v>
      </c>
      <c r="C11" s="19">
        <f t="shared" si="10"/>
        <v>9470</v>
      </c>
      <c r="D11" s="19">
        <f t="shared" si="10"/>
        <v>11610</v>
      </c>
      <c r="E11" s="19">
        <f t="shared" si="10"/>
        <v>14220</v>
      </c>
      <c r="F11" s="19">
        <f t="shared" si="10"/>
        <v>17440</v>
      </c>
      <c r="G11" s="19">
        <f t="shared" si="10"/>
        <v>21390</v>
      </c>
      <c r="H11" s="19">
        <f t="shared" si="10"/>
        <v>26230</v>
      </c>
      <c r="I11" s="19">
        <f t="shared" si="10"/>
        <v>31110</v>
      </c>
      <c r="J11" s="9" t="s">
        <v>1702</v>
      </c>
      <c r="K11" s="20">
        <f t="shared" ref="K11:R11" si="11">ROUND($O$2*T11/1000,2)</f>
        <v>6.16</v>
      </c>
      <c r="L11" s="20">
        <f t="shared" si="11"/>
        <v>9.47</v>
      </c>
      <c r="M11" s="20">
        <f t="shared" si="11"/>
        <v>11.61</v>
      </c>
      <c r="N11" s="20">
        <f t="shared" si="11"/>
        <v>14.22</v>
      </c>
      <c r="O11" s="20">
        <f t="shared" si="11"/>
        <v>17.44</v>
      </c>
      <c r="P11" s="20">
        <f t="shared" si="11"/>
        <v>21.39</v>
      </c>
      <c r="Q11" s="20">
        <f t="shared" si="11"/>
        <v>26.23</v>
      </c>
      <c r="R11" s="20">
        <f t="shared" si="11"/>
        <v>31.11</v>
      </c>
      <c r="S11" s="23" t="s">
        <v>1702</v>
      </c>
      <c r="T11" s="24">
        <v>0.56</v>
      </c>
      <c r="U11" s="25">
        <v>0.8611</v>
      </c>
      <c r="V11" s="22">
        <v>1.0553</v>
      </c>
      <c r="W11" s="22">
        <v>1.2924</v>
      </c>
      <c r="X11" s="22">
        <v>1.5857</v>
      </c>
      <c r="Y11" s="22">
        <v>1.9443</v>
      </c>
      <c r="Z11" s="22">
        <v>2.3843</v>
      </c>
      <c r="AA11" s="22">
        <v>2.8278</v>
      </c>
    </row>
    <row r="12" ht="15" spans="1:27">
      <c r="A12" s="9" t="s">
        <v>1703</v>
      </c>
      <c r="B12" s="19">
        <f t="shared" ref="B12:I12" si="12">K12*1000</f>
        <v>9100</v>
      </c>
      <c r="C12" s="19">
        <f t="shared" si="12"/>
        <v>13610</v>
      </c>
      <c r="D12" s="19">
        <f t="shared" si="12"/>
        <v>16810</v>
      </c>
      <c r="E12" s="19">
        <f t="shared" si="12"/>
        <v>20360</v>
      </c>
      <c r="F12" s="19">
        <f t="shared" si="12"/>
        <v>25260</v>
      </c>
      <c r="G12" s="19">
        <f t="shared" si="12"/>
        <v>32310</v>
      </c>
      <c r="H12" s="19">
        <f t="shared" si="12"/>
        <v>37460</v>
      </c>
      <c r="I12" s="19">
        <f t="shared" si="12"/>
        <v>44790</v>
      </c>
      <c r="J12" s="9" t="s">
        <v>1703</v>
      </c>
      <c r="K12" s="20">
        <f t="shared" ref="K12:R12" si="13">ROUND($O$2*T12/1000,2)</f>
        <v>9.1</v>
      </c>
      <c r="L12" s="20">
        <f t="shared" si="13"/>
        <v>13.61</v>
      </c>
      <c r="M12" s="20">
        <f t="shared" si="13"/>
        <v>16.81</v>
      </c>
      <c r="N12" s="20">
        <f t="shared" si="13"/>
        <v>20.36</v>
      </c>
      <c r="O12" s="20">
        <f t="shared" si="13"/>
        <v>25.26</v>
      </c>
      <c r="P12" s="20">
        <f t="shared" si="13"/>
        <v>32.31</v>
      </c>
      <c r="Q12" s="20">
        <f t="shared" si="13"/>
        <v>37.46</v>
      </c>
      <c r="R12" s="20">
        <f t="shared" si="13"/>
        <v>44.79</v>
      </c>
      <c r="S12" s="23" t="s">
        <v>1703</v>
      </c>
      <c r="T12" s="24">
        <v>0.827</v>
      </c>
      <c r="U12" s="25">
        <v>1.2373</v>
      </c>
      <c r="V12" s="22">
        <v>1.528</v>
      </c>
      <c r="W12" s="22">
        <v>1.8512</v>
      </c>
      <c r="X12" s="22">
        <v>2.2963</v>
      </c>
      <c r="Y12" s="22">
        <v>2.937</v>
      </c>
      <c r="Z12" s="22">
        <v>3.4055</v>
      </c>
      <c r="AA12" s="22">
        <v>4.0721</v>
      </c>
    </row>
    <row r="13" ht="15" spans="1:27">
      <c r="A13" s="9" t="s">
        <v>1704</v>
      </c>
      <c r="B13" s="19">
        <f t="shared" ref="B13:I13" si="14">K13*1000</f>
        <v>13920</v>
      </c>
      <c r="C13" s="19">
        <f t="shared" si="14"/>
        <v>16270</v>
      </c>
      <c r="D13" s="19">
        <f t="shared" si="14"/>
        <v>20260</v>
      </c>
      <c r="E13" s="19">
        <f t="shared" si="14"/>
        <v>24720</v>
      </c>
      <c r="F13" s="19">
        <f t="shared" si="14"/>
        <v>30620</v>
      </c>
      <c r="G13" s="19">
        <f t="shared" si="14"/>
        <v>37630</v>
      </c>
      <c r="H13" s="19">
        <f t="shared" si="14"/>
        <v>46360</v>
      </c>
      <c r="I13" s="19">
        <f t="shared" si="14"/>
        <v>55830</v>
      </c>
      <c r="J13" s="9" t="s">
        <v>1704</v>
      </c>
      <c r="K13" s="20">
        <f t="shared" ref="K13:R13" si="15">ROUND($O$2*T13/1000,2)</f>
        <v>13.92</v>
      </c>
      <c r="L13" s="20">
        <f t="shared" si="15"/>
        <v>16.27</v>
      </c>
      <c r="M13" s="20">
        <f t="shared" si="15"/>
        <v>20.26</v>
      </c>
      <c r="N13" s="20">
        <f t="shared" si="15"/>
        <v>24.72</v>
      </c>
      <c r="O13" s="20">
        <f t="shared" si="15"/>
        <v>30.62</v>
      </c>
      <c r="P13" s="20">
        <f t="shared" si="15"/>
        <v>37.63</v>
      </c>
      <c r="Q13" s="20">
        <f t="shared" si="15"/>
        <v>46.36</v>
      </c>
      <c r="R13" s="20">
        <f t="shared" si="15"/>
        <v>55.83</v>
      </c>
      <c r="S13" s="23" t="s">
        <v>1704</v>
      </c>
      <c r="T13" s="24">
        <v>1.265</v>
      </c>
      <c r="U13" s="25">
        <v>1.4792</v>
      </c>
      <c r="V13" s="22">
        <v>1.8416</v>
      </c>
      <c r="W13" s="22">
        <v>2.2469</v>
      </c>
      <c r="X13" s="22">
        <v>2.7838</v>
      </c>
      <c r="Y13" s="22">
        <v>3.4208</v>
      </c>
      <c r="Z13" s="22">
        <v>4.2147</v>
      </c>
      <c r="AA13" s="22">
        <v>5.0758</v>
      </c>
    </row>
    <row r="14" ht="15" spans="1:27">
      <c r="A14" s="9" t="s">
        <v>1705</v>
      </c>
      <c r="B14" s="19">
        <f t="shared" ref="B14:I14" si="16">K14*1000</f>
        <v>16390</v>
      </c>
      <c r="C14" s="19">
        <f t="shared" si="16"/>
        <v>21310</v>
      </c>
      <c r="D14" s="19">
        <f t="shared" si="16"/>
        <v>26150</v>
      </c>
      <c r="E14" s="19">
        <f t="shared" si="16"/>
        <v>32120</v>
      </c>
      <c r="F14" s="19">
        <f t="shared" si="16"/>
        <v>39400</v>
      </c>
      <c r="G14" s="19">
        <f t="shared" si="16"/>
        <v>48770</v>
      </c>
      <c r="H14" s="19">
        <f t="shared" si="16"/>
        <v>59680</v>
      </c>
      <c r="I14" s="19">
        <f t="shared" si="16"/>
        <v>72600</v>
      </c>
      <c r="J14" s="9" t="s">
        <v>1705</v>
      </c>
      <c r="K14" s="20">
        <f t="shared" ref="K14:R14" si="17">ROUND($O$2*T14/1000,2)</f>
        <v>16.39</v>
      </c>
      <c r="L14" s="20">
        <f t="shared" si="17"/>
        <v>21.31</v>
      </c>
      <c r="M14" s="20">
        <f t="shared" si="17"/>
        <v>26.15</v>
      </c>
      <c r="N14" s="20">
        <f t="shared" si="17"/>
        <v>32.12</v>
      </c>
      <c r="O14" s="20">
        <f t="shared" si="17"/>
        <v>39.4</v>
      </c>
      <c r="P14" s="20">
        <f t="shared" si="17"/>
        <v>48.77</v>
      </c>
      <c r="Q14" s="20">
        <f t="shared" si="17"/>
        <v>59.68</v>
      </c>
      <c r="R14" s="20">
        <f t="shared" si="17"/>
        <v>72.6</v>
      </c>
      <c r="S14" s="23" t="s">
        <v>1705</v>
      </c>
      <c r="T14" s="24">
        <v>1.49</v>
      </c>
      <c r="U14" s="25">
        <v>1.9371</v>
      </c>
      <c r="V14" s="22">
        <v>2.3774</v>
      </c>
      <c r="W14" s="22">
        <v>2.9199</v>
      </c>
      <c r="X14" s="22">
        <v>3.5814</v>
      </c>
      <c r="Y14" s="22">
        <v>4.434</v>
      </c>
      <c r="Z14" s="22">
        <v>5.4254</v>
      </c>
      <c r="AA14" s="22">
        <v>6.6</v>
      </c>
    </row>
    <row r="15" ht="15" spans="1:27">
      <c r="A15" s="9" t="s">
        <v>1706</v>
      </c>
      <c r="B15" s="19">
        <f t="shared" ref="B15:I15" si="18">K15*1000</f>
        <v>22960</v>
      </c>
      <c r="C15" s="19">
        <f t="shared" si="18"/>
        <v>26680</v>
      </c>
      <c r="D15" s="19">
        <f t="shared" si="18"/>
        <v>32450</v>
      </c>
      <c r="E15" s="19">
        <f t="shared" si="18"/>
        <v>40460</v>
      </c>
      <c r="F15" s="19">
        <f t="shared" si="18"/>
        <v>49590</v>
      </c>
      <c r="G15" s="19">
        <f t="shared" si="18"/>
        <v>61600</v>
      </c>
      <c r="H15" s="19">
        <f t="shared" si="18"/>
        <v>74940</v>
      </c>
      <c r="I15" s="19">
        <f t="shared" si="18"/>
        <v>90620</v>
      </c>
      <c r="J15" s="9" t="s">
        <v>1706</v>
      </c>
      <c r="K15" s="20">
        <f t="shared" ref="K15:R15" si="19">ROUND($O$2*T15/1000,2)</f>
        <v>22.96</v>
      </c>
      <c r="L15" s="20">
        <f t="shared" si="19"/>
        <v>26.68</v>
      </c>
      <c r="M15" s="20">
        <f t="shared" si="19"/>
        <v>32.45</v>
      </c>
      <c r="N15" s="20">
        <f t="shared" si="19"/>
        <v>40.46</v>
      </c>
      <c r="O15" s="20">
        <f t="shared" si="19"/>
        <v>49.59</v>
      </c>
      <c r="P15" s="20">
        <f t="shared" si="19"/>
        <v>61.6</v>
      </c>
      <c r="Q15" s="20">
        <f t="shared" si="19"/>
        <v>74.94</v>
      </c>
      <c r="R15" s="20">
        <f t="shared" si="19"/>
        <v>90.62</v>
      </c>
      <c r="S15" s="23" t="s">
        <v>1706</v>
      </c>
      <c r="T15" s="24">
        <v>2.087</v>
      </c>
      <c r="U15" s="25">
        <v>2.4254</v>
      </c>
      <c r="V15" s="22">
        <v>2.9496</v>
      </c>
      <c r="W15" s="22">
        <v>3.678</v>
      </c>
      <c r="X15" s="22">
        <v>4.5078</v>
      </c>
      <c r="Y15" s="22">
        <v>5.5998</v>
      </c>
      <c r="Z15" s="22">
        <v>6.8123</v>
      </c>
      <c r="AA15" s="22">
        <v>8.2383</v>
      </c>
    </row>
    <row r="16" ht="15" spans="1:27">
      <c r="A16" s="9" t="s">
        <v>1707</v>
      </c>
      <c r="B16" s="19">
        <f t="shared" ref="B16:I16" si="20">K16*1000</f>
        <v>28330</v>
      </c>
      <c r="C16" s="19">
        <f t="shared" si="20"/>
        <v>34540</v>
      </c>
      <c r="D16" s="19">
        <f t="shared" si="20"/>
        <v>42300</v>
      </c>
      <c r="E16" s="19">
        <f t="shared" si="20"/>
        <v>52990</v>
      </c>
      <c r="F16" s="19">
        <f t="shared" si="20"/>
        <v>64920</v>
      </c>
      <c r="G16" s="19">
        <f t="shared" si="20"/>
        <v>79150</v>
      </c>
      <c r="H16" s="19">
        <f t="shared" si="20"/>
        <v>98060</v>
      </c>
      <c r="I16" s="19">
        <f t="shared" si="20"/>
        <v>118750</v>
      </c>
      <c r="J16" s="9" t="s">
        <v>1707</v>
      </c>
      <c r="K16" s="20">
        <f t="shared" ref="K16:R16" si="21">ROUND($O$2*T16/1000,2)</f>
        <v>28.33</v>
      </c>
      <c r="L16" s="20">
        <f t="shared" si="21"/>
        <v>34.54</v>
      </c>
      <c r="M16" s="20">
        <f t="shared" si="21"/>
        <v>42.3</v>
      </c>
      <c r="N16" s="20">
        <f t="shared" si="21"/>
        <v>52.99</v>
      </c>
      <c r="O16" s="20">
        <f t="shared" si="21"/>
        <v>64.92</v>
      </c>
      <c r="P16" s="20">
        <f t="shared" si="21"/>
        <v>79.15</v>
      </c>
      <c r="Q16" s="20">
        <f t="shared" si="21"/>
        <v>98.06</v>
      </c>
      <c r="R16" s="20">
        <f t="shared" si="21"/>
        <v>118.75</v>
      </c>
      <c r="S16" s="23" t="s">
        <v>1707</v>
      </c>
      <c r="T16" s="24">
        <v>2.575</v>
      </c>
      <c r="U16" s="25">
        <v>3.1401</v>
      </c>
      <c r="V16" s="22">
        <v>3.8456</v>
      </c>
      <c r="W16" s="22">
        <v>4.817</v>
      </c>
      <c r="X16" s="22">
        <v>5.9022</v>
      </c>
      <c r="Y16" s="22">
        <v>7.1951</v>
      </c>
      <c r="Z16" s="22">
        <v>8.9141</v>
      </c>
      <c r="AA16" s="22">
        <v>10.7954</v>
      </c>
    </row>
    <row r="17" ht="15" spans="1:27">
      <c r="A17" s="9" t="s">
        <v>1708</v>
      </c>
      <c r="B17" s="19">
        <f t="shared" ref="B17:I17" si="22">K17*1000</f>
        <v>34250</v>
      </c>
      <c r="C17" s="19">
        <f t="shared" si="22"/>
        <v>42980</v>
      </c>
      <c r="D17" s="19">
        <f t="shared" si="22"/>
        <v>53470</v>
      </c>
      <c r="E17" s="19">
        <f t="shared" si="22"/>
        <v>66380</v>
      </c>
      <c r="F17" s="19">
        <f t="shared" si="22"/>
        <v>81510</v>
      </c>
      <c r="G17" s="19">
        <f t="shared" si="22"/>
        <v>102440</v>
      </c>
      <c r="H17" s="19">
        <f t="shared" si="22"/>
        <v>124300</v>
      </c>
      <c r="I17" s="19">
        <f t="shared" si="22"/>
        <v>150320</v>
      </c>
      <c r="J17" s="9" t="s">
        <v>1708</v>
      </c>
      <c r="K17" s="20">
        <f t="shared" ref="K17:R17" si="23">ROUND($O$2*T17/1000,2)</f>
        <v>34.25</v>
      </c>
      <c r="L17" s="20">
        <f t="shared" si="23"/>
        <v>42.98</v>
      </c>
      <c r="M17" s="20">
        <f t="shared" si="23"/>
        <v>53.47</v>
      </c>
      <c r="N17" s="20">
        <f t="shared" si="23"/>
        <v>66.38</v>
      </c>
      <c r="O17" s="20">
        <f t="shared" si="23"/>
        <v>81.51</v>
      </c>
      <c r="P17" s="20">
        <f t="shared" si="23"/>
        <v>102.44</v>
      </c>
      <c r="Q17" s="20">
        <f t="shared" si="23"/>
        <v>124.3</v>
      </c>
      <c r="R17" s="20">
        <f t="shared" si="23"/>
        <v>150.32</v>
      </c>
      <c r="S17" s="23" t="s">
        <v>1708</v>
      </c>
      <c r="T17" s="24">
        <v>3.114</v>
      </c>
      <c r="U17" s="25">
        <v>3.9071</v>
      </c>
      <c r="V17" s="22">
        <v>4.8608</v>
      </c>
      <c r="W17" s="22">
        <v>6.0346</v>
      </c>
      <c r="X17" s="22">
        <v>7.4098</v>
      </c>
      <c r="Y17" s="22">
        <v>9.3123</v>
      </c>
      <c r="Z17" s="22">
        <v>11.3001</v>
      </c>
      <c r="AA17" s="22">
        <v>13.6653</v>
      </c>
    </row>
    <row r="18" ht="15" spans="1:27">
      <c r="A18" s="9" t="s">
        <v>1709</v>
      </c>
      <c r="B18" s="19">
        <f t="shared" ref="B18:I18" si="24">K18*1000</f>
        <v>42210</v>
      </c>
      <c r="C18" s="19">
        <f t="shared" si="24"/>
        <v>53450</v>
      </c>
      <c r="D18" s="19">
        <f t="shared" si="24"/>
        <v>67090</v>
      </c>
      <c r="E18" s="19">
        <f t="shared" si="24"/>
        <v>82420</v>
      </c>
      <c r="F18" s="19">
        <f t="shared" si="24"/>
        <v>104240</v>
      </c>
      <c r="G18" s="19">
        <f t="shared" si="24"/>
        <v>126010</v>
      </c>
      <c r="H18" s="19">
        <f t="shared" si="24"/>
        <v>153610</v>
      </c>
      <c r="I18" s="19">
        <f t="shared" si="24"/>
        <v>186090</v>
      </c>
      <c r="J18" s="9" t="s">
        <v>1709</v>
      </c>
      <c r="K18" s="20">
        <f t="shared" ref="K18:R18" si="25">ROUND($O$2*T18/1000,2)</f>
        <v>42.21</v>
      </c>
      <c r="L18" s="20">
        <f t="shared" si="25"/>
        <v>53.45</v>
      </c>
      <c r="M18" s="20">
        <f t="shared" si="25"/>
        <v>67.09</v>
      </c>
      <c r="N18" s="20">
        <f t="shared" si="25"/>
        <v>82.42</v>
      </c>
      <c r="O18" s="20">
        <f t="shared" si="25"/>
        <v>104.24</v>
      </c>
      <c r="P18" s="20">
        <f t="shared" si="25"/>
        <v>126.01</v>
      </c>
      <c r="Q18" s="20">
        <f t="shared" si="25"/>
        <v>153.61</v>
      </c>
      <c r="R18" s="20">
        <f t="shared" si="25"/>
        <v>186.09</v>
      </c>
      <c r="S18" s="23" t="s">
        <v>1709</v>
      </c>
      <c r="T18" s="24">
        <v>3.837</v>
      </c>
      <c r="U18" s="25">
        <v>4.8592</v>
      </c>
      <c r="V18" s="22">
        <v>6.0994</v>
      </c>
      <c r="W18" s="22">
        <v>7.4926</v>
      </c>
      <c r="X18" s="22">
        <v>9.4761</v>
      </c>
      <c r="Y18" s="22">
        <v>11.4555</v>
      </c>
      <c r="Z18" s="22">
        <v>13.9648</v>
      </c>
      <c r="AA18" s="22">
        <v>16.9172</v>
      </c>
    </row>
    <row r="19" ht="15" spans="1:27">
      <c r="A19" s="9" t="s">
        <v>1710</v>
      </c>
      <c r="B19" s="19">
        <f t="shared" ref="B19:H19" si="26">K19*1000</f>
        <v>55110</v>
      </c>
      <c r="C19" s="19">
        <f t="shared" si="26"/>
        <v>67570</v>
      </c>
      <c r="D19" s="19">
        <f t="shared" si="26"/>
        <v>84020</v>
      </c>
      <c r="E19" s="19">
        <f t="shared" si="26"/>
        <v>103460</v>
      </c>
      <c r="F19" s="19">
        <f t="shared" si="26"/>
        <v>128860</v>
      </c>
      <c r="G19" s="19">
        <f t="shared" si="26"/>
        <v>160160</v>
      </c>
      <c r="H19" s="19">
        <f t="shared" si="26"/>
        <v>194760</v>
      </c>
      <c r="I19" s="18"/>
      <c r="J19" s="9" t="s">
        <v>1710</v>
      </c>
      <c r="K19" s="20">
        <f t="shared" ref="K19:Q19" si="27">ROUND($O$2*T19/1000,2)</f>
        <v>55.11</v>
      </c>
      <c r="L19" s="20">
        <f t="shared" si="27"/>
        <v>67.57</v>
      </c>
      <c r="M19" s="20">
        <f t="shared" si="27"/>
        <v>84.02</v>
      </c>
      <c r="N19" s="20">
        <f t="shared" si="27"/>
        <v>103.46</v>
      </c>
      <c r="O19" s="20">
        <f t="shared" si="27"/>
        <v>128.86</v>
      </c>
      <c r="P19" s="20">
        <f t="shared" si="27"/>
        <v>160.16</v>
      </c>
      <c r="Q19" s="20">
        <f t="shared" si="27"/>
        <v>194.76</v>
      </c>
      <c r="R19" s="18"/>
      <c r="S19" s="23" t="s">
        <v>1710</v>
      </c>
      <c r="T19" s="24">
        <v>5.01</v>
      </c>
      <c r="U19" s="25">
        <v>6.1425</v>
      </c>
      <c r="V19" s="22">
        <v>7.6384</v>
      </c>
      <c r="W19" s="22">
        <v>9.4057</v>
      </c>
      <c r="X19" s="22">
        <v>11.7145</v>
      </c>
      <c r="Y19" s="22">
        <v>14.5597</v>
      </c>
      <c r="Z19" s="22">
        <v>17.7056</v>
      </c>
      <c r="AA19" s="22"/>
    </row>
    <row r="20" ht="15" spans="1:27">
      <c r="A20" s="9" t="s">
        <v>1711</v>
      </c>
      <c r="B20" s="19">
        <f t="shared" ref="B20:H20" si="28">K20*1000</f>
        <v>66320</v>
      </c>
      <c r="C20" s="19">
        <f t="shared" si="28"/>
        <v>84710</v>
      </c>
      <c r="D20" s="19">
        <f t="shared" si="28"/>
        <v>104260</v>
      </c>
      <c r="E20" s="19">
        <f t="shared" si="28"/>
        <v>128900</v>
      </c>
      <c r="F20" s="19">
        <f t="shared" si="28"/>
        <v>157790</v>
      </c>
      <c r="G20" s="19">
        <f t="shared" si="28"/>
        <v>195220</v>
      </c>
      <c r="H20" s="19">
        <f t="shared" si="28"/>
        <v>240660</v>
      </c>
      <c r="I20" s="18"/>
      <c r="J20" s="9" t="s">
        <v>1711</v>
      </c>
      <c r="K20" s="20">
        <f t="shared" ref="K20:Q20" si="29">ROUND($O$2*T20/1000,2)</f>
        <v>66.32</v>
      </c>
      <c r="L20" s="20">
        <f t="shared" si="29"/>
        <v>84.71</v>
      </c>
      <c r="M20" s="20">
        <f t="shared" si="29"/>
        <v>104.26</v>
      </c>
      <c r="N20" s="20">
        <f t="shared" si="29"/>
        <v>128.9</v>
      </c>
      <c r="O20" s="20">
        <f t="shared" si="29"/>
        <v>157.79</v>
      </c>
      <c r="P20" s="20">
        <f t="shared" si="29"/>
        <v>195.22</v>
      </c>
      <c r="Q20" s="20">
        <f t="shared" si="29"/>
        <v>240.66</v>
      </c>
      <c r="R20" s="18"/>
      <c r="S20" s="23" t="s">
        <v>1711</v>
      </c>
      <c r="T20" s="24">
        <v>6.029</v>
      </c>
      <c r="U20" s="25">
        <v>7.7013</v>
      </c>
      <c r="V20" s="22">
        <v>9.4781</v>
      </c>
      <c r="W20" s="22">
        <v>11.7183</v>
      </c>
      <c r="X20" s="22">
        <v>14.3448</v>
      </c>
      <c r="Y20" s="22">
        <v>17.7469</v>
      </c>
      <c r="Z20" s="22">
        <v>21.8783</v>
      </c>
      <c r="AA20" s="22"/>
    </row>
    <row r="21" ht="15" spans="1:27">
      <c r="A21" s="9" t="s">
        <v>1712</v>
      </c>
      <c r="B21" s="19">
        <f t="shared" ref="B21:H21" si="30">K21*1000</f>
        <v>84700</v>
      </c>
      <c r="C21" s="19">
        <f t="shared" si="30"/>
        <v>106040</v>
      </c>
      <c r="D21" s="19">
        <f t="shared" si="30"/>
        <v>131470</v>
      </c>
      <c r="E21" s="19">
        <f t="shared" si="30"/>
        <v>161920</v>
      </c>
      <c r="F21" s="19">
        <f t="shared" si="30"/>
        <v>200260</v>
      </c>
      <c r="G21" s="19">
        <f t="shared" si="30"/>
        <v>246510</v>
      </c>
      <c r="H21" s="19">
        <f t="shared" si="30"/>
        <v>303030</v>
      </c>
      <c r="I21" s="18"/>
      <c r="J21" s="9" t="s">
        <v>1712</v>
      </c>
      <c r="K21" s="20">
        <f t="shared" ref="K21:Q21" si="31">ROUND($O$2*T21/1000,2)</f>
        <v>84.7</v>
      </c>
      <c r="L21" s="20">
        <f t="shared" si="31"/>
        <v>106.04</v>
      </c>
      <c r="M21" s="20">
        <f t="shared" si="31"/>
        <v>131.47</v>
      </c>
      <c r="N21" s="20">
        <f t="shared" si="31"/>
        <v>161.92</v>
      </c>
      <c r="O21" s="20">
        <f t="shared" si="31"/>
        <v>200.26</v>
      </c>
      <c r="P21" s="20">
        <f t="shared" si="31"/>
        <v>246.51</v>
      </c>
      <c r="Q21" s="20">
        <f t="shared" si="31"/>
        <v>303.03</v>
      </c>
      <c r="R21" s="18"/>
      <c r="S21" s="23" t="s">
        <v>1712</v>
      </c>
      <c r="T21" s="24">
        <v>7.7</v>
      </c>
      <c r="U21" s="25">
        <v>9.64</v>
      </c>
      <c r="V21" s="22">
        <v>11.9522</v>
      </c>
      <c r="W21" s="22">
        <v>14.7198</v>
      </c>
      <c r="X21" s="22">
        <v>18.2057</v>
      </c>
      <c r="Y21" s="22">
        <v>22.41</v>
      </c>
      <c r="Z21" s="22">
        <v>27.5478</v>
      </c>
      <c r="AA21" s="22"/>
    </row>
    <row r="22" ht="15" spans="1:27">
      <c r="A22" s="9" t="s">
        <v>1713</v>
      </c>
      <c r="B22" s="19">
        <f t="shared" ref="B22:H22" si="32">K22*1000</f>
        <v>106630</v>
      </c>
      <c r="C22" s="19">
        <f t="shared" si="32"/>
        <v>133160</v>
      </c>
      <c r="D22" s="19">
        <f t="shared" si="32"/>
        <v>166470</v>
      </c>
      <c r="E22" s="19">
        <f t="shared" si="32"/>
        <v>206120</v>
      </c>
      <c r="F22" s="19">
        <f t="shared" si="32"/>
        <v>252360</v>
      </c>
      <c r="G22" s="19">
        <f t="shared" si="32"/>
        <v>310750</v>
      </c>
      <c r="H22" s="19">
        <f t="shared" si="32"/>
        <v>384580</v>
      </c>
      <c r="I22" s="18"/>
      <c r="J22" s="9" t="s">
        <v>1713</v>
      </c>
      <c r="K22" s="20">
        <f t="shared" ref="K22:Q22" si="33">ROUND($O$2*T22/1000,2)</f>
        <v>106.63</v>
      </c>
      <c r="L22" s="20">
        <f t="shared" si="33"/>
        <v>133.16</v>
      </c>
      <c r="M22" s="20">
        <f t="shared" si="33"/>
        <v>166.47</v>
      </c>
      <c r="N22" s="20">
        <f t="shared" si="33"/>
        <v>206.12</v>
      </c>
      <c r="O22" s="20">
        <f t="shared" si="33"/>
        <v>252.36</v>
      </c>
      <c r="P22" s="20">
        <f t="shared" si="33"/>
        <v>310.75</v>
      </c>
      <c r="Q22" s="20">
        <f t="shared" si="33"/>
        <v>384.58</v>
      </c>
      <c r="R22" s="18"/>
      <c r="S22" s="23" t="s">
        <v>1713</v>
      </c>
      <c r="T22" s="24">
        <v>9.694</v>
      </c>
      <c r="U22" s="25">
        <v>12.1052</v>
      </c>
      <c r="V22" s="22">
        <v>15.1333</v>
      </c>
      <c r="W22" s="22">
        <v>18.7378</v>
      </c>
      <c r="X22" s="22">
        <v>22.9414</v>
      </c>
      <c r="Y22" s="22">
        <v>28.25</v>
      </c>
      <c r="Z22" s="22">
        <v>34.9614</v>
      </c>
      <c r="AA22" s="22"/>
    </row>
    <row r="23" ht="15" spans="1:27">
      <c r="A23" s="9" t="s">
        <v>1714</v>
      </c>
      <c r="B23" s="26"/>
      <c r="C23" s="19">
        <f t="shared" ref="C23:H23" si="34">L23*1000</f>
        <v>170340</v>
      </c>
      <c r="D23" s="19">
        <f t="shared" si="34"/>
        <v>211470</v>
      </c>
      <c r="E23" s="19">
        <f t="shared" si="34"/>
        <v>261430</v>
      </c>
      <c r="F23" s="19">
        <f t="shared" si="34"/>
        <v>321210</v>
      </c>
      <c r="G23" s="19">
        <f t="shared" si="34"/>
        <v>395670</v>
      </c>
      <c r="H23" s="19">
        <f t="shared" si="34"/>
        <v>489330</v>
      </c>
      <c r="I23" s="18"/>
      <c r="J23" s="9" t="s">
        <v>1714</v>
      </c>
      <c r="K23" s="26"/>
      <c r="L23" s="20">
        <f t="shared" ref="L23:Q23" si="35">ROUND($O$2*U23/1000,2)</f>
        <v>170.34</v>
      </c>
      <c r="M23" s="20">
        <f t="shared" si="35"/>
        <v>211.47</v>
      </c>
      <c r="N23" s="20">
        <f t="shared" si="35"/>
        <v>261.43</v>
      </c>
      <c r="O23" s="20">
        <f t="shared" si="35"/>
        <v>321.21</v>
      </c>
      <c r="P23" s="20">
        <f t="shared" si="35"/>
        <v>395.67</v>
      </c>
      <c r="Q23" s="20">
        <f t="shared" si="35"/>
        <v>489.33</v>
      </c>
      <c r="R23" s="18"/>
      <c r="S23" s="23" t="s">
        <v>1714</v>
      </c>
      <c r="T23" s="24"/>
      <c r="U23" s="25">
        <v>15.4857</v>
      </c>
      <c r="V23" s="22">
        <v>19.2246</v>
      </c>
      <c r="W23" s="22">
        <v>23.7668</v>
      </c>
      <c r="X23" s="22">
        <v>29.2006</v>
      </c>
      <c r="Y23" s="22">
        <v>35.97</v>
      </c>
      <c r="Z23" s="22">
        <v>44.4849</v>
      </c>
      <c r="AA23" s="22"/>
    </row>
    <row r="24" ht="15" spans="1:27">
      <c r="A24" s="9" t="s">
        <v>1715</v>
      </c>
      <c r="B24" s="19">
        <f t="shared" ref="B24:H24" si="36">K24*1000</f>
        <v>167840</v>
      </c>
      <c r="C24" s="19">
        <f t="shared" si="36"/>
        <v>216470</v>
      </c>
      <c r="D24" s="19">
        <f t="shared" si="36"/>
        <v>269990</v>
      </c>
      <c r="E24" s="19">
        <f t="shared" si="36"/>
        <v>332230</v>
      </c>
      <c r="F24" s="19">
        <f t="shared" si="36"/>
        <v>410620</v>
      </c>
      <c r="G24" s="19">
        <f t="shared" si="36"/>
        <v>503580</v>
      </c>
      <c r="H24" s="19">
        <f t="shared" si="36"/>
        <v>624030</v>
      </c>
      <c r="I24" s="18"/>
      <c r="J24" s="9" t="s">
        <v>1715</v>
      </c>
      <c r="K24" s="20">
        <f t="shared" ref="K24:Q24" si="37">ROUND($O$2*T24/1000,2)</f>
        <v>167.84</v>
      </c>
      <c r="L24" s="20">
        <f t="shared" si="37"/>
        <v>216.47</v>
      </c>
      <c r="M24" s="20">
        <f t="shared" si="37"/>
        <v>269.99</v>
      </c>
      <c r="N24" s="20">
        <f t="shared" si="37"/>
        <v>332.23</v>
      </c>
      <c r="O24" s="20">
        <f t="shared" si="37"/>
        <v>410.62</v>
      </c>
      <c r="P24" s="20">
        <f t="shared" si="37"/>
        <v>503.58</v>
      </c>
      <c r="Q24" s="20">
        <f t="shared" si="37"/>
        <v>624.03</v>
      </c>
      <c r="R24" s="18"/>
      <c r="S24" s="23" t="s">
        <v>1715</v>
      </c>
      <c r="T24" s="24">
        <v>15.258</v>
      </c>
      <c r="U24" s="25">
        <v>19.6794</v>
      </c>
      <c r="V24" s="22">
        <v>24.5442</v>
      </c>
      <c r="W24" s="22">
        <v>30.2023</v>
      </c>
      <c r="X24" s="22">
        <v>37.329</v>
      </c>
      <c r="Y24" s="22">
        <v>45.78</v>
      </c>
      <c r="Z24" s="22">
        <v>56.7297</v>
      </c>
      <c r="AA24" s="22"/>
    </row>
    <row r="25" ht="15" spans="1:27">
      <c r="A25" s="9" t="s">
        <v>1716</v>
      </c>
      <c r="B25" s="26"/>
      <c r="C25" s="19">
        <f t="shared" ref="C25:H25" si="38">L25*1000</f>
        <v>273760</v>
      </c>
      <c r="D25" s="19">
        <f t="shared" si="38"/>
        <v>340720</v>
      </c>
      <c r="E25" s="19">
        <f t="shared" si="38"/>
        <v>420670</v>
      </c>
      <c r="F25" s="19">
        <f t="shared" si="38"/>
        <v>520740</v>
      </c>
      <c r="G25" s="19">
        <f t="shared" si="38"/>
        <v>638220</v>
      </c>
      <c r="H25" s="19">
        <f t="shared" si="38"/>
        <v>794340</v>
      </c>
      <c r="I25" s="18"/>
      <c r="J25" s="9" t="s">
        <v>1716</v>
      </c>
      <c r="K25" s="26"/>
      <c r="L25" s="20">
        <f t="shared" ref="L25:Q25" si="39">ROUND($O$2*U25/1000,2)</f>
        <v>273.76</v>
      </c>
      <c r="M25" s="20">
        <f t="shared" si="39"/>
        <v>340.72</v>
      </c>
      <c r="N25" s="20">
        <f t="shared" si="39"/>
        <v>420.67</v>
      </c>
      <c r="O25" s="20">
        <f t="shared" si="39"/>
        <v>520.74</v>
      </c>
      <c r="P25" s="20">
        <f t="shared" si="39"/>
        <v>638.22</v>
      </c>
      <c r="Q25" s="20">
        <f t="shared" si="39"/>
        <v>794.34</v>
      </c>
      <c r="R25" s="18"/>
      <c r="S25" s="23" t="s">
        <v>1716</v>
      </c>
      <c r="T25" s="24"/>
      <c r="U25" s="25">
        <v>24.8877</v>
      </c>
      <c r="V25" s="22">
        <v>30.9748</v>
      </c>
      <c r="W25" s="22">
        <v>38.2429</v>
      </c>
      <c r="X25" s="22">
        <v>47.3397</v>
      </c>
      <c r="Y25" s="22">
        <v>58.02</v>
      </c>
      <c r="Z25" s="22">
        <v>72.2129</v>
      </c>
      <c r="AA25" s="22"/>
    </row>
    <row r="26" ht="15" spans="1:27">
      <c r="A26" s="27" t="s">
        <v>1717</v>
      </c>
      <c r="B26" s="28">
        <f t="shared" ref="B26:H26" si="40">K26*1000</f>
        <v>256880</v>
      </c>
      <c r="C26" s="28">
        <f t="shared" si="40"/>
        <v>340070</v>
      </c>
      <c r="D26" s="28">
        <f t="shared" si="40"/>
        <v>419420</v>
      </c>
      <c r="E26" s="28">
        <f t="shared" si="40"/>
        <v>525800</v>
      </c>
      <c r="F26" s="28">
        <f t="shared" si="40"/>
        <v>642360</v>
      </c>
      <c r="G26" s="28">
        <f t="shared" si="40"/>
        <v>791560</v>
      </c>
      <c r="H26" s="28">
        <f t="shared" si="40"/>
        <v>989600</v>
      </c>
      <c r="I26" s="29"/>
      <c r="J26" s="27" t="s">
        <v>1717</v>
      </c>
      <c r="K26" s="30">
        <f t="shared" ref="K26:Q26" si="41">ROUND($O$2*T26/1000,2)</f>
        <v>256.88</v>
      </c>
      <c r="L26" s="30">
        <f t="shared" si="41"/>
        <v>340.07</v>
      </c>
      <c r="M26" s="20">
        <f t="shared" si="41"/>
        <v>419.42</v>
      </c>
      <c r="N26" s="20">
        <f t="shared" si="41"/>
        <v>525.8</v>
      </c>
      <c r="O26" s="20">
        <f t="shared" si="41"/>
        <v>642.36</v>
      </c>
      <c r="P26" s="20">
        <f t="shared" si="41"/>
        <v>791.56</v>
      </c>
      <c r="Q26" s="20">
        <f t="shared" si="41"/>
        <v>989.6</v>
      </c>
      <c r="R26" s="18"/>
      <c r="S26" s="23" t="s">
        <v>1717</v>
      </c>
      <c r="T26" s="24">
        <v>23.353</v>
      </c>
      <c r="U26" s="25">
        <v>30.9153</v>
      </c>
      <c r="V26" s="22">
        <v>38.1289</v>
      </c>
      <c r="W26" s="22">
        <v>47.8</v>
      </c>
      <c r="X26" s="22">
        <v>58.3963</v>
      </c>
      <c r="Y26" s="22">
        <v>71.96</v>
      </c>
      <c r="Z26" s="22">
        <v>89.9635</v>
      </c>
      <c r="AA26" s="22"/>
    </row>
  </sheetData>
  <mergeCells count="6">
    <mergeCell ref="C3:I3"/>
    <mergeCell ref="L3:R3"/>
    <mergeCell ref="T3:AA3"/>
    <mergeCell ref="A3:A4"/>
    <mergeCell ref="J3:J4"/>
    <mergeCell ref="S3:S4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3"/>
  <sheetViews>
    <sheetView tabSelected="1" workbookViewId="0">
      <selection activeCell="I19" sqref="I19"/>
    </sheetView>
  </sheetViews>
  <sheetFormatPr defaultColWidth="9" defaultRowHeight="14.25" outlineLevelCol="6"/>
  <cols>
    <col min="1" max="1" width="6.375" customWidth="1"/>
    <col min="2" max="2" width="26.25" customWidth="1"/>
  </cols>
  <sheetData>
    <row r="1" ht="20.25" spans="1:7">
      <c r="A1" s="965" t="s">
        <v>32</v>
      </c>
      <c r="B1" s="965"/>
      <c r="C1" s="965"/>
      <c r="D1" s="965"/>
      <c r="E1" s="965"/>
      <c r="F1" s="965"/>
      <c r="G1" s="965"/>
    </row>
    <row r="2" ht="19" customHeight="1" spans="1:7">
      <c r="A2" s="966"/>
      <c r="B2" s="966"/>
      <c r="C2" s="967"/>
      <c r="D2" s="967"/>
      <c r="E2" s="968" t="s">
        <v>33</v>
      </c>
      <c r="F2" s="968"/>
      <c r="G2" s="968"/>
    </row>
    <row r="3" ht="21" customHeight="1" spans="1:7">
      <c r="A3" s="969" t="s">
        <v>34</v>
      </c>
      <c r="B3" s="970" t="s">
        <v>2</v>
      </c>
      <c r="C3" s="970" t="s">
        <v>35</v>
      </c>
      <c r="D3" s="970"/>
      <c r="E3" s="970"/>
      <c r="F3" s="970"/>
      <c r="G3" s="971"/>
    </row>
    <row r="4" ht="24.75" spans="1:7">
      <c r="A4" s="972"/>
      <c r="B4" s="973"/>
      <c r="C4" s="974" t="s">
        <v>36</v>
      </c>
      <c r="D4" s="974" t="s">
        <v>37</v>
      </c>
      <c r="E4" s="974" t="s">
        <v>38</v>
      </c>
      <c r="F4" s="973" t="s">
        <v>39</v>
      </c>
      <c r="G4" s="975" t="s">
        <v>40</v>
      </c>
    </row>
    <row r="5" ht="30" customHeight="1" spans="1:7">
      <c r="A5" s="976"/>
      <c r="B5" s="977" t="s">
        <v>41</v>
      </c>
      <c r="C5" s="978">
        <f>C6</f>
        <v>19.7684119856399</v>
      </c>
      <c r="D5" s="978">
        <f>SUM(D6:D7)</f>
        <v>0</v>
      </c>
      <c r="E5" s="978"/>
      <c r="F5" s="978">
        <f>SUM(C5:E5)</f>
        <v>19.7684119856399</v>
      </c>
      <c r="G5" s="979">
        <f>F5/$F$23</f>
        <v>0.887587094483646</v>
      </c>
    </row>
    <row r="6" ht="30" customHeight="1" spans="1:7">
      <c r="A6" s="980" t="s">
        <v>8</v>
      </c>
      <c r="B6" s="981" t="str">
        <f>维修养护!B4</f>
        <v>黄河六顷地控导工程维修加固</v>
      </c>
      <c r="C6" s="982">
        <f>维修养护!F4/10000</f>
        <v>19.7684119856399</v>
      </c>
      <c r="D6" s="982"/>
      <c r="E6" s="982"/>
      <c r="F6" s="982">
        <f>C6</f>
        <v>19.7684119856399</v>
      </c>
      <c r="G6" s="983">
        <f>F6/$F$23</f>
        <v>0.887587094483646</v>
      </c>
    </row>
    <row r="7" ht="30" customHeight="1" spans="1:7">
      <c r="A7" s="980">
        <v>1</v>
      </c>
      <c r="B7" s="981" t="str">
        <f>维修养护!B5</f>
        <v>六顷地26#-27#联坝维修加固</v>
      </c>
      <c r="C7" s="982">
        <f>维修养护!F5/10000</f>
        <v>19.7684119856399</v>
      </c>
      <c r="D7" s="982"/>
      <c r="E7" s="982"/>
      <c r="F7" s="982">
        <f>C7</f>
        <v>19.7684119856399</v>
      </c>
      <c r="G7" s="983">
        <f>F7/$F$23</f>
        <v>0.887587094483646</v>
      </c>
    </row>
    <row r="8" ht="30" customHeight="1" spans="1:7">
      <c r="A8" s="980"/>
      <c r="B8" s="977" t="s">
        <v>42</v>
      </c>
      <c r="C8" s="978"/>
      <c r="D8" s="978"/>
      <c r="E8" s="978"/>
      <c r="F8" s="978"/>
      <c r="G8" s="983"/>
    </row>
    <row r="9" ht="30" customHeight="1" spans="1:7">
      <c r="A9" s="980"/>
      <c r="B9" s="977" t="s">
        <v>43</v>
      </c>
      <c r="C9" s="978"/>
      <c r="D9" s="978"/>
      <c r="E9" s="984"/>
      <c r="F9" s="978"/>
      <c r="G9" s="983"/>
    </row>
    <row r="10" ht="30" customHeight="1" spans="1:7">
      <c r="A10" s="980"/>
      <c r="B10" s="985" t="s">
        <v>44</v>
      </c>
      <c r="C10" s="978">
        <f>C5+C8+C9</f>
        <v>19.7684119856399</v>
      </c>
      <c r="D10" s="978"/>
      <c r="E10" s="984"/>
      <c r="F10" s="978">
        <f>C10+D10</f>
        <v>19.7684119856399</v>
      </c>
      <c r="G10" s="983">
        <f t="shared" ref="G10:G21" si="0">F10/$F$23</f>
        <v>0.887587094483646</v>
      </c>
    </row>
    <row r="11" ht="30" customHeight="1" spans="1:7">
      <c r="A11" s="976"/>
      <c r="B11" s="977" t="s">
        <v>45</v>
      </c>
      <c r="C11" s="978">
        <f>SUM(C12:C12)</f>
        <v>0.296526179784598</v>
      </c>
      <c r="D11" s="978"/>
      <c r="E11" s="978"/>
      <c r="F11" s="978">
        <f t="shared" ref="F11:F17" si="1">SUM(C11:E11)</f>
        <v>0.296526179784598</v>
      </c>
      <c r="G11" s="983">
        <f t="shared" si="0"/>
        <v>0.0133138064172547</v>
      </c>
    </row>
    <row r="12" ht="30" customHeight="1" spans="1:7">
      <c r="A12" s="980"/>
      <c r="B12" s="986" t="s">
        <v>46</v>
      </c>
      <c r="C12" s="982">
        <f>F5*1.5%</f>
        <v>0.296526179784598</v>
      </c>
      <c r="D12" s="982"/>
      <c r="E12" s="982"/>
      <c r="F12" s="982">
        <f>C12</f>
        <v>0.296526179784598</v>
      </c>
      <c r="G12" s="983">
        <f t="shared" si="0"/>
        <v>0.0133138064172547</v>
      </c>
    </row>
    <row r="13" ht="30" customHeight="1" spans="1:7">
      <c r="A13" s="976"/>
      <c r="B13" s="985" t="s">
        <v>47</v>
      </c>
      <c r="C13" s="978">
        <f>C5+C8+C9+C11</f>
        <v>20.0649381654245</v>
      </c>
      <c r="D13" s="978">
        <f>D5+D8+D9+D11</f>
        <v>0</v>
      </c>
      <c r="E13" s="978"/>
      <c r="F13" s="978">
        <f>D13+C13</f>
        <v>20.0649381654245</v>
      </c>
      <c r="G13" s="983">
        <f t="shared" si="0"/>
        <v>0.900900900900901</v>
      </c>
    </row>
    <row r="14" ht="30" customHeight="1" spans="1:7">
      <c r="A14" s="976"/>
      <c r="B14" s="985" t="s">
        <v>48</v>
      </c>
      <c r="C14" s="987"/>
      <c r="D14" s="987"/>
      <c r="E14" s="987">
        <f>E15+E16+E17+E18</f>
        <v>2.20714319819669</v>
      </c>
      <c r="F14" s="978">
        <f t="shared" si="1"/>
        <v>2.20714319819669</v>
      </c>
      <c r="G14" s="983">
        <f t="shared" si="0"/>
        <v>0.0990990990990991</v>
      </c>
    </row>
    <row r="15" ht="30" customHeight="1" spans="1:7">
      <c r="A15" s="40" t="s">
        <v>8</v>
      </c>
      <c r="B15" s="68" t="s">
        <v>49</v>
      </c>
      <c r="C15" s="988"/>
      <c r="D15" s="988"/>
      <c r="E15" s="988">
        <f>F13*2%</f>
        <v>0.401298763308489</v>
      </c>
      <c r="F15" s="982">
        <f>E15</f>
        <v>0.401298763308489</v>
      </c>
      <c r="G15" s="983">
        <f t="shared" si="0"/>
        <v>0.018018018018018</v>
      </c>
    </row>
    <row r="16" ht="30" customHeight="1" spans="1:7">
      <c r="A16" s="40" t="s">
        <v>10</v>
      </c>
      <c r="B16" s="68" t="s">
        <v>50</v>
      </c>
      <c r="C16" s="988"/>
      <c r="D16" s="988"/>
      <c r="E16" s="988">
        <f>F13*2%</f>
        <v>0.401298763308489</v>
      </c>
      <c r="F16" s="982">
        <f>SUM(C16:E16)</f>
        <v>0.401298763308489</v>
      </c>
      <c r="G16" s="983">
        <f t="shared" si="0"/>
        <v>0.018018018018018</v>
      </c>
    </row>
    <row r="17" ht="30" customHeight="1" spans="1:7">
      <c r="A17" s="989" t="s">
        <v>12</v>
      </c>
      <c r="B17" s="990" t="s">
        <v>51</v>
      </c>
      <c r="C17" s="988"/>
      <c r="D17" s="988"/>
      <c r="E17" s="988">
        <f>F13*4%</f>
        <v>0.802597526616979</v>
      </c>
      <c r="F17" s="982">
        <f t="shared" si="1"/>
        <v>0.802597526616979</v>
      </c>
      <c r="G17" s="983">
        <f t="shared" si="0"/>
        <v>0.036036036036036</v>
      </c>
    </row>
    <row r="18" ht="30" customHeight="1" spans="1:7">
      <c r="A18" s="991" t="s">
        <v>15</v>
      </c>
      <c r="B18" s="990" t="s">
        <v>52</v>
      </c>
      <c r="C18" s="988"/>
      <c r="D18" s="988"/>
      <c r="E18" s="988">
        <f>SUM(E19:E20)</f>
        <v>0.601948144962734</v>
      </c>
      <c r="F18" s="982">
        <f>F19+F20</f>
        <v>0.601948144962734</v>
      </c>
      <c r="G18" s="983">
        <f t="shared" si="0"/>
        <v>0.027027027027027</v>
      </c>
    </row>
    <row r="19" ht="30" customHeight="1" spans="1:7">
      <c r="A19" s="991" t="s">
        <v>17</v>
      </c>
      <c r="B19" s="68" t="s">
        <v>53</v>
      </c>
      <c r="C19" s="988"/>
      <c r="D19" s="988"/>
      <c r="E19" s="988">
        <f>F13*2.5%</f>
        <v>0.501623454135612</v>
      </c>
      <c r="F19" s="982">
        <f t="shared" ref="F19:F21" si="2">SUM(C19:E19)</f>
        <v>0.501623454135612</v>
      </c>
      <c r="G19" s="983">
        <f t="shared" si="0"/>
        <v>0.0225225225225225</v>
      </c>
    </row>
    <row r="20" ht="30" customHeight="1" spans="1:7">
      <c r="A20" s="991" t="s">
        <v>19</v>
      </c>
      <c r="B20" s="68" t="s">
        <v>54</v>
      </c>
      <c r="C20" s="988"/>
      <c r="D20" s="988"/>
      <c r="E20" s="988">
        <f>F13*0.5%</f>
        <v>0.100324690827122</v>
      </c>
      <c r="F20" s="982">
        <f t="shared" si="2"/>
        <v>0.100324690827122</v>
      </c>
      <c r="G20" s="983">
        <f t="shared" si="0"/>
        <v>0.0045045045045045</v>
      </c>
    </row>
    <row r="21" ht="30" customHeight="1" spans="1:7">
      <c r="A21" s="976"/>
      <c r="B21" s="985" t="s">
        <v>55</v>
      </c>
      <c r="C21" s="987">
        <f>C13+C14</f>
        <v>20.0649381654245</v>
      </c>
      <c r="D21" s="987">
        <f>D13+D14</f>
        <v>0</v>
      </c>
      <c r="E21" s="987">
        <f>E13+E14</f>
        <v>2.20714319819669</v>
      </c>
      <c r="F21" s="978">
        <f t="shared" si="2"/>
        <v>22.2720813636212</v>
      </c>
      <c r="G21" s="983">
        <f t="shared" si="0"/>
        <v>1</v>
      </c>
    </row>
    <row r="22" ht="30" customHeight="1" spans="1:7">
      <c r="A22" s="992" t="s">
        <v>56</v>
      </c>
      <c r="B22" s="993"/>
      <c r="C22" s="994"/>
      <c r="D22" s="995"/>
      <c r="E22" s="996"/>
      <c r="F22" s="997"/>
      <c r="G22" s="983"/>
    </row>
    <row r="23" ht="30" customHeight="1" spans="1:7">
      <c r="A23" s="998" t="s">
        <v>57</v>
      </c>
      <c r="B23" s="999" t="s">
        <v>58</v>
      </c>
      <c r="C23" s="1000"/>
      <c r="D23" s="1000"/>
      <c r="E23" s="1000"/>
      <c r="F23" s="1001">
        <f>F21</f>
        <v>22.2720813636212</v>
      </c>
      <c r="G23" s="1002">
        <f>F23/$F$23</f>
        <v>1</v>
      </c>
    </row>
  </sheetData>
  <mergeCells count="7">
    <mergeCell ref="A1:G1"/>
    <mergeCell ref="A2:B2"/>
    <mergeCell ref="E2:G2"/>
    <mergeCell ref="C3:G3"/>
    <mergeCell ref="A22:B22"/>
    <mergeCell ref="A3:A4"/>
    <mergeCell ref="B3:B4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P134"/>
  <sheetViews>
    <sheetView workbookViewId="0">
      <selection activeCell="E14" sqref="E14"/>
    </sheetView>
  </sheetViews>
  <sheetFormatPr defaultColWidth="9" defaultRowHeight="14.25"/>
  <cols>
    <col min="1" max="1" width="4.375" style="895" customWidth="1"/>
    <col min="2" max="2" width="28.25" style="896" customWidth="1"/>
    <col min="3" max="3" width="4.875" style="897" customWidth="1"/>
    <col min="4" max="4" width="8.375" style="898" customWidth="1"/>
    <col min="5" max="5" width="8.75" style="898" customWidth="1"/>
    <col min="6" max="6" width="11.75" style="899" customWidth="1"/>
    <col min="7" max="7" width="11.625" style="900" customWidth="1"/>
    <col min="8" max="8" width="11.5" style="901"/>
    <col min="9" max="9" width="14.125" style="901"/>
    <col min="10" max="10" width="20.5" style="901" customWidth="1"/>
    <col min="11" max="11" width="9.375" style="901"/>
    <col min="12" max="12" width="12.625" style="901" customWidth="1"/>
    <col min="13" max="13" width="10.375" style="902"/>
    <col min="14" max="14" width="11.5" style="902" customWidth="1"/>
    <col min="15" max="15" width="10.375"/>
    <col min="16" max="16" width="9.375"/>
  </cols>
  <sheetData>
    <row r="1" ht="32.1" customHeight="1" spans="1:14">
      <c r="A1" s="903" t="s">
        <v>59</v>
      </c>
      <c r="B1" s="903"/>
      <c r="C1" s="903"/>
      <c r="D1" s="903"/>
      <c r="E1" s="903"/>
      <c r="F1" s="903"/>
      <c r="G1" s="903"/>
    </row>
    <row r="2" ht="18.95" customHeight="1" spans="1:14">
      <c r="A2" s="904" t="s">
        <v>1</v>
      </c>
      <c r="B2" s="905" t="s">
        <v>2</v>
      </c>
      <c r="C2" s="906" t="s">
        <v>60</v>
      </c>
      <c r="D2" s="907" t="s">
        <v>61</v>
      </c>
      <c r="E2" s="907" t="s">
        <v>62</v>
      </c>
      <c r="F2" s="908" t="s">
        <v>63</v>
      </c>
      <c r="G2" s="909" t="s">
        <v>64</v>
      </c>
    </row>
    <row r="3" ht="23.1" customHeight="1" spans="1:14">
      <c r="A3" s="910" t="s">
        <v>65</v>
      </c>
      <c r="B3" s="911"/>
      <c r="C3" s="912"/>
      <c r="D3" s="913"/>
      <c r="E3" s="913"/>
      <c r="F3" s="914">
        <f>F4</f>
        <v>197684.119856399</v>
      </c>
      <c r="G3" s="915"/>
    </row>
    <row r="4" s="893" customFormat="1" ht="23.1" customHeight="1" spans="1:14">
      <c r="A4" s="910" t="s">
        <v>8</v>
      </c>
      <c r="B4" s="911" t="s">
        <v>66</v>
      </c>
      <c r="C4" s="916" t="s">
        <v>67</v>
      </c>
      <c r="D4" s="917">
        <f>D5</f>
        <v>50</v>
      </c>
      <c r="E4" s="917"/>
      <c r="F4" s="914">
        <f>F5</f>
        <v>197684.119856399</v>
      </c>
      <c r="G4" s="915"/>
      <c r="H4" s="918"/>
      <c r="I4" s="918"/>
      <c r="J4" s="918"/>
      <c r="K4" s="918"/>
      <c r="L4" s="918"/>
      <c r="M4" s="919"/>
      <c r="N4" s="919"/>
    </row>
    <row r="5" s="893" customFormat="1" spans="1:14">
      <c r="A5" s="920">
        <v>1</v>
      </c>
      <c r="B5" s="911" t="s">
        <v>68</v>
      </c>
      <c r="C5" s="916" t="s">
        <v>67</v>
      </c>
      <c r="D5" s="917">
        <v>50</v>
      </c>
      <c r="E5" s="917"/>
      <c r="F5" s="914">
        <f>SUM(F6:F9)</f>
        <v>197684.119856399</v>
      </c>
      <c r="G5" s="921"/>
      <c r="H5" s="918"/>
      <c r="I5" s="918"/>
      <c r="J5" s="918"/>
      <c r="K5" s="918"/>
      <c r="L5" s="918"/>
      <c r="M5" s="919"/>
      <c r="N5" s="919"/>
    </row>
    <row r="6" s="894" customFormat="1" ht="20" customHeight="1" spans="1:14">
      <c r="A6" s="922"/>
      <c r="B6" s="923" t="s">
        <v>69</v>
      </c>
      <c r="C6" s="924" t="s">
        <v>70</v>
      </c>
      <c r="D6" s="913">
        <f>D7</f>
        <v>2400</v>
      </c>
      <c r="E6" s="913">
        <f>建筑工程单价!D31/100+建筑工程单价!D200/100</f>
        <v>9.32455337632048</v>
      </c>
      <c r="F6" s="925">
        <f>D6*E6</f>
        <v>22378.9281031692</v>
      </c>
      <c r="G6" s="926"/>
      <c r="H6" s="927"/>
      <c r="I6" s="927"/>
      <c r="J6" s="927"/>
      <c r="K6" s="927"/>
      <c r="L6" s="927"/>
      <c r="M6" s="928"/>
      <c r="N6" s="928"/>
    </row>
    <row r="7" s="894" customFormat="1" ht="20" customHeight="1" spans="1:14">
      <c r="A7" s="922"/>
      <c r="B7" s="923" t="s">
        <v>71</v>
      </c>
      <c r="C7" s="924" t="s">
        <v>70</v>
      </c>
      <c r="D7" s="913">
        <f>15*3.2*D5</f>
        <v>2400</v>
      </c>
      <c r="E7" s="913">
        <f>建筑工程单价!D20/100</f>
        <v>10.3937054044041</v>
      </c>
      <c r="F7" s="925">
        <f>D7*E7</f>
        <v>24944.8929705698</v>
      </c>
      <c r="G7" s="926"/>
      <c r="H7" s="927"/>
      <c r="I7" s="927"/>
      <c r="J7" s="927"/>
      <c r="K7" s="927"/>
      <c r="L7" s="927"/>
      <c r="M7" s="928"/>
      <c r="N7" s="928"/>
    </row>
    <row r="8" s="894" customFormat="1" ht="20" customHeight="1" spans="1:14">
      <c r="A8" s="922"/>
      <c r="B8" s="923" t="s">
        <v>72</v>
      </c>
      <c r="C8" s="925" t="s">
        <v>70</v>
      </c>
      <c r="D8" s="929">
        <f>(3.3+5)*5.5*0.25*D5</f>
        <v>570.625</v>
      </c>
      <c r="E8" s="930">
        <f>建筑工程单价!D203/100</f>
        <v>173.855706881901</v>
      </c>
      <c r="F8" s="925">
        <f>D8*E8</f>
        <v>99206.4127394849</v>
      </c>
      <c r="G8" s="921"/>
      <c r="H8" s="927"/>
      <c r="I8" s="927"/>
      <c r="J8" s="927"/>
      <c r="K8" s="927"/>
      <c r="L8" s="927"/>
      <c r="M8" s="928"/>
      <c r="N8" s="928"/>
    </row>
    <row r="9" s="894" customFormat="1" ht="20" customHeight="1" spans="1:14">
      <c r="A9" s="922"/>
      <c r="B9" s="923" t="s">
        <v>73</v>
      </c>
      <c r="C9" s="925" t="s">
        <v>70</v>
      </c>
      <c r="D9" s="929">
        <f>1.82*100</f>
        <v>182</v>
      </c>
      <c r="E9" s="931">
        <f>建筑工程单价!D206/100</f>
        <v>281.065307929531</v>
      </c>
      <c r="F9" s="925">
        <f>D9*E9</f>
        <v>51153.8860431747</v>
      </c>
      <c r="G9" s="921"/>
      <c r="H9" s="927"/>
      <c r="I9" s="927"/>
      <c r="J9" s="927"/>
      <c r="K9" s="927"/>
      <c r="L9" s="927"/>
      <c r="M9" s="928"/>
      <c r="N9" s="928"/>
    </row>
    <row r="10" s="894" customFormat="1" ht="20" customHeight="1" spans="1:14">
      <c r="A10" s="932"/>
      <c r="B10" s="911"/>
      <c r="C10" s="916"/>
      <c r="D10" s="917"/>
      <c r="E10" s="917"/>
      <c r="F10" s="914"/>
      <c r="G10" s="921"/>
      <c r="H10" s="927"/>
      <c r="I10" s="927"/>
      <c r="J10" s="927"/>
      <c r="K10" s="927"/>
      <c r="L10" s="927"/>
      <c r="M10" s="928"/>
      <c r="N10" s="928"/>
    </row>
    <row r="11" s="894" customFormat="1" ht="20" customHeight="1" spans="1:14">
      <c r="A11" s="920"/>
      <c r="B11" s="933"/>
      <c r="C11" s="934"/>
      <c r="D11" s="935"/>
      <c r="E11" s="936"/>
      <c r="F11" s="937"/>
      <c r="G11" s="921"/>
      <c r="H11" s="927"/>
      <c r="I11" s="927"/>
      <c r="J11" s="927"/>
      <c r="K11" s="927"/>
      <c r="L11" s="927"/>
      <c r="M11" s="928"/>
      <c r="N11" s="928"/>
    </row>
    <row r="12" s="894" customFormat="1" ht="23.1" customHeight="1" spans="1:14">
      <c r="A12" s="938"/>
      <c r="B12" s="939"/>
      <c r="C12" s="940"/>
      <c r="D12" s="941"/>
      <c r="E12" s="941"/>
      <c r="F12" s="942"/>
      <c r="G12" s="943"/>
      <c r="H12" s="927"/>
      <c r="I12" s="927"/>
      <c r="J12" s="927"/>
      <c r="K12" s="927"/>
      <c r="L12" s="927"/>
      <c r="M12" s="928"/>
      <c r="N12" s="928"/>
    </row>
    <row r="13" s="893" customFormat="1" ht="23.1" customHeight="1" spans="1:14">
      <c r="A13" s="894"/>
      <c r="B13" s="894"/>
      <c r="C13" s="894"/>
      <c r="D13" s="894"/>
      <c r="E13" s="894"/>
      <c r="F13" s="944"/>
      <c r="G13" s="895"/>
      <c r="H13" s="927"/>
      <c r="I13" s="918"/>
      <c r="J13" s="918"/>
      <c r="K13" s="918"/>
      <c r="L13" s="918"/>
      <c r="M13" s="919"/>
      <c r="N13" s="919"/>
    </row>
    <row r="14" s="893" customFormat="1" ht="23.1" customHeight="1" spans="1:14">
      <c r="A14" s="894"/>
      <c r="B14" s="894"/>
      <c r="C14" s="894"/>
      <c r="D14" s="894"/>
      <c r="E14" s="894"/>
      <c r="F14" s="894"/>
      <c r="G14" s="895"/>
      <c r="H14" s="927"/>
      <c r="I14" s="918"/>
      <c r="J14" s="918"/>
      <c r="K14" s="918"/>
      <c r="L14" s="918"/>
      <c r="M14" s="919"/>
      <c r="N14" s="919"/>
    </row>
    <row r="15" s="893" customFormat="1" ht="23.1" customHeight="1" spans="1:14">
      <c r="A15" s="894"/>
      <c r="B15" s="894"/>
      <c r="C15" s="894"/>
      <c r="D15" s="894"/>
      <c r="E15" s="894"/>
      <c r="F15" s="894"/>
      <c r="G15" s="895"/>
      <c r="H15" s="927"/>
      <c r="I15" s="918"/>
      <c r="J15" s="918"/>
      <c r="K15" s="918"/>
      <c r="L15" s="918"/>
      <c r="M15" s="919"/>
      <c r="N15" s="919"/>
    </row>
    <row r="16" s="893" customFormat="1" ht="18.95" customHeight="1" spans="1:14">
      <c r="A16" s="894"/>
      <c r="B16" s="894"/>
      <c r="C16" s="894"/>
      <c r="D16" s="894"/>
      <c r="E16" s="894"/>
      <c r="F16" s="894"/>
      <c r="G16" s="895"/>
      <c r="H16" s="927"/>
      <c r="I16" s="918"/>
      <c r="J16" s="918"/>
      <c r="K16" s="918"/>
      <c r="L16" s="918"/>
      <c r="M16" s="919"/>
      <c r="N16" s="919"/>
    </row>
    <row r="17" s="893" customFormat="1" ht="18.95" customHeight="1" spans="1:14">
      <c r="A17" s="895"/>
      <c r="B17" s="945"/>
      <c r="C17" s="895"/>
      <c r="D17" s="897"/>
      <c r="E17" s="897"/>
      <c r="F17" s="895"/>
      <c r="G17" s="895"/>
      <c r="H17" s="927"/>
      <c r="I17" s="918"/>
      <c r="J17" s="918"/>
      <c r="K17" s="918"/>
      <c r="L17" s="918"/>
      <c r="M17" s="919"/>
      <c r="N17" s="919"/>
    </row>
    <row r="18" s="893" customFormat="1" ht="18.95" customHeight="1" spans="1:14">
      <c r="A18" s="895"/>
      <c r="B18" s="945"/>
      <c r="C18" s="895"/>
      <c r="D18" s="897"/>
      <c r="E18" s="897"/>
      <c r="F18" s="895"/>
      <c r="G18" s="895"/>
      <c r="H18" s="927"/>
      <c r="I18" s="918"/>
      <c r="J18" s="918"/>
      <c r="K18" s="918"/>
      <c r="L18" s="918"/>
      <c r="M18" s="919"/>
      <c r="N18" s="919"/>
    </row>
    <row r="39" ht="22.5" spans="1:16">
      <c r="A39" s="946" t="s">
        <v>74</v>
      </c>
      <c r="B39" s="946"/>
      <c r="C39" s="946"/>
      <c r="D39" s="946"/>
      <c r="E39" s="946"/>
      <c r="F39" s="946"/>
      <c r="G39" s="946"/>
      <c r="H39" s="946"/>
    </row>
    <row r="40" spans="1:16">
      <c r="A40" s="947" t="s">
        <v>75</v>
      </c>
      <c r="B40" s="947"/>
      <c r="C40" s="947"/>
      <c r="D40" s="947"/>
      <c r="E40" s="947"/>
      <c r="F40" s="947"/>
      <c r="G40" s="948" t="s">
        <v>76</v>
      </c>
      <c r="H40" s="948"/>
    </row>
    <row r="41" ht="27" spans="1:16">
      <c r="A41" s="949" t="s">
        <v>1</v>
      </c>
      <c r="B41" s="949" t="s">
        <v>77</v>
      </c>
      <c r="C41" s="949" t="s">
        <v>60</v>
      </c>
      <c r="D41" s="949" t="s">
        <v>78</v>
      </c>
      <c r="E41" s="950" t="s">
        <v>79</v>
      </c>
      <c r="F41" s="949" t="s">
        <v>80</v>
      </c>
      <c r="G41" s="949" t="s">
        <v>81</v>
      </c>
      <c r="H41" s="949" t="s">
        <v>82</v>
      </c>
    </row>
    <row r="42" spans="1:16">
      <c r="A42" s="951" t="s">
        <v>83</v>
      </c>
      <c r="B42" s="951" t="s">
        <v>84</v>
      </c>
      <c r="C42" s="952" t="s">
        <v>83</v>
      </c>
      <c r="D42" s="953" t="s">
        <v>83</v>
      </c>
      <c r="E42" s="954" t="s">
        <v>83</v>
      </c>
      <c r="F42" s="953" t="s">
        <v>85</v>
      </c>
      <c r="G42" s="953" t="s">
        <v>86</v>
      </c>
      <c r="H42" s="953" t="s">
        <v>86</v>
      </c>
    </row>
    <row r="43" spans="1:16">
      <c r="A43" s="955" t="s">
        <v>17</v>
      </c>
      <c r="B43" s="955" t="s">
        <v>87</v>
      </c>
      <c r="C43" s="956" t="s">
        <v>88</v>
      </c>
      <c r="D43" s="957" t="s">
        <v>89</v>
      </c>
      <c r="E43" s="954" t="s">
        <v>90</v>
      </c>
      <c r="F43" s="957" t="s">
        <v>91</v>
      </c>
      <c r="G43" s="957" t="s">
        <v>92</v>
      </c>
      <c r="H43" s="957" t="s">
        <v>92</v>
      </c>
      <c r="J43" s="901">
        <f t="shared" ref="J43:J48" si="0">D43*100</f>
        <v>33.6</v>
      </c>
      <c r="K43" s="901">
        <f>G43/J43</f>
        <v>97.6821428571428</v>
      </c>
      <c r="L43" s="901">
        <f>J43*K43</f>
        <v>3282.12</v>
      </c>
      <c r="M43" s="902">
        <f>G43-L43</f>
        <v>0</v>
      </c>
      <c r="N43" s="958">
        <v>33.6</v>
      </c>
      <c r="O43" s="958">
        <v>59.04</v>
      </c>
      <c r="P43">
        <f>N43*O43</f>
        <v>1983.744</v>
      </c>
    </row>
    <row r="44" ht="22.5" spans="1:16">
      <c r="A44" s="955" t="s">
        <v>19</v>
      </c>
      <c r="B44" s="955" t="s">
        <v>93</v>
      </c>
      <c r="C44" s="956" t="s">
        <v>94</v>
      </c>
      <c r="D44" s="957" t="s">
        <v>95</v>
      </c>
      <c r="E44" s="954" t="s">
        <v>96</v>
      </c>
      <c r="F44" s="957" t="s">
        <v>97</v>
      </c>
      <c r="G44" s="957" t="s">
        <v>98</v>
      </c>
      <c r="H44" s="957" t="s">
        <v>98</v>
      </c>
      <c r="J44" s="901">
        <f t="shared" si="0"/>
        <v>40</v>
      </c>
      <c r="K44" s="901">
        <f t="shared" ref="K44:K75" si="1">G44/J44</f>
        <v>50.263</v>
      </c>
      <c r="L44" s="901">
        <f t="shared" ref="L44:L74" si="2">J44*K44</f>
        <v>2010.52</v>
      </c>
      <c r="M44" s="902">
        <f t="shared" ref="M44:M75" si="3">G44-L44</f>
        <v>0</v>
      </c>
      <c r="N44" s="958">
        <v>40</v>
      </c>
      <c r="O44" s="958">
        <v>36.5451</v>
      </c>
      <c r="P44">
        <f t="shared" ref="P44:P48" si="4">J44-N44</f>
        <v>0</v>
      </c>
    </row>
    <row r="45" spans="1:16">
      <c r="A45" s="951" t="s">
        <v>83</v>
      </c>
      <c r="B45" s="951" t="s">
        <v>99</v>
      </c>
      <c r="C45" s="952" t="s">
        <v>83</v>
      </c>
      <c r="D45" s="953" t="s">
        <v>83</v>
      </c>
      <c r="E45" s="954" t="s">
        <v>83</v>
      </c>
      <c r="F45" s="953" t="s">
        <v>100</v>
      </c>
      <c r="G45" s="953" t="s">
        <v>101</v>
      </c>
      <c r="H45" s="953" t="s">
        <v>101</v>
      </c>
      <c r="M45" s="902">
        <f t="shared" si="3"/>
        <v>4568.93</v>
      </c>
      <c r="N45" s="958"/>
      <c r="O45" s="958"/>
      <c r="P45">
        <f t="shared" si="4"/>
        <v>0</v>
      </c>
    </row>
    <row r="46" spans="1:16">
      <c r="A46" s="955" t="s">
        <v>21</v>
      </c>
      <c r="B46" s="955" t="s">
        <v>102</v>
      </c>
      <c r="C46" s="956" t="s">
        <v>94</v>
      </c>
      <c r="D46" s="957" t="s">
        <v>103</v>
      </c>
      <c r="E46" s="954" t="s">
        <v>104</v>
      </c>
      <c r="F46" s="957" t="s">
        <v>105</v>
      </c>
      <c r="G46" s="957" t="s">
        <v>106</v>
      </c>
      <c r="H46" s="957" t="s">
        <v>106</v>
      </c>
      <c r="J46" s="901">
        <f t="shared" si="0"/>
        <v>80.8</v>
      </c>
      <c r="K46" s="901">
        <f t="shared" si="1"/>
        <v>35.3105198019802</v>
      </c>
      <c r="L46" s="901">
        <f t="shared" si="2"/>
        <v>2853.09</v>
      </c>
      <c r="M46" s="902">
        <f t="shared" si="3"/>
        <v>0</v>
      </c>
      <c r="N46" s="958">
        <v>80.8</v>
      </c>
      <c r="O46" s="958">
        <v>21.342</v>
      </c>
      <c r="P46">
        <f t="shared" si="4"/>
        <v>0</v>
      </c>
    </row>
    <row r="47" spans="1:16">
      <c r="A47" s="955" t="s">
        <v>23</v>
      </c>
      <c r="B47" s="955" t="s">
        <v>107</v>
      </c>
      <c r="C47" s="956" t="s">
        <v>88</v>
      </c>
      <c r="D47" s="957" t="s">
        <v>108</v>
      </c>
      <c r="E47" s="954" t="s">
        <v>109</v>
      </c>
      <c r="F47" s="957" t="s">
        <v>110</v>
      </c>
      <c r="G47" s="957" t="s">
        <v>111</v>
      </c>
      <c r="H47" s="957" t="s">
        <v>111</v>
      </c>
      <c r="J47" s="901">
        <f t="shared" si="0"/>
        <v>42.24</v>
      </c>
      <c r="K47" s="901">
        <f t="shared" si="1"/>
        <v>1.66903409090909</v>
      </c>
      <c r="L47" s="901">
        <f t="shared" si="2"/>
        <v>70.5</v>
      </c>
      <c r="M47" s="902">
        <f t="shared" si="3"/>
        <v>0</v>
      </c>
      <c r="N47" s="958">
        <v>42.24</v>
      </c>
      <c r="O47" s="958">
        <v>1.0562</v>
      </c>
      <c r="P47">
        <f t="shared" si="4"/>
        <v>0</v>
      </c>
    </row>
    <row r="48" spans="1:16">
      <c r="A48" s="955" t="s">
        <v>25</v>
      </c>
      <c r="B48" s="955" t="s">
        <v>112</v>
      </c>
      <c r="C48" s="956" t="s">
        <v>94</v>
      </c>
      <c r="D48" s="957" t="s">
        <v>113</v>
      </c>
      <c r="E48" s="954" t="s">
        <v>114</v>
      </c>
      <c r="F48" s="957" t="s">
        <v>115</v>
      </c>
      <c r="G48" s="957" t="s">
        <v>116</v>
      </c>
      <c r="H48" s="957" t="s">
        <v>116</v>
      </c>
      <c r="J48" s="901">
        <f t="shared" si="0"/>
        <v>53</v>
      </c>
      <c r="K48" s="901">
        <f t="shared" si="1"/>
        <v>31.0441509433962</v>
      </c>
      <c r="L48" s="901">
        <f t="shared" si="2"/>
        <v>1645.34</v>
      </c>
      <c r="M48" s="902">
        <f t="shared" si="3"/>
        <v>0</v>
      </c>
      <c r="N48" s="958">
        <v>53</v>
      </c>
      <c r="O48" s="958">
        <v>19.4379</v>
      </c>
      <c r="P48">
        <f t="shared" si="4"/>
        <v>0</v>
      </c>
    </row>
    <row r="49" spans="1:16">
      <c r="A49" s="951" t="s">
        <v>83</v>
      </c>
      <c r="B49" s="951" t="s">
        <v>117</v>
      </c>
      <c r="C49" s="952" t="s">
        <v>83</v>
      </c>
      <c r="D49" s="953" t="s">
        <v>83</v>
      </c>
      <c r="E49" s="954" t="s">
        <v>83</v>
      </c>
      <c r="F49" s="953" t="s">
        <v>118</v>
      </c>
      <c r="G49" s="953" t="s">
        <v>119</v>
      </c>
      <c r="H49" s="953" t="s">
        <v>119</v>
      </c>
      <c r="M49" s="902">
        <f t="shared" si="3"/>
        <v>45427.53</v>
      </c>
      <c r="N49" s="958"/>
      <c r="O49" s="958"/>
      <c r="P49">
        <f t="shared" ref="P49:P80" si="5">J49-N49</f>
        <v>0</v>
      </c>
    </row>
    <row r="50" spans="1:16">
      <c r="A50" s="955" t="s">
        <v>27</v>
      </c>
      <c r="B50" s="955" t="s">
        <v>120</v>
      </c>
      <c r="C50" s="956" t="s">
        <v>121</v>
      </c>
      <c r="D50" s="957" t="s">
        <v>122</v>
      </c>
      <c r="E50" s="954" t="s">
        <v>123</v>
      </c>
      <c r="F50" s="957" t="s">
        <v>124</v>
      </c>
      <c r="G50" s="957" t="s">
        <v>125</v>
      </c>
      <c r="H50" s="957" t="s">
        <v>125</v>
      </c>
      <c r="J50" s="901">
        <f t="shared" ref="J50:J55" si="6">D50*10</f>
        <v>3.39</v>
      </c>
      <c r="K50" s="901">
        <f t="shared" si="1"/>
        <v>468.53982300885</v>
      </c>
      <c r="L50" s="901">
        <f t="shared" si="2"/>
        <v>1588.35</v>
      </c>
      <c r="M50" s="902">
        <f t="shared" si="3"/>
        <v>0</v>
      </c>
      <c r="N50" s="958">
        <v>3.39</v>
      </c>
      <c r="O50" s="958">
        <v>380.821</v>
      </c>
      <c r="P50">
        <f t="shared" si="5"/>
        <v>0</v>
      </c>
    </row>
    <row r="51" spans="1:16">
      <c r="A51" s="955" t="s">
        <v>29</v>
      </c>
      <c r="B51" s="955" t="s">
        <v>126</v>
      </c>
      <c r="C51" s="956" t="s">
        <v>88</v>
      </c>
      <c r="D51" s="957" t="s">
        <v>127</v>
      </c>
      <c r="E51" s="954" t="s">
        <v>128</v>
      </c>
      <c r="F51" s="957" t="s">
        <v>129</v>
      </c>
      <c r="G51" s="957" t="s">
        <v>130</v>
      </c>
      <c r="H51" s="957" t="s">
        <v>130</v>
      </c>
      <c r="J51" s="901">
        <f t="shared" ref="J51:J56" si="7">D51*100</f>
        <v>3.96</v>
      </c>
      <c r="K51" s="901">
        <f t="shared" si="1"/>
        <v>50.4570707070707</v>
      </c>
      <c r="L51" s="901">
        <f t="shared" si="2"/>
        <v>199.81</v>
      </c>
      <c r="M51" s="902">
        <f t="shared" si="3"/>
        <v>0</v>
      </c>
      <c r="N51" s="958">
        <v>3.96</v>
      </c>
      <c r="O51" s="958">
        <v>37.8739</v>
      </c>
      <c r="P51">
        <f t="shared" si="5"/>
        <v>0</v>
      </c>
    </row>
    <row r="52" spans="1:16">
      <c r="A52" s="955" t="s">
        <v>131</v>
      </c>
      <c r="B52" s="955" t="s">
        <v>132</v>
      </c>
      <c r="C52" s="956" t="s">
        <v>121</v>
      </c>
      <c r="D52" s="957" t="s">
        <v>133</v>
      </c>
      <c r="E52" s="954" t="s">
        <v>134</v>
      </c>
      <c r="F52" s="957" t="s">
        <v>135</v>
      </c>
      <c r="G52" s="957" t="s">
        <v>136</v>
      </c>
      <c r="H52" s="957" t="s">
        <v>136</v>
      </c>
      <c r="J52" s="901">
        <f t="shared" si="6"/>
        <v>7.49</v>
      </c>
      <c r="K52" s="901">
        <f t="shared" si="1"/>
        <v>438.28437917223</v>
      </c>
      <c r="L52" s="901">
        <f t="shared" si="2"/>
        <v>3282.75</v>
      </c>
      <c r="M52" s="902">
        <f t="shared" si="3"/>
        <v>0</v>
      </c>
      <c r="N52" s="958">
        <v>7.49</v>
      </c>
      <c r="O52" s="958">
        <v>336.853</v>
      </c>
      <c r="P52">
        <f t="shared" si="5"/>
        <v>0</v>
      </c>
    </row>
    <row r="53" spans="1:16">
      <c r="A53" s="955" t="s">
        <v>137</v>
      </c>
      <c r="B53" s="955" t="s">
        <v>138</v>
      </c>
      <c r="C53" s="956" t="s">
        <v>88</v>
      </c>
      <c r="D53" s="957" t="s">
        <v>139</v>
      </c>
      <c r="E53" s="954" t="s">
        <v>128</v>
      </c>
      <c r="F53" s="957" t="s">
        <v>140</v>
      </c>
      <c r="G53" s="957" t="s">
        <v>141</v>
      </c>
      <c r="H53" s="957" t="s">
        <v>141</v>
      </c>
      <c r="J53" s="901">
        <f t="shared" si="7"/>
        <v>11.88</v>
      </c>
      <c r="K53" s="901">
        <f t="shared" si="1"/>
        <v>50.4579124579125</v>
      </c>
      <c r="L53" s="901">
        <f t="shared" si="2"/>
        <v>599.44</v>
      </c>
      <c r="M53" s="902">
        <f t="shared" si="3"/>
        <v>0</v>
      </c>
      <c r="N53" s="958">
        <v>11.88</v>
      </c>
      <c r="O53" s="958">
        <v>37.8739</v>
      </c>
      <c r="P53">
        <f t="shared" si="5"/>
        <v>0</v>
      </c>
    </row>
    <row r="54" spans="1:16">
      <c r="A54" s="955" t="s">
        <v>142</v>
      </c>
      <c r="B54" s="955" t="s">
        <v>143</v>
      </c>
      <c r="C54" s="956" t="s">
        <v>121</v>
      </c>
      <c r="D54" s="957" t="s">
        <v>144</v>
      </c>
      <c r="E54" s="954" t="s">
        <v>145</v>
      </c>
      <c r="F54" s="957" t="s">
        <v>146</v>
      </c>
      <c r="G54" s="957" t="s">
        <v>147</v>
      </c>
      <c r="H54" s="957" t="s">
        <v>147</v>
      </c>
      <c r="J54" s="901">
        <f t="shared" si="6"/>
        <v>14.83</v>
      </c>
      <c r="K54" s="901">
        <f t="shared" si="1"/>
        <v>324.738368172623</v>
      </c>
      <c r="L54" s="901">
        <f t="shared" si="2"/>
        <v>4815.87</v>
      </c>
      <c r="M54" s="902">
        <f t="shared" si="3"/>
        <v>0</v>
      </c>
      <c r="N54" s="958">
        <v>14.83</v>
      </c>
      <c r="O54" s="958">
        <v>222.923</v>
      </c>
      <c r="P54">
        <f t="shared" si="5"/>
        <v>0</v>
      </c>
    </row>
    <row r="55" spans="1:16">
      <c r="A55" s="955" t="s">
        <v>148</v>
      </c>
      <c r="B55" s="955" t="s">
        <v>149</v>
      </c>
      <c r="C55" s="956" t="s">
        <v>121</v>
      </c>
      <c r="D55" s="957" t="s">
        <v>150</v>
      </c>
      <c r="E55" s="954" t="s">
        <v>151</v>
      </c>
      <c r="F55" s="957" t="s">
        <v>152</v>
      </c>
      <c r="G55" s="957" t="s">
        <v>153</v>
      </c>
      <c r="H55" s="957" t="s">
        <v>153</v>
      </c>
      <c r="J55" s="901">
        <f t="shared" si="6"/>
        <v>2.5</v>
      </c>
      <c r="K55" s="901">
        <f t="shared" si="1"/>
        <v>532.472</v>
      </c>
      <c r="L55" s="901">
        <f t="shared" si="2"/>
        <v>1331.18</v>
      </c>
      <c r="M55" s="902">
        <f t="shared" si="3"/>
        <v>0</v>
      </c>
      <c r="N55" s="958">
        <v>2.5</v>
      </c>
      <c r="O55" s="958">
        <v>392.806</v>
      </c>
      <c r="P55">
        <f t="shared" si="5"/>
        <v>0</v>
      </c>
    </row>
    <row r="56" spans="1:16">
      <c r="A56" s="955" t="s">
        <v>154</v>
      </c>
      <c r="B56" s="955" t="s">
        <v>155</v>
      </c>
      <c r="C56" s="956" t="s">
        <v>88</v>
      </c>
      <c r="D56" s="957" t="s">
        <v>156</v>
      </c>
      <c r="E56" s="954" t="s">
        <v>157</v>
      </c>
      <c r="F56" s="957" t="s">
        <v>158</v>
      </c>
      <c r="G56" s="957" t="s">
        <v>159</v>
      </c>
      <c r="H56" s="957" t="s">
        <v>159</v>
      </c>
      <c r="J56" s="901">
        <f t="shared" si="7"/>
        <v>28.22</v>
      </c>
      <c r="K56" s="901">
        <f t="shared" si="1"/>
        <v>61.8043940467753</v>
      </c>
      <c r="L56" s="901">
        <f t="shared" si="2"/>
        <v>1744.12</v>
      </c>
      <c r="M56" s="902">
        <f t="shared" si="3"/>
        <v>0</v>
      </c>
      <c r="N56" s="958">
        <v>28.22</v>
      </c>
      <c r="O56" s="958">
        <v>45.3139</v>
      </c>
      <c r="P56">
        <f t="shared" si="5"/>
        <v>0</v>
      </c>
    </row>
    <row r="57" spans="1:16">
      <c r="A57" s="955" t="s">
        <v>160</v>
      </c>
      <c r="B57" s="955" t="s">
        <v>161</v>
      </c>
      <c r="C57" s="956" t="s">
        <v>121</v>
      </c>
      <c r="D57" s="957" t="s">
        <v>162</v>
      </c>
      <c r="E57" s="954" t="s">
        <v>163</v>
      </c>
      <c r="F57" s="957" t="s">
        <v>164</v>
      </c>
      <c r="G57" s="957" t="s">
        <v>165</v>
      </c>
      <c r="H57" s="957" t="s">
        <v>165</v>
      </c>
      <c r="J57" s="901">
        <f t="shared" ref="J57:J61" si="8">D57*10</f>
        <v>2.06</v>
      </c>
      <c r="K57" s="901">
        <f t="shared" si="1"/>
        <v>447.228155339806</v>
      </c>
      <c r="L57" s="901">
        <f t="shared" si="2"/>
        <v>921.29</v>
      </c>
      <c r="M57" s="902">
        <f t="shared" si="3"/>
        <v>0</v>
      </c>
      <c r="N57" s="958">
        <v>2.06</v>
      </c>
      <c r="O57" s="958">
        <v>343.054</v>
      </c>
      <c r="P57">
        <f t="shared" si="5"/>
        <v>0</v>
      </c>
    </row>
    <row r="58" spans="1:16">
      <c r="A58" s="955" t="s">
        <v>166</v>
      </c>
      <c r="B58" s="955" t="s">
        <v>167</v>
      </c>
      <c r="C58" s="956" t="s">
        <v>88</v>
      </c>
      <c r="D58" s="957" t="s">
        <v>168</v>
      </c>
      <c r="E58" s="954" t="s">
        <v>169</v>
      </c>
      <c r="F58" s="957" t="s">
        <v>170</v>
      </c>
      <c r="G58" s="957" t="s">
        <v>171</v>
      </c>
      <c r="H58" s="957" t="s">
        <v>171</v>
      </c>
      <c r="J58" s="901">
        <f>D58*100</f>
        <v>9.5</v>
      </c>
      <c r="K58" s="901">
        <f t="shared" si="1"/>
        <v>52.68</v>
      </c>
      <c r="L58" s="901">
        <f t="shared" si="2"/>
        <v>500.46</v>
      </c>
      <c r="M58" s="902">
        <f t="shared" si="3"/>
        <v>0</v>
      </c>
      <c r="N58" s="958">
        <v>9.5</v>
      </c>
      <c r="O58" s="958">
        <v>39.0148</v>
      </c>
      <c r="P58">
        <f t="shared" si="5"/>
        <v>0</v>
      </c>
    </row>
    <row r="59" spans="1:16">
      <c r="A59" s="955" t="s">
        <v>172</v>
      </c>
      <c r="B59" s="955" t="s">
        <v>173</v>
      </c>
      <c r="C59" s="956" t="s">
        <v>121</v>
      </c>
      <c r="D59" s="957" t="s">
        <v>174</v>
      </c>
      <c r="E59" s="954" t="s">
        <v>175</v>
      </c>
      <c r="F59" s="957" t="s">
        <v>176</v>
      </c>
      <c r="G59" s="957" t="s">
        <v>177</v>
      </c>
      <c r="H59" s="957" t="s">
        <v>177</v>
      </c>
      <c r="J59" s="901">
        <f t="shared" si="8"/>
        <v>23.88</v>
      </c>
      <c r="K59" s="901">
        <f t="shared" si="1"/>
        <v>337.834170854271</v>
      </c>
      <c r="L59" s="901">
        <f t="shared" si="2"/>
        <v>8067.48</v>
      </c>
      <c r="M59" s="902">
        <f t="shared" si="3"/>
        <v>0</v>
      </c>
      <c r="N59" s="958">
        <v>23.88</v>
      </c>
      <c r="O59" s="958">
        <v>262.114</v>
      </c>
      <c r="P59">
        <f t="shared" si="5"/>
        <v>0</v>
      </c>
    </row>
    <row r="60" spans="1:16">
      <c r="A60" s="955" t="s">
        <v>178</v>
      </c>
      <c r="B60" s="955" t="s">
        <v>179</v>
      </c>
      <c r="C60" s="956" t="s">
        <v>121</v>
      </c>
      <c r="D60" s="957" t="s">
        <v>180</v>
      </c>
      <c r="E60" s="954" t="s">
        <v>181</v>
      </c>
      <c r="F60" s="957" t="s">
        <v>182</v>
      </c>
      <c r="G60" s="957" t="s">
        <v>183</v>
      </c>
      <c r="H60" s="957" t="s">
        <v>183</v>
      </c>
      <c r="J60" s="901">
        <f t="shared" si="8"/>
        <v>4.22</v>
      </c>
      <c r="K60" s="901">
        <f t="shared" si="1"/>
        <v>346.774881516588</v>
      </c>
      <c r="L60" s="901">
        <f t="shared" si="2"/>
        <v>1463.39</v>
      </c>
      <c r="M60" s="902">
        <f t="shared" si="3"/>
        <v>0</v>
      </c>
      <c r="N60" s="958">
        <v>4.22</v>
      </c>
      <c r="O60" s="958">
        <v>267.84</v>
      </c>
      <c r="P60">
        <f t="shared" si="5"/>
        <v>0</v>
      </c>
    </row>
    <row r="61" spans="1:16">
      <c r="A61" s="955" t="s">
        <v>184</v>
      </c>
      <c r="B61" s="955" t="s">
        <v>185</v>
      </c>
      <c r="C61" s="956" t="s">
        <v>121</v>
      </c>
      <c r="D61" s="957" t="s">
        <v>186</v>
      </c>
      <c r="E61" s="954" t="s">
        <v>187</v>
      </c>
      <c r="F61" s="957" t="s">
        <v>188</v>
      </c>
      <c r="G61" s="957" t="s">
        <v>189</v>
      </c>
      <c r="H61" s="957" t="s">
        <v>189</v>
      </c>
      <c r="J61" s="901">
        <f t="shared" si="8"/>
        <v>2.49</v>
      </c>
      <c r="K61" s="901">
        <f t="shared" si="1"/>
        <v>528.823293172691</v>
      </c>
      <c r="L61" s="901">
        <f t="shared" si="2"/>
        <v>1316.77</v>
      </c>
      <c r="M61" s="902">
        <f t="shared" si="3"/>
        <v>0</v>
      </c>
      <c r="N61" s="958">
        <v>2.49</v>
      </c>
      <c r="O61" s="958">
        <v>392.478</v>
      </c>
      <c r="P61">
        <f t="shared" si="5"/>
        <v>0</v>
      </c>
    </row>
    <row r="62" spans="1:16">
      <c r="A62" s="955" t="s">
        <v>190</v>
      </c>
      <c r="B62" s="955" t="s">
        <v>191</v>
      </c>
      <c r="C62" s="956" t="s">
        <v>88</v>
      </c>
      <c r="D62" s="957" t="s">
        <v>192</v>
      </c>
      <c r="E62" s="954" t="s">
        <v>193</v>
      </c>
      <c r="F62" s="957" t="s">
        <v>194</v>
      </c>
      <c r="G62" s="957" t="s">
        <v>195</v>
      </c>
      <c r="H62" s="957" t="s">
        <v>195</v>
      </c>
      <c r="J62" s="901">
        <f t="shared" ref="J62:J69" si="9">D62*100</f>
        <v>14.26</v>
      </c>
      <c r="K62" s="901">
        <f t="shared" si="1"/>
        <v>55.4354838709677</v>
      </c>
      <c r="L62" s="901">
        <f t="shared" si="2"/>
        <v>790.51</v>
      </c>
      <c r="M62" s="902">
        <f t="shared" si="3"/>
        <v>0</v>
      </c>
      <c r="N62" s="958">
        <v>14.26</v>
      </c>
      <c r="O62" s="958">
        <v>39.9649</v>
      </c>
      <c r="P62">
        <f t="shared" si="5"/>
        <v>0</v>
      </c>
    </row>
    <row r="63" spans="1:16">
      <c r="A63" s="955" t="s">
        <v>196</v>
      </c>
      <c r="B63" s="955" t="s">
        <v>197</v>
      </c>
      <c r="C63" s="956" t="s">
        <v>121</v>
      </c>
      <c r="D63" s="957" t="s">
        <v>198</v>
      </c>
      <c r="E63" s="954" t="s">
        <v>199</v>
      </c>
      <c r="F63" s="957" t="s">
        <v>200</v>
      </c>
      <c r="G63" s="957" t="s">
        <v>201</v>
      </c>
      <c r="H63" s="957" t="s">
        <v>201</v>
      </c>
      <c r="J63" s="901">
        <f>D63*10</f>
        <v>5.6</v>
      </c>
      <c r="K63" s="901">
        <f t="shared" si="1"/>
        <v>438.425</v>
      </c>
      <c r="L63" s="901">
        <f t="shared" si="2"/>
        <v>2455.18</v>
      </c>
      <c r="M63" s="902">
        <f t="shared" si="3"/>
        <v>0</v>
      </c>
      <c r="N63" s="958">
        <v>5.6</v>
      </c>
      <c r="O63" s="958">
        <v>337.737</v>
      </c>
      <c r="P63">
        <f t="shared" si="5"/>
        <v>0</v>
      </c>
    </row>
    <row r="64" spans="1:16">
      <c r="A64" s="955" t="s">
        <v>202</v>
      </c>
      <c r="B64" s="955" t="s">
        <v>203</v>
      </c>
      <c r="C64" s="956" t="s">
        <v>204</v>
      </c>
      <c r="D64" s="957" t="s">
        <v>205</v>
      </c>
      <c r="E64" s="954" t="s">
        <v>206</v>
      </c>
      <c r="F64" s="957" t="s">
        <v>207</v>
      </c>
      <c r="G64" s="957" t="s">
        <v>208</v>
      </c>
      <c r="H64" s="957" t="s">
        <v>208</v>
      </c>
      <c r="J64" s="901" t="str">
        <f>D64</f>
        <v>1.6</v>
      </c>
      <c r="K64" s="901">
        <f t="shared" si="1"/>
        <v>5014.28125</v>
      </c>
      <c r="L64" s="901">
        <f t="shared" si="2"/>
        <v>8022.85</v>
      </c>
      <c r="M64" s="902">
        <f t="shared" si="3"/>
        <v>0</v>
      </c>
      <c r="N64" s="958" t="s">
        <v>205</v>
      </c>
      <c r="O64" s="958" t="s">
        <v>206</v>
      </c>
      <c r="P64">
        <f t="shared" si="5"/>
        <v>0</v>
      </c>
    </row>
    <row r="65" spans="1:16">
      <c r="A65" s="955" t="s">
        <v>209</v>
      </c>
      <c r="B65" s="955" t="s">
        <v>210</v>
      </c>
      <c r="C65" s="956" t="s">
        <v>88</v>
      </c>
      <c r="D65" s="957" t="s">
        <v>211</v>
      </c>
      <c r="E65" s="954" t="s">
        <v>212</v>
      </c>
      <c r="F65" s="957" t="s">
        <v>213</v>
      </c>
      <c r="G65" s="957" t="s">
        <v>214</v>
      </c>
      <c r="H65" s="957" t="s">
        <v>214</v>
      </c>
      <c r="J65" s="901">
        <f t="shared" si="9"/>
        <v>37.44</v>
      </c>
      <c r="K65" s="901">
        <f t="shared" si="1"/>
        <v>101.747061965812</v>
      </c>
      <c r="L65" s="901">
        <f t="shared" si="2"/>
        <v>3809.41</v>
      </c>
      <c r="M65" s="902">
        <f t="shared" si="3"/>
        <v>0</v>
      </c>
      <c r="N65" s="958">
        <v>37.44</v>
      </c>
      <c r="O65" s="958">
        <v>69.1837</v>
      </c>
      <c r="P65">
        <f t="shared" si="5"/>
        <v>0</v>
      </c>
    </row>
    <row r="66" spans="1:16">
      <c r="A66" s="955" t="s">
        <v>215</v>
      </c>
      <c r="B66" s="955" t="s">
        <v>120</v>
      </c>
      <c r="C66" s="956" t="s">
        <v>121</v>
      </c>
      <c r="D66" s="957" t="s">
        <v>216</v>
      </c>
      <c r="E66" s="954" t="s">
        <v>123</v>
      </c>
      <c r="F66" s="957" t="s">
        <v>217</v>
      </c>
      <c r="G66" s="957" t="s">
        <v>218</v>
      </c>
      <c r="H66" s="957" t="s">
        <v>218</v>
      </c>
      <c r="J66" s="901">
        <f>D66*10</f>
        <v>5.4</v>
      </c>
      <c r="K66" s="901">
        <f t="shared" si="1"/>
        <v>468.540740740741</v>
      </c>
      <c r="L66" s="901">
        <f t="shared" si="2"/>
        <v>2530.12</v>
      </c>
      <c r="M66" s="902">
        <f t="shared" si="3"/>
        <v>0</v>
      </c>
      <c r="N66" s="958">
        <v>5.4</v>
      </c>
      <c r="O66" s="958">
        <v>380.821</v>
      </c>
      <c r="P66">
        <f t="shared" si="5"/>
        <v>0</v>
      </c>
    </row>
    <row r="67" spans="1:16">
      <c r="A67" s="955" t="s">
        <v>219</v>
      </c>
      <c r="B67" s="955" t="s">
        <v>220</v>
      </c>
      <c r="C67" s="956" t="s">
        <v>88</v>
      </c>
      <c r="D67" s="957" t="s">
        <v>221</v>
      </c>
      <c r="E67" s="954" t="s">
        <v>222</v>
      </c>
      <c r="F67" s="957" t="s">
        <v>223</v>
      </c>
      <c r="G67" s="957" t="s">
        <v>224</v>
      </c>
      <c r="H67" s="957" t="s">
        <v>224</v>
      </c>
      <c r="J67" s="901">
        <f t="shared" si="9"/>
        <v>23.33</v>
      </c>
      <c r="K67" s="901">
        <f t="shared" si="1"/>
        <v>51.1607372481783</v>
      </c>
      <c r="L67" s="901">
        <f t="shared" si="2"/>
        <v>1193.58</v>
      </c>
      <c r="M67" s="902">
        <f t="shared" si="3"/>
        <v>0</v>
      </c>
      <c r="N67" s="958">
        <v>23.33</v>
      </c>
      <c r="O67" s="958">
        <v>33.7467</v>
      </c>
      <c r="P67">
        <f t="shared" si="5"/>
        <v>0</v>
      </c>
    </row>
    <row r="68" spans="1:16">
      <c r="A68" s="955" t="s">
        <v>225</v>
      </c>
      <c r="B68" s="955" t="s">
        <v>226</v>
      </c>
      <c r="C68" s="956" t="s">
        <v>88</v>
      </c>
      <c r="D68" s="957" t="s">
        <v>211</v>
      </c>
      <c r="E68" s="954" t="s">
        <v>227</v>
      </c>
      <c r="F68" s="957" t="s">
        <v>228</v>
      </c>
      <c r="G68" s="957" t="s">
        <v>229</v>
      </c>
      <c r="H68" s="957" t="s">
        <v>229</v>
      </c>
      <c r="J68" s="901">
        <f t="shared" si="9"/>
        <v>37.44</v>
      </c>
      <c r="K68" s="901">
        <f t="shared" si="1"/>
        <v>12.5104166666667</v>
      </c>
      <c r="L68" s="901">
        <f t="shared" si="2"/>
        <v>468.39</v>
      </c>
      <c r="M68" s="902">
        <f t="shared" si="3"/>
        <v>0</v>
      </c>
      <c r="N68" s="958">
        <v>37.44</v>
      </c>
      <c r="O68" s="958">
        <v>8.4521</v>
      </c>
      <c r="P68">
        <f t="shared" si="5"/>
        <v>0</v>
      </c>
    </row>
    <row r="69" spans="1:16">
      <c r="A69" s="955" t="s">
        <v>230</v>
      </c>
      <c r="B69" s="955" t="s">
        <v>231</v>
      </c>
      <c r="C69" s="956" t="s">
        <v>88</v>
      </c>
      <c r="D69" s="957" t="s">
        <v>232</v>
      </c>
      <c r="E69" s="954" t="s">
        <v>233</v>
      </c>
      <c r="F69" s="957" t="s">
        <v>234</v>
      </c>
      <c r="G69" s="957" t="s">
        <v>235</v>
      </c>
      <c r="H69" s="957" t="s">
        <v>235</v>
      </c>
      <c r="J69" s="901">
        <f t="shared" si="9"/>
        <v>24</v>
      </c>
      <c r="K69" s="901">
        <f t="shared" si="1"/>
        <v>13.6075</v>
      </c>
      <c r="L69" s="901">
        <f t="shared" si="2"/>
        <v>326.58</v>
      </c>
      <c r="M69" s="902">
        <f t="shared" si="3"/>
        <v>0</v>
      </c>
      <c r="N69" s="958">
        <v>24</v>
      </c>
      <c r="O69" s="958">
        <v>10.1382</v>
      </c>
      <c r="P69">
        <f t="shared" si="5"/>
        <v>0</v>
      </c>
    </row>
    <row r="70" spans="1:16">
      <c r="A70" s="951" t="s">
        <v>83</v>
      </c>
      <c r="B70" s="951" t="s">
        <v>236</v>
      </c>
      <c r="C70" s="952" t="s">
        <v>83</v>
      </c>
      <c r="D70" s="953" t="s">
        <v>83</v>
      </c>
      <c r="E70" s="954" t="s">
        <v>83</v>
      </c>
      <c r="F70" s="953" t="s">
        <v>237</v>
      </c>
      <c r="G70" s="953" t="s">
        <v>238</v>
      </c>
      <c r="H70" s="953" t="s">
        <v>238</v>
      </c>
      <c r="L70" s="901">
        <f t="shared" si="2"/>
        <v>0</v>
      </c>
      <c r="M70" s="902">
        <f t="shared" si="3"/>
        <v>17015.01</v>
      </c>
      <c r="N70" s="958"/>
      <c r="O70" s="958"/>
      <c r="P70">
        <f t="shared" si="5"/>
        <v>0</v>
      </c>
    </row>
    <row r="71" spans="1:16">
      <c r="A71" s="955" t="s">
        <v>239</v>
      </c>
      <c r="B71" s="955" t="s">
        <v>240</v>
      </c>
      <c r="C71" s="956" t="s">
        <v>88</v>
      </c>
      <c r="D71" s="957" t="s">
        <v>211</v>
      </c>
      <c r="E71" s="954" t="s">
        <v>241</v>
      </c>
      <c r="F71" s="957" t="s">
        <v>242</v>
      </c>
      <c r="G71" s="957" t="s">
        <v>243</v>
      </c>
      <c r="H71" s="957" t="s">
        <v>243</v>
      </c>
      <c r="J71" s="901">
        <f t="shared" ref="J71:J74" si="10">D71*100</f>
        <v>37.44</v>
      </c>
      <c r="K71" s="901">
        <f t="shared" si="1"/>
        <v>17.3277243589744</v>
      </c>
      <c r="L71" s="901">
        <f t="shared" si="2"/>
        <v>648.75</v>
      </c>
      <c r="M71" s="902">
        <f t="shared" si="3"/>
        <v>0</v>
      </c>
      <c r="N71" s="958">
        <v>37.44</v>
      </c>
      <c r="O71" s="958">
        <v>11.7398</v>
      </c>
      <c r="P71">
        <f t="shared" si="5"/>
        <v>0</v>
      </c>
    </row>
    <row r="72" spans="1:16">
      <c r="A72" s="955" t="s">
        <v>244</v>
      </c>
      <c r="B72" s="955" t="s">
        <v>245</v>
      </c>
      <c r="C72" s="956" t="s">
        <v>88</v>
      </c>
      <c r="D72" s="957" t="s">
        <v>211</v>
      </c>
      <c r="E72" s="954" t="s">
        <v>246</v>
      </c>
      <c r="F72" s="957" t="s">
        <v>247</v>
      </c>
      <c r="G72" s="957" t="s">
        <v>248</v>
      </c>
      <c r="H72" s="957" t="s">
        <v>248</v>
      </c>
      <c r="J72" s="901">
        <f t="shared" si="10"/>
        <v>37.44</v>
      </c>
      <c r="K72" s="901">
        <f t="shared" si="1"/>
        <v>5.36698717948718</v>
      </c>
      <c r="L72" s="901">
        <f t="shared" si="2"/>
        <v>200.94</v>
      </c>
      <c r="M72" s="902">
        <f t="shared" si="3"/>
        <v>0</v>
      </c>
      <c r="N72" s="958">
        <v>37.44</v>
      </c>
      <c r="O72" s="958">
        <v>3.6217</v>
      </c>
      <c r="P72">
        <f t="shared" si="5"/>
        <v>0</v>
      </c>
    </row>
    <row r="73" spans="1:16">
      <c r="A73" s="955" t="s">
        <v>249</v>
      </c>
      <c r="B73" s="955" t="s">
        <v>250</v>
      </c>
      <c r="C73" s="956" t="s">
        <v>121</v>
      </c>
      <c r="D73" s="957" t="s">
        <v>251</v>
      </c>
      <c r="E73" s="954" t="s">
        <v>252</v>
      </c>
      <c r="F73" s="957" t="s">
        <v>253</v>
      </c>
      <c r="G73" s="957" t="s">
        <v>254</v>
      </c>
      <c r="H73" s="957" t="s">
        <v>254</v>
      </c>
      <c r="J73" s="901">
        <f t="shared" ref="J73:J77" si="11">D73*10</f>
        <v>3</v>
      </c>
      <c r="K73" s="901">
        <f t="shared" si="1"/>
        <v>590.613333333333</v>
      </c>
      <c r="L73" s="901">
        <f t="shared" si="2"/>
        <v>1771.84</v>
      </c>
      <c r="M73" s="902">
        <f t="shared" si="3"/>
        <v>0</v>
      </c>
      <c r="N73" s="958">
        <v>3</v>
      </c>
      <c r="O73" s="958">
        <v>427.652</v>
      </c>
      <c r="P73">
        <f t="shared" si="5"/>
        <v>0</v>
      </c>
    </row>
    <row r="74" spans="1:16">
      <c r="A74" s="955" t="s">
        <v>255</v>
      </c>
      <c r="B74" s="955" t="s">
        <v>256</v>
      </c>
      <c r="C74" s="956" t="s">
        <v>88</v>
      </c>
      <c r="D74" s="957" t="s">
        <v>211</v>
      </c>
      <c r="E74" s="954" t="s">
        <v>257</v>
      </c>
      <c r="F74" s="957" t="s">
        <v>258</v>
      </c>
      <c r="G74" s="957" t="s">
        <v>259</v>
      </c>
      <c r="H74" s="957" t="s">
        <v>259</v>
      </c>
      <c r="J74" s="901">
        <f t="shared" si="10"/>
        <v>37.44</v>
      </c>
      <c r="K74" s="901">
        <f t="shared" si="1"/>
        <v>58.4890491452991</v>
      </c>
      <c r="L74" s="901">
        <f t="shared" si="2"/>
        <v>2189.83</v>
      </c>
      <c r="M74" s="902">
        <f t="shared" si="3"/>
        <v>0</v>
      </c>
      <c r="N74" s="958">
        <v>37.44</v>
      </c>
      <c r="O74" s="958">
        <v>40.6229</v>
      </c>
      <c r="P74">
        <f t="shared" si="5"/>
        <v>0</v>
      </c>
    </row>
    <row r="75" spans="1:16">
      <c r="A75" s="955" t="s">
        <v>260</v>
      </c>
      <c r="B75" s="955" t="s">
        <v>261</v>
      </c>
      <c r="C75" s="956" t="s">
        <v>262</v>
      </c>
      <c r="D75" s="957" t="s">
        <v>263</v>
      </c>
      <c r="E75" s="954" t="s">
        <v>264</v>
      </c>
      <c r="F75" s="957" t="s">
        <v>265</v>
      </c>
      <c r="G75" s="957" t="s">
        <v>266</v>
      </c>
      <c r="H75" s="957" t="s">
        <v>266</v>
      </c>
      <c r="J75" s="901">
        <f t="shared" si="11"/>
        <v>37.44</v>
      </c>
      <c r="K75" s="901">
        <f t="shared" si="1"/>
        <v>241.054487179487</v>
      </c>
      <c r="L75" s="901">
        <f t="shared" ref="L75:L119" si="12">J75*K75</f>
        <v>9025.08</v>
      </c>
      <c r="M75" s="902">
        <f t="shared" si="3"/>
        <v>0</v>
      </c>
      <c r="N75" s="958">
        <v>37.44</v>
      </c>
      <c r="O75" s="958">
        <v>191.131</v>
      </c>
      <c r="P75">
        <f t="shared" si="5"/>
        <v>0</v>
      </c>
    </row>
    <row r="76" spans="1:16">
      <c r="A76" s="955" t="s">
        <v>267</v>
      </c>
      <c r="B76" s="955" t="s">
        <v>268</v>
      </c>
      <c r="C76" s="956" t="s">
        <v>269</v>
      </c>
      <c r="D76" s="957" t="s">
        <v>270</v>
      </c>
      <c r="E76" s="954" t="s">
        <v>271</v>
      </c>
      <c r="F76" s="957" t="s">
        <v>272</v>
      </c>
      <c r="G76" s="957" t="s">
        <v>273</v>
      </c>
      <c r="H76" s="957" t="s">
        <v>273</v>
      </c>
      <c r="J76" s="901">
        <f t="shared" si="11"/>
        <v>19</v>
      </c>
      <c r="K76" s="901">
        <f t="shared" ref="K76:K119" si="13">G76/J76</f>
        <v>80.3126315789474</v>
      </c>
      <c r="L76" s="901">
        <f t="shared" si="12"/>
        <v>1525.94</v>
      </c>
      <c r="M76" s="902">
        <f t="shared" ref="M76:M119" si="14">G76-L76</f>
        <v>0</v>
      </c>
      <c r="N76" s="958">
        <v>19</v>
      </c>
      <c r="O76" s="958">
        <v>56.305</v>
      </c>
      <c r="P76">
        <f t="shared" si="5"/>
        <v>0</v>
      </c>
    </row>
    <row r="77" spans="1:16">
      <c r="A77" s="955" t="s">
        <v>274</v>
      </c>
      <c r="B77" s="955" t="s">
        <v>275</v>
      </c>
      <c r="C77" s="956" t="s">
        <v>269</v>
      </c>
      <c r="D77" s="957" t="s">
        <v>276</v>
      </c>
      <c r="E77" s="954" t="s">
        <v>277</v>
      </c>
      <c r="F77" s="957" t="s">
        <v>278</v>
      </c>
      <c r="G77" s="957" t="s">
        <v>279</v>
      </c>
      <c r="H77" s="957" t="s">
        <v>279</v>
      </c>
      <c r="J77" s="901">
        <f t="shared" si="11"/>
        <v>24</v>
      </c>
      <c r="K77" s="901">
        <f t="shared" si="13"/>
        <v>68.8595833333333</v>
      </c>
      <c r="L77" s="901">
        <f t="shared" si="12"/>
        <v>1652.63</v>
      </c>
      <c r="M77" s="902">
        <f t="shared" si="14"/>
        <v>0</v>
      </c>
      <c r="N77" s="958">
        <v>24</v>
      </c>
      <c r="O77" s="958">
        <v>49.382</v>
      </c>
      <c r="P77">
        <f t="shared" si="5"/>
        <v>0</v>
      </c>
    </row>
    <row r="78" spans="1:16">
      <c r="A78" s="951" t="s">
        <v>83</v>
      </c>
      <c r="B78" s="951" t="s">
        <v>280</v>
      </c>
      <c r="C78" s="952" t="s">
        <v>83</v>
      </c>
      <c r="D78" s="953" t="s">
        <v>83</v>
      </c>
      <c r="E78" s="954" t="s">
        <v>83</v>
      </c>
      <c r="F78" s="953" t="s">
        <v>281</v>
      </c>
      <c r="G78" s="953" t="s">
        <v>282</v>
      </c>
      <c r="H78" s="953" t="s">
        <v>282</v>
      </c>
      <c r="M78" s="902">
        <f t="shared" si="14"/>
        <v>22727.72</v>
      </c>
      <c r="N78" s="958"/>
      <c r="O78" s="958"/>
      <c r="P78">
        <f t="shared" si="5"/>
        <v>0</v>
      </c>
    </row>
    <row r="79" spans="1:16">
      <c r="A79" s="955" t="s">
        <v>283</v>
      </c>
      <c r="B79" s="955" t="s">
        <v>284</v>
      </c>
      <c r="C79" s="956" t="s">
        <v>88</v>
      </c>
      <c r="D79" s="957" t="s">
        <v>285</v>
      </c>
      <c r="E79" s="954" t="s">
        <v>286</v>
      </c>
      <c r="F79" s="957" t="s">
        <v>287</v>
      </c>
      <c r="G79" s="957" t="s">
        <v>288</v>
      </c>
      <c r="H79" s="957" t="s">
        <v>288</v>
      </c>
      <c r="J79" s="901">
        <f t="shared" ref="J79:J87" si="15">D79*100</f>
        <v>153.33</v>
      </c>
      <c r="K79" s="901">
        <f t="shared" si="13"/>
        <v>27.1519598252136</v>
      </c>
      <c r="L79" s="901">
        <f t="shared" si="12"/>
        <v>4163.21</v>
      </c>
      <c r="M79" s="902">
        <f t="shared" si="14"/>
        <v>0</v>
      </c>
      <c r="N79" s="958">
        <v>153.33</v>
      </c>
      <c r="O79" s="958">
        <v>17.2687</v>
      </c>
      <c r="P79">
        <f t="shared" si="5"/>
        <v>0</v>
      </c>
    </row>
    <row r="80" spans="1:16">
      <c r="A80" s="955" t="s">
        <v>289</v>
      </c>
      <c r="B80" s="955" t="s">
        <v>290</v>
      </c>
      <c r="C80" s="956" t="s">
        <v>88</v>
      </c>
      <c r="D80" s="957" t="s">
        <v>291</v>
      </c>
      <c r="E80" s="954" t="s">
        <v>292</v>
      </c>
      <c r="F80" s="957" t="s">
        <v>293</v>
      </c>
      <c r="G80" s="957" t="s">
        <v>294</v>
      </c>
      <c r="H80" s="957" t="s">
        <v>294</v>
      </c>
      <c r="J80" s="901">
        <f t="shared" si="15"/>
        <v>51.67</v>
      </c>
      <c r="K80" s="901">
        <f t="shared" si="13"/>
        <v>24.839365202245</v>
      </c>
      <c r="L80" s="901">
        <f t="shared" si="12"/>
        <v>1283.45</v>
      </c>
      <c r="M80" s="902">
        <f t="shared" si="14"/>
        <v>0</v>
      </c>
      <c r="N80" s="958">
        <v>51.67</v>
      </c>
      <c r="O80" s="958">
        <v>16.0853</v>
      </c>
      <c r="P80">
        <f t="shared" si="5"/>
        <v>0</v>
      </c>
    </row>
    <row r="81" spans="1:16">
      <c r="A81" s="955" t="s">
        <v>295</v>
      </c>
      <c r="B81" s="955" t="s">
        <v>296</v>
      </c>
      <c r="C81" s="956" t="s">
        <v>88</v>
      </c>
      <c r="D81" s="957" t="s">
        <v>297</v>
      </c>
      <c r="E81" s="954" t="s">
        <v>298</v>
      </c>
      <c r="F81" s="957" t="s">
        <v>299</v>
      </c>
      <c r="G81" s="957" t="s">
        <v>300</v>
      </c>
      <c r="H81" s="957" t="s">
        <v>300</v>
      </c>
      <c r="J81" s="901">
        <f t="shared" si="15"/>
        <v>83.14</v>
      </c>
      <c r="K81" s="901">
        <f t="shared" si="13"/>
        <v>11.1873947558335</v>
      </c>
      <c r="L81" s="901">
        <f t="shared" si="12"/>
        <v>930.12</v>
      </c>
      <c r="M81" s="902">
        <f t="shared" si="14"/>
        <v>0</v>
      </c>
      <c r="N81" s="958">
        <v>83.14</v>
      </c>
      <c r="O81" s="958">
        <v>7.8669</v>
      </c>
      <c r="P81">
        <f t="shared" ref="P81:P110" si="16">J81-N81</f>
        <v>0</v>
      </c>
    </row>
    <row r="82" spans="1:16">
      <c r="A82" s="955" t="s">
        <v>301</v>
      </c>
      <c r="B82" s="955" t="s">
        <v>302</v>
      </c>
      <c r="C82" s="956" t="s">
        <v>88</v>
      </c>
      <c r="D82" s="957" t="s">
        <v>297</v>
      </c>
      <c r="E82" s="954" t="s">
        <v>303</v>
      </c>
      <c r="F82" s="957" t="s">
        <v>304</v>
      </c>
      <c r="G82" s="957" t="s">
        <v>305</v>
      </c>
      <c r="H82" s="957" t="s">
        <v>305</v>
      </c>
      <c r="J82" s="901">
        <f t="shared" si="15"/>
        <v>83.14</v>
      </c>
      <c r="K82" s="901">
        <f t="shared" si="13"/>
        <v>22.5288669713736</v>
      </c>
      <c r="L82" s="901">
        <f t="shared" si="12"/>
        <v>1873.05</v>
      </c>
      <c r="M82" s="902">
        <f t="shared" si="14"/>
        <v>0</v>
      </c>
      <c r="N82" s="958">
        <v>83.14</v>
      </c>
      <c r="O82" s="958">
        <v>25.3552</v>
      </c>
      <c r="P82">
        <f t="shared" si="16"/>
        <v>0</v>
      </c>
    </row>
    <row r="83" ht="22.5" spans="1:16">
      <c r="A83" s="955" t="s">
        <v>306</v>
      </c>
      <c r="B83" s="955" t="s">
        <v>307</v>
      </c>
      <c r="C83" s="956" t="s">
        <v>88</v>
      </c>
      <c r="D83" s="957" t="s">
        <v>308</v>
      </c>
      <c r="E83" s="954" t="s">
        <v>309</v>
      </c>
      <c r="F83" s="957" t="s">
        <v>310</v>
      </c>
      <c r="G83" s="957" t="s">
        <v>311</v>
      </c>
      <c r="H83" s="957" t="s">
        <v>311</v>
      </c>
      <c r="J83" s="901">
        <f t="shared" si="15"/>
        <v>12.85</v>
      </c>
      <c r="K83" s="901">
        <f t="shared" si="13"/>
        <v>110.31439688716</v>
      </c>
      <c r="L83" s="901">
        <f t="shared" si="12"/>
        <v>1417.54</v>
      </c>
      <c r="M83" s="902">
        <f t="shared" si="14"/>
        <v>0</v>
      </c>
      <c r="N83" s="958">
        <v>12.85</v>
      </c>
      <c r="O83" s="958">
        <v>84.0927</v>
      </c>
      <c r="P83">
        <f t="shared" si="16"/>
        <v>0</v>
      </c>
    </row>
    <row r="84" spans="1:16">
      <c r="A84" s="955" t="s">
        <v>312</v>
      </c>
      <c r="B84" s="955" t="s">
        <v>313</v>
      </c>
      <c r="C84" s="956" t="s">
        <v>88</v>
      </c>
      <c r="D84" s="957" t="s">
        <v>314</v>
      </c>
      <c r="E84" s="954" t="s">
        <v>315</v>
      </c>
      <c r="F84" s="957" t="s">
        <v>316</v>
      </c>
      <c r="G84" s="957" t="s">
        <v>317</v>
      </c>
      <c r="H84" s="957" t="s">
        <v>317</v>
      </c>
      <c r="J84" s="901">
        <f t="shared" si="15"/>
        <v>90.32</v>
      </c>
      <c r="K84" s="901">
        <f t="shared" si="13"/>
        <v>95.9773029229407</v>
      </c>
      <c r="L84" s="901">
        <f t="shared" si="12"/>
        <v>8668.67</v>
      </c>
      <c r="M84" s="902">
        <f t="shared" si="14"/>
        <v>0</v>
      </c>
      <c r="N84" s="958">
        <v>90.32</v>
      </c>
      <c r="O84" s="958">
        <v>72.361</v>
      </c>
      <c r="P84">
        <f t="shared" si="16"/>
        <v>0</v>
      </c>
    </row>
    <row r="85" spans="1:16">
      <c r="A85" s="955" t="s">
        <v>318</v>
      </c>
      <c r="B85" s="955" t="s">
        <v>319</v>
      </c>
      <c r="C85" s="956" t="s">
        <v>88</v>
      </c>
      <c r="D85" s="957" t="s">
        <v>320</v>
      </c>
      <c r="E85" s="954" t="s">
        <v>321</v>
      </c>
      <c r="F85" s="957" t="s">
        <v>322</v>
      </c>
      <c r="G85" s="957" t="s">
        <v>323</v>
      </c>
      <c r="H85" s="957" t="s">
        <v>323</v>
      </c>
      <c r="J85" s="901">
        <f t="shared" si="15"/>
        <v>20.27</v>
      </c>
      <c r="K85" s="901">
        <f t="shared" si="13"/>
        <v>66.6803157375432</v>
      </c>
      <c r="L85" s="901">
        <f t="shared" si="12"/>
        <v>1351.61</v>
      </c>
      <c r="M85" s="902">
        <f t="shared" si="14"/>
        <v>0</v>
      </c>
      <c r="N85" s="958">
        <v>20.27</v>
      </c>
      <c r="O85" s="958">
        <v>57.1348</v>
      </c>
      <c r="P85">
        <f t="shared" si="16"/>
        <v>0</v>
      </c>
    </row>
    <row r="86" ht="22.5" spans="1:16">
      <c r="A86" s="955" t="s">
        <v>324</v>
      </c>
      <c r="B86" s="955" t="s">
        <v>325</v>
      </c>
      <c r="C86" s="956" t="s">
        <v>88</v>
      </c>
      <c r="D86" s="957" t="s">
        <v>320</v>
      </c>
      <c r="E86" s="954" t="s">
        <v>326</v>
      </c>
      <c r="F86" s="957" t="s">
        <v>327</v>
      </c>
      <c r="G86" s="957" t="s">
        <v>328</v>
      </c>
      <c r="H86" s="957" t="s">
        <v>328</v>
      </c>
      <c r="J86" s="901">
        <f t="shared" si="15"/>
        <v>20.27</v>
      </c>
      <c r="K86" s="901">
        <f t="shared" si="13"/>
        <v>57.2999506660089</v>
      </c>
      <c r="L86" s="901">
        <f t="shared" si="12"/>
        <v>1161.47</v>
      </c>
      <c r="M86" s="902">
        <f t="shared" si="14"/>
        <v>0</v>
      </c>
      <c r="N86" s="958">
        <v>20.27</v>
      </c>
      <c r="O86" s="958">
        <v>46.0773</v>
      </c>
      <c r="P86">
        <f t="shared" si="16"/>
        <v>0</v>
      </c>
    </row>
    <row r="87" spans="1:16">
      <c r="A87" s="955" t="s">
        <v>329</v>
      </c>
      <c r="B87" s="955" t="s">
        <v>330</v>
      </c>
      <c r="C87" s="956" t="s">
        <v>88</v>
      </c>
      <c r="D87" s="957" t="s">
        <v>331</v>
      </c>
      <c r="E87" s="954" t="s">
        <v>332</v>
      </c>
      <c r="F87" s="957" t="s">
        <v>333</v>
      </c>
      <c r="G87" s="957" t="s">
        <v>334</v>
      </c>
      <c r="H87" s="957" t="s">
        <v>334</v>
      </c>
      <c r="J87" s="901">
        <f t="shared" si="15"/>
        <v>12</v>
      </c>
      <c r="K87" s="901">
        <f t="shared" si="13"/>
        <v>156.55</v>
      </c>
      <c r="L87" s="901">
        <f t="shared" si="12"/>
        <v>1878.6</v>
      </c>
      <c r="M87" s="902">
        <f t="shared" si="14"/>
        <v>0</v>
      </c>
      <c r="N87" s="958">
        <v>12</v>
      </c>
      <c r="O87" s="958">
        <v>124.0166</v>
      </c>
      <c r="P87">
        <f t="shared" si="16"/>
        <v>0</v>
      </c>
    </row>
    <row r="88" spans="1:16">
      <c r="A88" s="951" t="s">
        <v>83</v>
      </c>
      <c r="B88" s="951" t="s">
        <v>335</v>
      </c>
      <c r="C88" s="952" t="s">
        <v>83</v>
      </c>
      <c r="D88" s="953" t="s">
        <v>83</v>
      </c>
      <c r="E88" s="954" t="s">
        <v>83</v>
      </c>
      <c r="F88" s="953" t="s">
        <v>336</v>
      </c>
      <c r="G88" s="953" t="s">
        <v>337</v>
      </c>
      <c r="H88" s="953" t="s">
        <v>337</v>
      </c>
      <c r="M88" s="902">
        <f t="shared" si="14"/>
        <v>2373.25</v>
      </c>
      <c r="N88" s="958"/>
      <c r="O88" s="958"/>
      <c r="P88">
        <f t="shared" si="16"/>
        <v>0</v>
      </c>
    </row>
    <row r="89" ht="22.5" spans="1:16">
      <c r="A89" s="955" t="s">
        <v>338</v>
      </c>
      <c r="B89" s="955" t="s">
        <v>339</v>
      </c>
      <c r="C89" s="956" t="s">
        <v>88</v>
      </c>
      <c r="D89" s="957" t="s">
        <v>340</v>
      </c>
      <c r="E89" s="954" t="s">
        <v>341</v>
      </c>
      <c r="F89" s="957" t="s">
        <v>336</v>
      </c>
      <c r="G89" s="957" t="s">
        <v>337</v>
      </c>
      <c r="H89" s="957" t="s">
        <v>337</v>
      </c>
      <c r="J89" s="901">
        <f>D89*100</f>
        <v>21.47</v>
      </c>
      <c r="K89" s="901">
        <f t="shared" si="13"/>
        <v>110.537959944108</v>
      </c>
      <c r="L89" s="901">
        <f t="shared" si="12"/>
        <v>2373.25</v>
      </c>
      <c r="M89" s="902">
        <f t="shared" si="14"/>
        <v>0</v>
      </c>
      <c r="N89" s="958">
        <v>21.47</v>
      </c>
      <c r="O89" s="958">
        <v>59.9066</v>
      </c>
      <c r="P89">
        <f t="shared" si="16"/>
        <v>0</v>
      </c>
    </row>
    <row r="90" spans="1:16">
      <c r="A90" s="951" t="s">
        <v>83</v>
      </c>
      <c r="B90" s="951" t="s">
        <v>342</v>
      </c>
      <c r="C90" s="952" t="s">
        <v>83</v>
      </c>
      <c r="D90" s="953" t="s">
        <v>83</v>
      </c>
      <c r="E90" s="954" t="s">
        <v>83</v>
      </c>
      <c r="F90" s="953" t="s">
        <v>343</v>
      </c>
      <c r="G90" s="953" t="s">
        <v>344</v>
      </c>
      <c r="H90" s="953" t="s">
        <v>344</v>
      </c>
      <c r="M90" s="902">
        <f t="shared" si="14"/>
        <v>4535.49</v>
      </c>
      <c r="N90" s="958"/>
      <c r="O90" s="958"/>
      <c r="P90">
        <f t="shared" si="16"/>
        <v>0</v>
      </c>
    </row>
    <row r="91" spans="1:16">
      <c r="A91" s="955" t="s">
        <v>345</v>
      </c>
      <c r="B91" s="955" t="s">
        <v>346</v>
      </c>
      <c r="C91" s="956" t="s">
        <v>347</v>
      </c>
      <c r="D91" s="957" t="s">
        <v>348</v>
      </c>
      <c r="E91" s="954" t="s">
        <v>349</v>
      </c>
      <c r="F91" s="957" t="s">
        <v>350</v>
      </c>
      <c r="G91" s="957" t="s">
        <v>351</v>
      </c>
      <c r="H91" s="957" t="s">
        <v>351</v>
      </c>
      <c r="J91" s="901" t="str">
        <f t="shared" ref="J91:J94" si="17">D91</f>
        <v>2.94</v>
      </c>
      <c r="K91" s="901">
        <f t="shared" si="13"/>
        <v>346.829931972789</v>
      </c>
      <c r="L91" s="901">
        <f t="shared" si="12"/>
        <v>1019.68</v>
      </c>
      <c r="M91" s="902">
        <f t="shared" si="14"/>
        <v>0</v>
      </c>
      <c r="N91" s="958" t="s">
        <v>348</v>
      </c>
      <c r="O91" s="958" t="s">
        <v>349</v>
      </c>
      <c r="P91">
        <f t="shared" si="16"/>
        <v>0</v>
      </c>
    </row>
    <row r="92" spans="1:16">
      <c r="A92" s="955" t="s">
        <v>352</v>
      </c>
      <c r="B92" s="955" t="s">
        <v>353</v>
      </c>
      <c r="C92" s="956" t="s">
        <v>347</v>
      </c>
      <c r="D92" s="957" t="s">
        <v>354</v>
      </c>
      <c r="E92" s="954" t="s">
        <v>355</v>
      </c>
      <c r="F92" s="957" t="s">
        <v>356</v>
      </c>
      <c r="G92" s="957" t="s">
        <v>357</v>
      </c>
      <c r="H92" s="957" t="s">
        <v>357</v>
      </c>
      <c r="J92" s="901" t="str">
        <f t="shared" si="17"/>
        <v>4.2</v>
      </c>
      <c r="K92" s="901">
        <f t="shared" si="13"/>
        <v>273.038095238095</v>
      </c>
      <c r="L92" s="901">
        <f t="shared" si="12"/>
        <v>1146.76</v>
      </c>
      <c r="M92" s="902">
        <f t="shared" si="14"/>
        <v>0</v>
      </c>
      <c r="N92" s="958" t="s">
        <v>354</v>
      </c>
      <c r="O92" s="958" t="s">
        <v>355</v>
      </c>
      <c r="P92">
        <f t="shared" si="16"/>
        <v>0</v>
      </c>
    </row>
    <row r="93" spans="1:16">
      <c r="A93" s="955" t="s">
        <v>358</v>
      </c>
      <c r="B93" s="955" t="s">
        <v>359</v>
      </c>
      <c r="C93" s="956" t="s">
        <v>88</v>
      </c>
      <c r="D93" s="957" t="s">
        <v>360</v>
      </c>
      <c r="E93" s="954" t="s">
        <v>361</v>
      </c>
      <c r="F93" s="957" t="s">
        <v>362</v>
      </c>
      <c r="G93" s="957" t="s">
        <v>363</v>
      </c>
      <c r="H93" s="957" t="s">
        <v>363</v>
      </c>
      <c r="J93" s="901">
        <f>D93*100</f>
        <v>4.8</v>
      </c>
      <c r="K93" s="901">
        <f t="shared" si="13"/>
        <v>434.641666666667</v>
      </c>
      <c r="L93" s="901">
        <f t="shared" si="12"/>
        <v>2086.28</v>
      </c>
      <c r="M93" s="902">
        <f t="shared" si="14"/>
        <v>0</v>
      </c>
      <c r="N93" s="958">
        <v>4.8</v>
      </c>
      <c r="O93" s="958">
        <v>382.9551</v>
      </c>
      <c r="P93">
        <f t="shared" si="16"/>
        <v>0</v>
      </c>
    </row>
    <row r="94" spans="1:16">
      <c r="A94" s="955" t="s">
        <v>364</v>
      </c>
      <c r="B94" s="955" t="s">
        <v>365</v>
      </c>
      <c r="C94" s="956" t="s">
        <v>366</v>
      </c>
      <c r="D94" s="957" t="s">
        <v>21</v>
      </c>
      <c r="E94" s="954" t="s">
        <v>367</v>
      </c>
      <c r="F94" s="957" t="s">
        <v>368</v>
      </c>
      <c r="G94" s="957" t="s">
        <v>369</v>
      </c>
      <c r="H94" s="957" t="s">
        <v>369</v>
      </c>
      <c r="J94" s="901" t="str">
        <f t="shared" si="17"/>
        <v>3</v>
      </c>
      <c r="K94" s="901">
        <f t="shared" si="13"/>
        <v>94.2566666666667</v>
      </c>
      <c r="L94" s="901">
        <f t="shared" si="12"/>
        <v>282.77</v>
      </c>
      <c r="M94" s="902">
        <f t="shared" si="14"/>
        <v>0</v>
      </c>
      <c r="N94" s="958" t="s">
        <v>21</v>
      </c>
      <c r="O94" s="958" t="s">
        <v>367</v>
      </c>
      <c r="P94">
        <f t="shared" si="16"/>
        <v>0</v>
      </c>
    </row>
    <row r="95" spans="1:16">
      <c r="A95" s="951" t="s">
        <v>83</v>
      </c>
      <c r="B95" s="951" t="s">
        <v>370</v>
      </c>
      <c r="C95" s="952" t="s">
        <v>83</v>
      </c>
      <c r="D95" s="953" t="s">
        <v>83</v>
      </c>
      <c r="E95" s="954" t="s">
        <v>83</v>
      </c>
      <c r="F95" s="953" t="s">
        <v>371</v>
      </c>
      <c r="G95" s="953" t="s">
        <v>372</v>
      </c>
      <c r="H95" s="953" t="s">
        <v>372</v>
      </c>
      <c r="M95" s="902">
        <f t="shared" si="14"/>
        <v>26302.16</v>
      </c>
      <c r="N95" s="958"/>
      <c r="O95" s="958"/>
      <c r="P95">
        <f t="shared" si="16"/>
        <v>0</v>
      </c>
    </row>
    <row r="96" ht="22.5" spans="1:16">
      <c r="A96" s="955" t="s">
        <v>373</v>
      </c>
      <c r="B96" s="955" t="s">
        <v>374</v>
      </c>
      <c r="C96" s="956" t="s">
        <v>269</v>
      </c>
      <c r="D96" s="957" t="s">
        <v>375</v>
      </c>
      <c r="E96" s="954" t="s">
        <v>376</v>
      </c>
      <c r="F96" s="957" t="s">
        <v>377</v>
      </c>
      <c r="G96" s="957" t="s">
        <v>378</v>
      </c>
      <c r="H96" s="957" t="s">
        <v>378</v>
      </c>
      <c r="J96" s="901">
        <f t="shared" ref="J96:J99" si="18">D96*10</f>
        <v>8</v>
      </c>
      <c r="K96" s="901">
        <f t="shared" si="13"/>
        <v>21.11125</v>
      </c>
      <c r="L96" s="901">
        <f t="shared" si="12"/>
        <v>168.89</v>
      </c>
      <c r="M96" s="902">
        <f t="shared" si="14"/>
        <v>0</v>
      </c>
      <c r="N96" s="959">
        <v>8</v>
      </c>
      <c r="O96" s="958">
        <v>10.564</v>
      </c>
      <c r="P96">
        <f t="shared" si="16"/>
        <v>0</v>
      </c>
    </row>
    <row r="97" spans="1:16">
      <c r="A97" s="955" t="s">
        <v>379</v>
      </c>
      <c r="B97" s="955" t="s">
        <v>380</v>
      </c>
      <c r="C97" s="956" t="s">
        <v>269</v>
      </c>
      <c r="D97" s="957" t="s">
        <v>17</v>
      </c>
      <c r="E97" s="954" t="s">
        <v>381</v>
      </c>
      <c r="F97" s="957" t="s">
        <v>381</v>
      </c>
      <c r="G97" s="957" t="s">
        <v>382</v>
      </c>
      <c r="H97" s="957" t="s">
        <v>382</v>
      </c>
      <c r="J97" s="901">
        <f t="shared" si="18"/>
        <v>10</v>
      </c>
      <c r="K97" s="901">
        <f t="shared" si="13"/>
        <v>29.454</v>
      </c>
      <c r="L97" s="901">
        <f t="shared" si="12"/>
        <v>294.54</v>
      </c>
      <c r="M97" s="902">
        <f t="shared" si="14"/>
        <v>0</v>
      </c>
      <c r="N97" s="959">
        <v>10</v>
      </c>
      <c r="O97" s="958">
        <v>11.543</v>
      </c>
      <c r="P97">
        <f t="shared" si="16"/>
        <v>0</v>
      </c>
    </row>
    <row r="98" spans="1:16">
      <c r="A98" s="955" t="s">
        <v>383</v>
      </c>
      <c r="B98" s="955" t="s">
        <v>384</v>
      </c>
      <c r="C98" s="956" t="s">
        <v>269</v>
      </c>
      <c r="D98" s="957" t="s">
        <v>25</v>
      </c>
      <c r="E98" s="954" t="s">
        <v>385</v>
      </c>
      <c r="F98" s="957" t="s">
        <v>386</v>
      </c>
      <c r="G98" s="957" t="s">
        <v>387</v>
      </c>
      <c r="H98" s="957" t="s">
        <v>387</v>
      </c>
      <c r="J98" s="901">
        <f t="shared" si="18"/>
        <v>50</v>
      </c>
      <c r="K98" s="901">
        <f t="shared" si="13"/>
        <v>28.283</v>
      </c>
      <c r="L98" s="901">
        <f t="shared" si="12"/>
        <v>1414.15</v>
      </c>
      <c r="M98" s="902">
        <f t="shared" si="14"/>
        <v>0</v>
      </c>
      <c r="N98" s="959">
        <v>50</v>
      </c>
      <c r="O98" s="958">
        <v>10.268</v>
      </c>
      <c r="P98">
        <f t="shared" si="16"/>
        <v>0</v>
      </c>
    </row>
    <row r="99" ht="22.5" spans="1:16">
      <c r="A99" s="955" t="s">
        <v>388</v>
      </c>
      <c r="B99" s="955" t="s">
        <v>389</v>
      </c>
      <c r="C99" s="956" t="s">
        <v>269</v>
      </c>
      <c r="D99" s="957" t="s">
        <v>19</v>
      </c>
      <c r="E99" s="954" t="s">
        <v>390</v>
      </c>
      <c r="F99" s="957" t="s">
        <v>391</v>
      </c>
      <c r="G99" s="957" t="s">
        <v>392</v>
      </c>
      <c r="H99" s="957" t="s">
        <v>392</v>
      </c>
      <c r="J99" s="901">
        <f t="shared" si="18"/>
        <v>20</v>
      </c>
      <c r="K99" s="901">
        <f t="shared" si="13"/>
        <v>53.541</v>
      </c>
      <c r="L99" s="901">
        <f t="shared" si="12"/>
        <v>1070.82</v>
      </c>
      <c r="M99" s="902">
        <f t="shared" si="14"/>
        <v>0</v>
      </c>
      <c r="N99" s="959">
        <v>20</v>
      </c>
      <c r="O99" s="958">
        <v>3.737</v>
      </c>
      <c r="P99">
        <f t="shared" si="16"/>
        <v>0</v>
      </c>
    </row>
    <row r="100" spans="1:16">
      <c r="A100" s="955" t="s">
        <v>393</v>
      </c>
      <c r="B100" s="955" t="s">
        <v>394</v>
      </c>
      <c r="C100" s="956" t="s">
        <v>395</v>
      </c>
      <c r="D100" s="957" t="s">
        <v>17</v>
      </c>
      <c r="E100" s="954" t="s">
        <v>396</v>
      </c>
      <c r="F100" s="957" t="s">
        <v>396</v>
      </c>
      <c r="G100" s="957" t="s">
        <v>397</v>
      </c>
      <c r="H100" s="957" t="s">
        <v>397</v>
      </c>
      <c r="J100" s="901" t="str">
        <f>D100</f>
        <v>1</v>
      </c>
      <c r="K100" s="901">
        <f t="shared" si="13"/>
        <v>51.33</v>
      </c>
      <c r="L100" s="901">
        <f t="shared" si="12"/>
        <v>51.33</v>
      </c>
      <c r="M100" s="902">
        <f t="shared" si="14"/>
        <v>0</v>
      </c>
      <c r="N100" s="959" t="s">
        <v>17</v>
      </c>
      <c r="O100" s="958" t="s">
        <v>396</v>
      </c>
      <c r="P100">
        <f t="shared" si="16"/>
        <v>0</v>
      </c>
    </row>
    <row r="101" spans="1:16">
      <c r="A101" s="955" t="s">
        <v>398</v>
      </c>
      <c r="B101" s="955" t="s">
        <v>399</v>
      </c>
      <c r="C101" s="956" t="s">
        <v>395</v>
      </c>
      <c r="D101" s="957" t="s">
        <v>19</v>
      </c>
      <c r="E101" s="954" t="s">
        <v>400</v>
      </c>
      <c r="F101" s="957" t="s">
        <v>401</v>
      </c>
      <c r="G101" s="957" t="s">
        <v>402</v>
      </c>
      <c r="H101" s="957" t="s">
        <v>402</v>
      </c>
      <c r="J101" s="901" t="str">
        <f>D101</f>
        <v>2</v>
      </c>
      <c r="K101" s="901">
        <f t="shared" si="13"/>
        <v>27.02</v>
      </c>
      <c r="L101" s="901">
        <f t="shared" si="12"/>
        <v>54.04</v>
      </c>
      <c r="M101" s="902">
        <f t="shared" si="14"/>
        <v>0</v>
      </c>
      <c r="N101" s="959" t="s">
        <v>19</v>
      </c>
      <c r="O101" s="958" t="s">
        <v>400</v>
      </c>
      <c r="P101">
        <f t="shared" si="16"/>
        <v>0</v>
      </c>
    </row>
    <row r="102" spans="1:16">
      <c r="A102" s="955" t="s">
        <v>403</v>
      </c>
      <c r="B102" s="955" t="s">
        <v>404</v>
      </c>
      <c r="C102" s="956" t="s">
        <v>405</v>
      </c>
      <c r="D102" s="957" t="s">
        <v>406</v>
      </c>
      <c r="E102" s="954" t="s">
        <v>407</v>
      </c>
      <c r="F102" s="957" t="s">
        <v>408</v>
      </c>
      <c r="G102" s="957" t="s">
        <v>409</v>
      </c>
      <c r="H102" s="957" t="s">
        <v>409</v>
      </c>
      <c r="J102" s="901">
        <f t="shared" ref="J102:J107" si="19">D102*10</f>
        <v>2</v>
      </c>
      <c r="K102" s="901">
        <f t="shared" si="13"/>
        <v>61.49</v>
      </c>
      <c r="L102" s="901">
        <f t="shared" si="12"/>
        <v>122.98</v>
      </c>
      <c r="M102" s="902">
        <f t="shared" si="14"/>
        <v>0</v>
      </c>
      <c r="N102" s="959">
        <v>2</v>
      </c>
      <c r="O102" s="958">
        <v>1.942</v>
      </c>
      <c r="P102">
        <f t="shared" si="16"/>
        <v>0</v>
      </c>
    </row>
    <row r="103" spans="1:16">
      <c r="A103" s="955" t="s">
        <v>410</v>
      </c>
      <c r="B103" s="955" t="s">
        <v>411</v>
      </c>
      <c r="C103" s="956" t="s">
        <v>405</v>
      </c>
      <c r="D103" s="957" t="s">
        <v>251</v>
      </c>
      <c r="E103" s="954" t="s">
        <v>412</v>
      </c>
      <c r="F103" s="957" t="s">
        <v>413</v>
      </c>
      <c r="G103" s="957" t="s">
        <v>414</v>
      </c>
      <c r="H103" s="957" t="s">
        <v>414</v>
      </c>
      <c r="J103" s="901">
        <f t="shared" si="19"/>
        <v>3</v>
      </c>
      <c r="K103" s="901">
        <f t="shared" si="13"/>
        <v>170.07</v>
      </c>
      <c r="L103" s="901">
        <f t="shared" si="12"/>
        <v>510.21</v>
      </c>
      <c r="M103" s="902">
        <f t="shared" si="14"/>
        <v>0</v>
      </c>
      <c r="N103" s="959">
        <v>3</v>
      </c>
      <c r="O103" s="958">
        <v>28.644</v>
      </c>
      <c r="P103">
        <f t="shared" si="16"/>
        <v>0</v>
      </c>
    </row>
    <row r="104" spans="1:16">
      <c r="A104" s="955" t="s">
        <v>415</v>
      </c>
      <c r="B104" s="955" t="s">
        <v>416</v>
      </c>
      <c r="C104" s="956" t="s">
        <v>417</v>
      </c>
      <c r="D104" s="957" t="s">
        <v>418</v>
      </c>
      <c r="E104" s="954" t="s">
        <v>419</v>
      </c>
      <c r="F104" s="957" t="s">
        <v>420</v>
      </c>
      <c r="G104" s="957" t="s">
        <v>421</v>
      </c>
      <c r="H104" s="957" t="s">
        <v>421</v>
      </c>
      <c r="J104" s="901">
        <f t="shared" si="19"/>
        <v>1</v>
      </c>
      <c r="K104" s="901">
        <f t="shared" si="13"/>
        <v>429.83</v>
      </c>
      <c r="L104" s="901">
        <f t="shared" si="12"/>
        <v>429.83</v>
      </c>
      <c r="M104" s="902">
        <f t="shared" si="14"/>
        <v>0</v>
      </c>
      <c r="N104" s="959">
        <v>1</v>
      </c>
      <c r="O104" s="958">
        <v>71.793</v>
      </c>
      <c r="P104">
        <f t="shared" si="16"/>
        <v>0</v>
      </c>
    </row>
    <row r="105" spans="1:16">
      <c r="A105" s="955" t="s">
        <v>422</v>
      </c>
      <c r="B105" s="955" t="s">
        <v>423</v>
      </c>
      <c r="C105" s="956" t="s">
        <v>417</v>
      </c>
      <c r="D105" s="957" t="s">
        <v>418</v>
      </c>
      <c r="E105" s="954" t="s">
        <v>424</v>
      </c>
      <c r="F105" s="957" t="s">
        <v>425</v>
      </c>
      <c r="G105" s="957" t="s">
        <v>426</v>
      </c>
      <c r="H105" s="957" t="s">
        <v>426</v>
      </c>
      <c r="J105" s="901">
        <f t="shared" si="19"/>
        <v>1</v>
      </c>
      <c r="K105" s="901">
        <f t="shared" si="13"/>
        <v>248.4</v>
      </c>
      <c r="L105" s="901">
        <f t="shared" si="12"/>
        <v>248.4</v>
      </c>
      <c r="M105" s="902">
        <f t="shared" si="14"/>
        <v>0</v>
      </c>
      <c r="N105" s="959">
        <v>1</v>
      </c>
      <c r="O105" s="958">
        <v>69.18</v>
      </c>
      <c r="P105">
        <f t="shared" si="16"/>
        <v>0</v>
      </c>
    </row>
    <row r="106" spans="1:16">
      <c r="A106" s="955" t="s">
        <v>427</v>
      </c>
      <c r="B106" s="955" t="s">
        <v>428</v>
      </c>
      <c r="C106" s="956" t="s">
        <v>417</v>
      </c>
      <c r="D106" s="957" t="s">
        <v>251</v>
      </c>
      <c r="E106" s="954" t="s">
        <v>429</v>
      </c>
      <c r="F106" s="957" t="s">
        <v>430</v>
      </c>
      <c r="G106" s="957" t="s">
        <v>431</v>
      </c>
      <c r="H106" s="957" t="s">
        <v>431</v>
      </c>
      <c r="J106" s="901">
        <f t="shared" si="19"/>
        <v>3</v>
      </c>
      <c r="K106" s="901">
        <f t="shared" si="13"/>
        <v>404.536666666667</v>
      </c>
      <c r="L106" s="901">
        <f t="shared" si="12"/>
        <v>1213.61</v>
      </c>
      <c r="M106" s="902">
        <f t="shared" si="14"/>
        <v>0</v>
      </c>
      <c r="N106" s="959">
        <v>3</v>
      </c>
      <c r="O106" s="958">
        <v>163.971</v>
      </c>
      <c r="P106">
        <f t="shared" si="16"/>
        <v>0</v>
      </c>
    </row>
    <row r="107" spans="1:16">
      <c r="A107" s="955" t="s">
        <v>432</v>
      </c>
      <c r="B107" s="955" t="s">
        <v>433</v>
      </c>
      <c r="C107" s="956" t="s">
        <v>417</v>
      </c>
      <c r="D107" s="957" t="s">
        <v>418</v>
      </c>
      <c r="E107" s="954" t="s">
        <v>434</v>
      </c>
      <c r="F107" s="957" t="s">
        <v>435</v>
      </c>
      <c r="G107" s="957" t="s">
        <v>436</v>
      </c>
      <c r="H107" s="957" t="s">
        <v>436</v>
      </c>
      <c r="J107" s="901">
        <f t="shared" si="19"/>
        <v>1</v>
      </c>
      <c r="K107" s="901">
        <f t="shared" si="13"/>
        <v>157.88</v>
      </c>
      <c r="L107" s="901">
        <f t="shared" si="12"/>
        <v>157.88</v>
      </c>
      <c r="M107" s="902">
        <f t="shared" si="14"/>
        <v>0</v>
      </c>
      <c r="N107" s="959">
        <v>1</v>
      </c>
      <c r="O107" s="958">
        <v>74.112</v>
      </c>
      <c r="P107">
        <f t="shared" si="16"/>
        <v>0</v>
      </c>
    </row>
    <row r="108" ht="22.5" spans="1:16">
      <c r="A108" s="955" t="s">
        <v>437</v>
      </c>
      <c r="B108" s="955" t="s">
        <v>438</v>
      </c>
      <c r="C108" s="956" t="s">
        <v>439</v>
      </c>
      <c r="D108" s="957" t="s">
        <v>17</v>
      </c>
      <c r="E108" s="954" t="s">
        <v>440</v>
      </c>
      <c r="F108" s="957" t="s">
        <v>440</v>
      </c>
      <c r="G108" s="957" t="s">
        <v>441</v>
      </c>
      <c r="H108" s="957" t="s">
        <v>441</v>
      </c>
      <c r="J108" s="901" t="str">
        <f>D108</f>
        <v>1</v>
      </c>
      <c r="K108" s="901">
        <f t="shared" si="13"/>
        <v>2798.93</v>
      </c>
      <c r="L108" s="901">
        <f t="shared" si="12"/>
        <v>2798.93</v>
      </c>
      <c r="M108" s="902">
        <f t="shared" si="14"/>
        <v>0</v>
      </c>
      <c r="N108" s="958" t="s">
        <v>17</v>
      </c>
      <c r="O108" s="958" t="s">
        <v>440</v>
      </c>
      <c r="P108">
        <f t="shared" si="16"/>
        <v>0</v>
      </c>
    </row>
    <row r="109" ht="22.5" spans="1:16">
      <c r="A109" s="955" t="s">
        <v>442</v>
      </c>
      <c r="B109" s="955" t="s">
        <v>443</v>
      </c>
      <c r="C109" s="956" t="s">
        <v>444</v>
      </c>
      <c r="D109" s="957" t="s">
        <v>406</v>
      </c>
      <c r="E109" s="954" t="s">
        <v>445</v>
      </c>
      <c r="F109" s="957" t="s">
        <v>446</v>
      </c>
      <c r="G109" s="957" t="s">
        <v>447</v>
      </c>
      <c r="H109" s="957" t="s">
        <v>447</v>
      </c>
      <c r="J109" s="901">
        <f>D109*1000</f>
        <v>200</v>
      </c>
      <c r="K109" s="901">
        <f t="shared" si="13"/>
        <v>3.1683</v>
      </c>
      <c r="L109" s="901">
        <f t="shared" si="12"/>
        <v>633.66</v>
      </c>
      <c r="M109" s="902">
        <f t="shared" si="14"/>
        <v>0</v>
      </c>
      <c r="N109" s="958">
        <v>200</v>
      </c>
      <c r="O109" s="958">
        <v>2.99447</v>
      </c>
      <c r="P109">
        <f t="shared" si="16"/>
        <v>0</v>
      </c>
    </row>
    <row r="110" spans="1:16">
      <c r="A110" s="955" t="s">
        <v>448</v>
      </c>
      <c r="B110" s="955" t="s">
        <v>112</v>
      </c>
      <c r="C110" s="956" t="s">
        <v>94</v>
      </c>
      <c r="D110" s="957" t="s">
        <v>270</v>
      </c>
      <c r="E110" s="954" t="s">
        <v>114</v>
      </c>
      <c r="F110" s="957" t="s">
        <v>449</v>
      </c>
      <c r="G110" s="957" t="s">
        <v>450</v>
      </c>
      <c r="H110" s="957" t="s">
        <v>450</v>
      </c>
      <c r="J110" s="901">
        <f t="shared" ref="J110:J114" si="20">D110*100</f>
        <v>190</v>
      </c>
      <c r="K110" s="901">
        <f t="shared" si="13"/>
        <v>31.0442105263158</v>
      </c>
      <c r="L110" s="901">
        <f t="shared" si="12"/>
        <v>5898.4</v>
      </c>
      <c r="M110" s="902">
        <f t="shared" si="14"/>
        <v>0</v>
      </c>
      <c r="N110" s="958">
        <v>190</v>
      </c>
      <c r="O110" s="958">
        <v>19.4379</v>
      </c>
      <c r="P110">
        <f t="shared" si="16"/>
        <v>0</v>
      </c>
    </row>
    <row r="111" spans="1:16">
      <c r="A111" s="955" t="s">
        <v>451</v>
      </c>
      <c r="B111" s="955" t="s">
        <v>452</v>
      </c>
      <c r="C111" s="956" t="s">
        <v>395</v>
      </c>
      <c r="D111" s="957" t="s">
        <v>17</v>
      </c>
      <c r="E111" s="954" t="s">
        <v>83</v>
      </c>
      <c r="F111" s="957" t="s">
        <v>83</v>
      </c>
      <c r="G111" s="957" t="s">
        <v>453</v>
      </c>
      <c r="H111" s="957" t="s">
        <v>453</v>
      </c>
      <c r="J111" s="901" t="str">
        <f>D111</f>
        <v>1</v>
      </c>
      <c r="K111" s="901">
        <f t="shared" si="13"/>
        <v>8720</v>
      </c>
      <c r="L111" s="901">
        <f t="shared" si="12"/>
        <v>8720</v>
      </c>
      <c r="M111" s="902">
        <f t="shared" si="14"/>
        <v>0</v>
      </c>
      <c r="P111">
        <f t="shared" ref="P111:P119" si="21">J111-N111</f>
        <v>1</v>
      </c>
    </row>
    <row r="112" ht="22.5" spans="1:16">
      <c r="A112" s="955" t="s">
        <v>454</v>
      </c>
      <c r="B112" s="955" t="s">
        <v>455</v>
      </c>
      <c r="C112" s="956" t="s">
        <v>456</v>
      </c>
      <c r="D112" s="957" t="s">
        <v>95</v>
      </c>
      <c r="E112" s="954" t="s">
        <v>457</v>
      </c>
      <c r="F112" s="957" t="s">
        <v>458</v>
      </c>
      <c r="G112" s="957" t="s">
        <v>459</v>
      </c>
      <c r="H112" s="957" t="s">
        <v>459</v>
      </c>
      <c r="J112" s="901">
        <f t="shared" si="20"/>
        <v>40</v>
      </c>
      <c r="K112" s="901">
        <f t="shared" si="13"/>
        <v>10.82775</v>
      </c>
      <c r="L112" s="901">
        <f t="shared" si="12"/>
        <v>433.11</v>
      </c>
      <c r="M112" s="902">
        <f t="shared" si="14"/>
        <v>0</v>
      </c>
      <c r="N112" s="959">
        <v>40</v>
      </c>
      <c r="O112" s="958">
        <v>5.0786</v>
      </c>
      <c r="P112">
        <f t="shared" si="21"/>
        <v>0</v>
      </c>
    </row>
    <row r="113" ht="22.5" spans="1:16">
      <c r="A113" s="955" t="s">
        <v>460</v>
      </c>
      <c r="B113" s="955" t="s">
        <v>461</v>
      </c>
      <c r="C113" s="956" t="s">
        <v>462</v>
      </c>
      <c r="D113" s="957" t="s">
        <v>375</v>
      </c>
      <c r="E113" s="954" t="s">
        <v>463</v>
      </c>
      <c r="F113" s="957" t="s">
        <v>464</v>
      </c>
      <c r="G113" s="957" t="s">
        <v>465</v>
      </c>
      <c r="H113" s="957" t="s">
        <v>465</v>
      </c>
      <c r="J113" s="901">
        <f t="shared" si="20"/>
        <v>80</v>
      </c>
      <c r="K113" s="901">
        <f t="shared" si="13"/>
        <v>3.162375</v>
      </c>
      <c r="L113" s="901">
        <f t="shared" si="12"/>
        <v>252.99</v>
      </c>
      <c r="M113" s="902">
        <f t="shared" si="14"/>
        <v>0</v>
      </c>
      <c r="N113" s="959">
        <v>80</v>
      </c>
      <c r="O113" s="958">
        <v>0.6377</v>
      </c>
      <c r="P113">
        <f t="shared" si="21"/>
        <v>0</v>
      </c>
    </row>
    <row r="114" ht="22.5" spans="1:16">
      <c r="A114" s="955" t="s">
        <v>466</v>
      </c>
      <c r="B114" s="955" t="s">
        <v>467</v>
      </c>
      <c r="C114" s="956" t="s">
        <v>462</v>
      </c>
      <c r="D114" s="957" t="s">
        <v>468</v>
      </c>
      <c r="E114" s="954" t="s">
        <v>469</v>
      </c>
      <c r="F114" s="957" t="s">
        <v>470</v>
      </c>
      <c r="G114" s="957" t="s">
        <v>471</v>
      </c>
      <c r="H114" s="957" t="s">
        <v>471</v>
      </c>
      <c r="J114" s="901">
        <f t="shared" si="20"/>
        <v>50</v>
      </c>
      <c r="K114" s="901">
        <f t="shared" si="13"/>
        <v>3.2074</v>
      </c>
      <c r="L114" s="901">
        <f t="shared" si="12"/>
        <v>160.37</v>
      </c>
      <c r="M114" s="902">
        <f t="shared" si="14"/>
        <v>0</v>
      </c>
      <c r="N114" s="959">
        <v>50</v>
      </c>
      <c r="O114" s="958">
        <v>0.7391</v>
      </c>
      <c r="P114">
        <f t="shared" si="21"/>
        <v>0</v>
      </c>
    </row>
    <row r="115" spans="1:16">
      <c r="A115" s="955" t="s">
        <v>472</v>
      </c>
      <c r="B115" s="955" t="s">
        <v>473</v>
      </c>
      <c r="C115" s="956" t="s">
        <v>474</v>
      </c>
      <c r="D115" s="957" t="s">
        <v>251</v>
      </c>
      <c r="E115" s="954" t="s">
        <v>475</v>
      </c>
      <c r="F115" s="957" t="s">
        <v>476</v>
      </c>
      <c r="G115" s="957" t="s">
        <v>477</v>
      </c>
      <c r="H115" s="957" t="s">
        <v>477</v>
      </c>
      <c r="J115" s="901">
        <f t="shared" ref="J115:J118" si="22">D115*10</f>
        <v>3</v>
      </c>
      <c r="K115" s="901">
        <f t="shared" si="13"/>
        <v>258.57</v>
      </c>
      <c r="L115" s="901">
        <f t="shared" si="12"/>
        <v>775.71</v>
      </c>
      <c r="M115" s="902">
        <f t="shared" si="14"/>
        <v>0</v>
      </c>
      <c r="N115" s="959">
        <v>3</v>
      </c>
      <c r="O115" s="958">
        <v>25.257</v>
      </c>
      <c r="P115">
        <f t="shared" si="21"/>
        <v>0</v>
      </c>
    </row>
    <row r="116" spans="1:16">
      <c r="A116" s="955" t="s">
        <v>478</v>
      </c>
      <c r="B116" s="955" t="s">
        <v>479</v>
      </c>
      <c r="C116" s="956" t="s">
        <v>474</v>
      </c>
      <c r="D116" s="957" t="s">
        <v>468</v>
      </c>
      <c r="E116" s="954" t="s">
        <v>480</v>
      </c>
      <c r="F116" s="957" t="s">
        <v>481</v>
      </c>
      <c r="G116" s="957" t="s">
        <v>482</v>
      </c>
      <c r="H116" s="957" t="s">
        <v>482</v>
      </c>
      <c r="J116" s="901">
        <f t="shared" si="22"/>
        <v>5</v>
      </c>
      <c r="K116" s="901">
        <f t="shared" si="13"/>
        <v>17.692</v>
      </c>
      <c r="L116" s="901">
        <f t="shared" si="12"/>
        <v>88.46</v>
      </c>
      <c r="M116" s="902">
        <f t="shared" si="14"/>
        <v>0</v>
      </c>
      <c r="N116" s="959">
        <v>5</v>
      </c>
      <c r="O116" s="958">
        <v>5.719</v>
      </c>
      <c r="P116">
        <f t="shared" si="21"/>
        <v>0</v>
      </c>
    </row>
    <row r="117" spans="1:16">
      <c r="A117" s="955" t="s">
        <v>483</v>
      </c>
      <c r="B117" s="955" t="s">
        <v>484</v>
      </c>
      <c r="C117" s="956" t="s">
        <v>474</v>
      </c>
      <c r="D117" s="957" t="s">
        <v>418</v>
      </c>
      <c r="E117" s="954" t="s">
        <v>485</v>
      </c>
      <c r="F117" s="957" t="s">
        <v>486</v>
      </c>
      <c r="G117" s="957" t="s">
        <v>487</v>
      </c>
      <c r="H117" s="957" t="s">
        <v>487</v>
      </c>
      <c r="J117" s="901">
        <f t="shared" si="22"/>
        <v>1</v>
      </c>
      <c r="K117" s="901">
        <f t="shared" si="13"/>
        <v>19.8</v>
      </c>
      <c r="L117" s="901">
        <f t="shared" si="12"/>
        <v>19.8</v>
      </c>
      <c r="M117" s="902">
        <f t="shared" si="14"/>
        <v>0</v>
      </c>
      <c r="N117" s="959">
        <v>1</v>
      </c>
      <c r="O117" s="958">
        <v>7.447</v>
      </c>
      <c r="P117">
        <f t="shared" si="21"/>
        <v>0</v>
      </c>
    </row>
    <row r="118" spans="1:16">
      <c r="A118" s="955" t="s">
        <v>488</v>
      </c>
      <c r="B118" s="955" t="s">
        <v>489</v>
      </c>
      <c r="C118" s="956" t="s">
        <v>405</v>
      </c>
      <c r="D118" s="957" t="s">
        <v>490</v>
      </c>
      <c r="E118" s="954" t="s">
        <v>491</v>
      </c>
      <c r="F118" s="957" t="s">
        <v>492</v>
      </c>
      <c r="G118" s="957" t="s">
        <v>493</v>
      </c>
      <c r="H118" s="957" t="s">
        <v>493</v>
      </c>
      <c r="J118" s="901">
        <f t="shared" si="22"/>
        <v>6</v>
      </c>
      <c r="K118" s="901">
        <f t="shared" si="13"/>
        <v>13.02</v>
      </c>
      <c r="L118" s="901">
        <f t="shared" si="12"/>
        <v>78.12</v>
      </c>
      <c r="M118" s="902">
        <f t="shared" si="14"/>
        <v>0</v>
      </c>
      <c r="N118" s="959">
        <v>6</v>
      </c>
      <c r="O118" s="958">
        <v>6.701</v>
      </c>
      <c r="P118">
        <f t="shared" si="21"/>
        <v>0</v>
      </c>
    </row>
    <row r="119" ht="15" spans="1:16">
      <c r="A119" s="955" t="s">
        <v>494</v>
      </c>
      <c r="B119" s="955" t="s">
        <v>495</v>
      </c>
      <c r="C119" s="956" t="s">
        <v>496</v>
      </c>
      <c r="D119" s="957" t="s">
        <v>19</v>
      </c>
      <c r="E119" s="954" t="s">
        <v>497</v>
      </c>
      <c r="F119" s="957" t="s">
        <v>498</v>
      </c>
      <c r="G119" s="957" t="s">
        <v>499</v>
      </c>
      <c r="H119" s="957" t="s">
        <v>499</v>
      </c>
      <c r="J119" s="901" t="str">
        <f>D119</f>
        <v>2</v>
      </c>
      <c r="K119" s="901">
        <f t="shared" si="13"/>
        <v>352.965</v>
      </c>
      <c r="L119" s="901">
        <f t="shared" si="12"/>
        <v>705.93</v>
      </c>
      <c r="M119" s="902">
        <f t="shared" si="14"/>
        <v>0</v>
      </c>
      <c r="N119" s="960" t="s">
        <v>19</v>
      </c>
      <c r="O119" s="960" t="s">
        <v>497</v>
      </c>
      <c r="P119">
        <f t="shared" si="21"/>
        <v>0</v>
      </c>
    </row>
    <row r="120" spans="1:16">
      <c r="A120" s="961" t="s">
        <v>83</v>
      </c>
      <c r="B120" s="961" t="s">
        <v>83</v>
      </c>
      <c r="C120" s="961" t="s">
        <v>83</v>
      </c>
      <c r="D120" s="961" t="s">
        <v>83</v>
      </c>
      <c r="E120" s="962" t="s">
        <v>83</v>
      </c>
      <c r="F120" s="961" t="s">
        <v>83</v>
      </c>
      <c r="G120" s="961" t="s">
        <v>83</v>
      </c>
      <c r="H120" s="961" t="s">
        <v>83</v>
      </c>
      <c r="L120" s="901">
        <f>SUM(L43:L119)</f>
        <v>128242.73</v>
      </c>
    </row>
    <row r="121" spans="1:16">
      <c r="A121" s="961" t="s">
        <v>83</v>
      </c>
      <c r="B121" s="961" t="s">
        <v>83</v>
      </c>
      <c r="C121" s="961" t="s">
        <v>83</v>
      </c>
      <c r="D121" s="961" t="s">
        <v>83</v>
      </c>
      <c r="E121" s="962" t="s">
        <v>83</v>
      </c>
      <c r="F121" s="961" t="s">
        <v>83</v>
      </c>
      <c r="G121" s="961" t="s">
        <v>83</v>
      </c>
      <c r="H121" s="961" t="s">
        <v>83</v>
      </c>
    </row>
    <row r="122" spans="1:16">
      <c r="A122" s="961" t="s">
        <v>83</v>
      </c>
      <c r="B122" s="961" t="s">
        <v>83</v>
      </c>
      <c r="C122" s="961" t="s">
        <v>83</v>
      </c>
      <c r="D122" s="961" t="s">
        <v>83</v>
      </c>
      <c r="E122" s="962" t="s">
        <v>83</v>
      </c>
      <c r="F122" s="961" t="s">
        <v>83</v>
      </c>
      <c r="G122" s="961" t="s">
        <v>83</v>
      </c>
      <c r="H122" s="961" t="s">
        <v>83</v>
      </c>
    </row>
    <row r="123" spans="1:16">
      <c r="A123" s="961" t="s">
        <v>83</v>
      </c>
      <c r="B123" s="961" t="s">
        <v>83</v>
      </c>
      <c r="C123" s="961" t="s">
        <v>83</v>
      </c>
      <c r="D123" s="961" t="s">
        <v>83</v>
      </c>
      <c r="E123" s="962" t="s">
        <v>83</v>
      </c>
      <c r="F123" s="961" t="s">
        <v>83</v>
      </c>
      <c r="G123" s="961" t="s">
        <v>83</v>
      </c>
      <c r="H123" s="961" t="s">
        <v>83</v>
      </c>
    </row>
    <row r="124" spans="1:16">
      <c r="A124" s="961" t="s">
        <v>83</v>
      </c>
      <c r="B124" s="961" t="s">
        <v>83</v>
      </c>
      <c r="C124" s="961" t="s">
        <v>83</v>
      </c>
      <c r="D124" s="961" t="s">
        <v>83</v>
      </c>
      <c r="E124" s="962" t="s">
        <v>83</v>
      </c>
      <c r="F124" s="961" t="s">
        <v>83</v>
      </c>
      <c r="G124" s="961" t="s">
        <v>83</v>
      </c>
      <c r="H124" s="961" t="s">
        <v>83</v>
      </c>
    </row>
    <row r="125" spans="1:16">
      <c r="A125" s="961" t="s">
        <v>83</v>
      </c>
      <c r="B125" s="961" t="s">
        <v>83</v>
      </c>
      <c r="C125" s="961" t="s">
        <v>83</v>
      </c>
      <c r="D125" s="961" t="s">
        <v>83</v>
      </c>
      <c r="E125" s="962" t="s">
        <v>83</v>
      </c>
      <c r="F125" s="961" t="s">
        <v>83</v>
      </c>
      <c r="G125" s="961" t="s">
        <v>83</v>
      </c>
      <c r="H125" s="961" t="s">
        <v>83</v>
      </c>
    </row>
    <row r="126" spans="1:16">
      <c r="A126" s="961" t="s">
        <v>83</v>
      </c>
      <c r="B126" s="961" t="s">
        <v>83</v>
      </c>
      <c r="C126" s="961" t="s">
        <v>83</v>
      </c>
      <c r="D126" s="961" t="s">
        <v>83</v>
      </c>
      <c r="E126" s="962" t="s">
        <v>83</v>
      </c>
      <c r="F126" s="961" t="s">
        <v>83</v>
      </c>
      <c r="G126" s="961" t="s">
        <v>83</v>
      </c>
      <c r="H126" s="961" t="s">
        <v>83</v>
      </c>
    </row>
    <row r="127" spans="1:16">
      <c r="A127" s="961" t="s">
        <v>83</v>
      </c>
      <c r="B127" s="961" t="s">
        <v>83</v>
      </c>
      <c r="C127" s="961" t="s">
        <v>83</v>
      </c>
      <c r="D127" s="961" t="s">
        <v>83</v>
      </c>
      <c r="E127" s="962" t="s">
        <v>83</v>
      </c>
      <c r="F127" s="961" t="s">
        <v>83</v>
      </c>
      <c r="G127" s="961" t="s">
        <v>83</v>
      </c>
      <c r="H127" s="961" t="s">
        <v>83</v>
      </c>
    </row>
    <row r="128" spans="1:16">
      <c r="A128" s="961" t="s">
        <v>83</v>
      </c>
      <c r="B128" s="961" t="s">
        <v>83</v>
      </c>
      <c r="C128" s="961" t="s">
        <v>83</v>
      </c>
      <c r="D128" s="961" t="s">
        <v>83</v>
      </c>
      <c r="E128" s="962" t="s">
        <v>83</v>
      </c>
      <c r="F128" s="961" t="s">
        <v>83</v>
      </c>
      <c r="G128" s="961" t="s">
        <v>83</v>
      </c>
      <c r="H128" s="961" t="s">
        <v>83</v>
      </c>
    </row>
    <row r="129" spans="1:8">
      <c r="A129" s="961" t="s">
        <v>83</v>
      </c>
      <c r="B129" s="961" t="s">
        <v>83</v>
      </c>
      <c r="C129" s="961" t="s">
        <v>83</v>
      </c>
      <c r="D129" s="961" t="s">
        <v>83</v>
      </c>
      <c r="E129" s="962" t="s">
        <v>83</v>
      </c>
      <c r="F129" s="961" t="s">
        <v>83</v>
      </c>
      <c r="G129" s="961" t="s">
        <v>83</v>
      </c>
      <c r="H129" s="961" t="s">
        <v>83</v>
      </c>
    </row>
    <row r="130" spans="1:8">
      <c r="A130" s="961" t="s">
        <v>83</v>
      </c>
      <c r="B130" s="961" t="s">
        <v>83</v>
      </c>
      <c r="C130" s="961" t="s">
        <v>83</v>
      </c>
      <c r="D130" s="961" t="s">
        <v>83</v>
      </c>
      <c r="E130" s="962" t="s">
        <v>83</v>
      </c>
      <c r="F130" s="961" t="s">
        <v>83</v>
      </c>
      <c r="G130" s="961" t="s">
        <v>83</v>
      </c>
      <c r="H130" s="961" t="s">
        <v>83</v>
      </c>
    </row>
    <row r="131" spans="1:8">
      <c r="A131" s="961" t="s">
        <v>83</v>
      </c>
      <c r="B131" s="961" t="s">
        <v>83</v>
      </c>
      <c r="C131" s="961" t="s">
        <v>83</v>
      </c>
      <c r="D131" s="961" t="s">
        <v>83</v>
      </c>
      <c r="E131" s="962" t="s">
        <v>83</v>
      </c>
      <c r="F131" s="961" t="s">
        <v>83</v>
      </c>
      <c r="G131" s="961" t="s">
        <v>83</v>
      </c>
      <c r="H131" s="961" t="s">
        <v>83</v>
      </c>
    </row>
    <row r="132" spans="1:8">
      <c r="A132" s="961" t="s">
        <v>83</v>
      </c>
      <c r="B132" s="961" t="s">
        <v>83</v>
      </c>
      <c r="C132" s="961" t="s">
        <v>83</v>
      </c>
      <c r="D132" s="961" t="s">
        <v>83</v>
      </c>
      <c r="E132" s="962" t="s">
        <v>83</v>
      </c>
      <c r="F132" s="961" t="s">
        <v>83</v>
      </c>
      <c r="G132" s="961" t="s">
        <v>83</v>
      </c>
      <c r="H132" s="961" t="s">
        <v>83</v>
      </c>
    </row>
    <row r="133" spans="1:8">
      <c r="A133" s="963" t="s">
        <v>500</v>
      </c>
      <c r="B133" s="963"/>
      <c r="C133" s="963"/>
      <c r="D133" s="963"/>
      <c r="E133" s="963"/>
      <c r="F133" s="957" t="s">
        <v>501</v>
      </c>
      <c r="G133" s="957" t="s">
        <v>502</v>
      </c>
      <c r="H133" s="957" t="s">
        <v>502</v>
      </c>
    </row>
    <row r="134" spans="1:8">
      <c r="A134" s="964" t="s">
        <v>503</v>
      </c>
      <c r="B134" s="964"/>
      <c r="C134" s="964"/>
      <c r="D134" s="964"/>
      <c r="E134" s="964"/>
      <c r="F134" s="953" t="s">
        <v>504</v>
      </c>
      <c r="G134" s="953" t="s">
        <v>505</v>
      </c>
      <c r="H134" s="953" t="s">
        <v>505</v>
      </c>
    </row>
  </sheetData>
  <mergeCells count="7">
    <mergeCell ref="A1:G1"/>
    <mergeCell ref="A3:B3"/>
    <mergeCell ref="A39:H39"/>
    <mergeCell ref="A40:F40"/>
    <mergeCell ref="G40:H40"/>
    <mergeCell ref="A133:E133"/>
    <mergeCell ref="A134:E134"/>
  </mergeCells>
  <printOptions horizontalCentered="1"/>
  <pageMargins left="0.979166666666667" right="0.790277777777778" top="0.86875" bottom="0.790277777777778" header="0.511805555555556" footer="0.511805555555556"/>
  <pageSetup paperSize="9" firstPageNumber="117" orientation="portrait" useFirstPageNumber="1" verticalDpi="180"/>
  <headerFooter alignWithMargins="0" scaleWithDoc="0"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63"/>
  <sheetViews>
    <sheetView zoomScale="85" zoomScaleNormal="85" workbookViewId="0">
      <pane ySplit="4" topLeftCell="A34" activePane="bottomLeft" state="frozen"/>
      <selection/>
      <selection pane="bottomLeft" activeCell="N207" sqref="N207"/>
    </sheetView>
  </sheetViews>
  <sheetFormatPr defaultColWidth="9" defaultRowHeight="14.25"/>
  <cols>
    <col min="1" max="1" width="6.375" style="791" customWidth="1"/>
    <col min="2" max="2" width="21.875" style="792" customWidth="1"/>
    <col min="3" max="3" width="4.75" style="791" customWidth="1"/>
    <col min="4" max="4" width="7.5" style="793" customWidth="1"/>
    <col min="5" max="5" width="7.375" style="794" customWidth="1"/>
    <col min="6" max="6" width="8.25" style="795" customWidth="1"/>
    <col min="7" max="7" width="7.375" style="657" customWidth="1"/>
    <col min="8" max="9" width="6.625" style="795" customWidth="1"/>
    <col min="10" max="10" width="6.875" style="795" customWidth="1"/>
    <col min="11" max="11" width="7.125" style="795" customWidth="1"/>
    <col min="12" max="12" width="8.25" style="795" customWidth="1"/>
    <col min="13" max="13" width="8.125" style="795" customWidth="1"/>
    <col min="14" max="14" width="6.75" style="795" customWidth="1"/>
    <col min="15" max="15" width="9.375" style="796" customWidth="1"/>
    <col min="16" max="16" width="9" style="797"/>
    <col min="17" max="17" width="9" style="791"/>
    <col min="18" max="19" width="9" style="795"/>
    <col min="20" max="20" width="9" style="657"/>
    <col min="21" max="16384" width="9" style="795"/>
  </cols>
  <sheetData>
    <row r="1" s="783" customFormat="1" ht="26.25" customHeight="1" spans="1:21">
      <c r="A1" s="798" t="s">
        <v>506</v>
      </c>
      <c r="B1" s="799"/>
      <c r="C1" s="800"/>
      <c r="D1" s="800"/>
      <c r="E1" s="800"/>
      <c r="F1" s="800"/>
      <c r="G1" s="801"/>
      <c r="H1" s="800"/>
      <c r="I1" s="800"/>
      <c r="J1" s="800"/>
      <c r="K1" s="800"/>
      <c r="L1" s="800"/>
      <c r="M1" s="800"/>
      <c r="N1" s="800"/>
      <c r="O1" s="802"/>
      <c r="P1" s="803"/>
      <c r="Q1" s="784"/>
      <c r="T1" s="804"/>
    </row>
    <row r="2" s="783" customFormat="1" ht="18" customHeight="1" spans="1:21">
      <c r="A2" s="805" t="s">
        <v>507</v>
      </c>
      <c r="B2" s="806" t="s">
        <v>508</v>
      </c>
      <c r="C2" s="806" t="s">
        <v>60</v>
      </c>
      <c r="D2" s="806" t="s">
        <v>62</v>
      </c>
      <c r="E2" s="806" t="s">
        <v>509</v>
      </c>
      <c r="F2" s="806"/>
      <c r="G2" s="807"/>
      <c r="H2" s="806"/>
      <c r="I2" s="806"/>
      <c r="J2" s="806"/>
      <c r="K2" s="806"/>
      <c r="L2" s="806"/>
      <c r="M2" s="806"/>
      <c r="N2" s="808"/>
      <c r="O2" s="802"/>
      <c r="P2" s="803"/>
      <c r="Q2" s="784"/>
      <c r="T2" s="804"/>
    </row>
    <row r="3" s="783" customFormat="1" ht="18" customHeight="1" spans="1:21">
      <c r="A3" s="809"/>
      <c r="B3" s="810"/>
      <c r="C3" s="810"/>
      <c r="D3" s="810"/>
      <c r="E3" s="810" t="s">
        <v>510</v>
      </c>
      <c r="F3" s="810" t="s">
        <v>511</v>
      </c>
      <c r="G3" s="811" t="s">
        <v>512</v>
      </c>
      <c r="H3" s="810" t="s">
        <v>513</v>
      </c>
      <c r="I3" s="810" t="s">
        <v>514</v>
      </c>
      <c r="J3" s="810" t="s">
        <v>515</v>
      </c>
      <c r="K3" s="810" t="s">
        <v>516</v>
      </c>
      <c r="L3" s="810" t="s">
        <v>517</v>
      </c>
      <c r="M3" s="810" t="s">
        <v>518</v>
      </c>
      <c r="N3" s="812" t="s">
        <v>519</v>
      </c>
      <c r="O3" s="802"/>
      <c r="P3" s="803"/>
      <c r="Q3" s="784"/>
      <c r="T3" s="804"/>
    </row>
    <row r="4" s="783" customFormat="1" ht="18" customHeight="1" spans="1:21">
      <c r="A4" s="809"/>
      <c r="B4" s="810"/>
      <c r="C4" s="810"/>
      <c r="D4" s="810"/>
      <c r="E4" s="810"/>
      <c r="F4" s="810"/>
      <c r="G4" s="811"/>
      <c r="H4" s="810"/>
      <c r="I4" s="810"/>
      <c r="J4" s="810"/>
      <c r="K4" s="810"/>
      <c r="L4" s="810"/>
      <c r="M4" s="810"/>
      <c r="N4" s="812"/>
      <c r="O4" s="802"/>
      <c r="P4" s="803"/>
      <c r="Q4" s="784"/>
      <c r="T4" s="804"/>
    </row>
    <row r="5" s="784" customFormat="1" ht="20.1" customHeight="1" spans="1:21">
      <c r="A5" s="813">
        <v>-1</v>
      </c>
      <c r="B5" s="814">
        <v>-2</v>
      </c>
      <c r="C5" s="815">
        <v>-3</v>
      </c>
      <c r="D5" s="815">
        <v>-4</v>
      </c>
      <c r="E5" s="815">
        <v>-5</v>
      </c>
      <c r="F5" s="815">
        <v>-6</v>
      </c>
      <c r="G5" s="815">
        <v>-7</v>
      </c>
      <c r="H5" s="815">
        <v>-8</v>
      </c>
      <c r="I5" s="815">
        <v>-9</v>
      </c>
      <c r="J5" s="815">
        <v>-10</v>
      </c>
      <c r="K5" s="815">
        <v>-11</v>
      </c>
      <c r="L5" s="815">
        <v>-12</v>
      </c>
      <c r="M5" s="815">
        <v>-13</v>
      </c>
      <c r="N5" s="816">
        <v>-14</v>
      </c>
      <c r="O5" s="802"/>
      <c r="P5" s="817"/>
      <c r="T5" s="818"/>
    </row>
    <row r="6" s="784" customFormat="1" ht="20.1" customHeight="1" spans="1:21">
      <c r="A6" s="813" t="s">
        <v>520</v>
      </c>
      <c r="B6" s="819" t="str">
        <f>维修!E2</f>
        <v>坡面修复（挖土运距100m）</v>
      </c>
      <c r="C6" s="820" t="s">
        <v>521</v>
      </c>
      <c r="D6" s="821">
        <f t="shared" ref="D6:D11" si="0">SUM(E6:N6)</f>
        <v>6378.5176221735</v>
      </c>
      <c r="E6" s="821">
        <f>维修!G9</f>
        <v>4783.292</v>
      </c>
      <c r="F6" s="821">
        <f>维修!G12</f>
        <v>45.9196032</v>
      </c>
      <c r="G6" s="822"/>
      <c r="H6" s="821"/>
      <c r="I6" s="821">
        <f>维修!G16</f>
        <v>236.035574297038</v>
      </c>
      <c r="J6" s="821">
        <f>维修!G17</f>
        <v>231.90495174684</v>
      </c>
      <c r="K6" s="821">
        <f>维修!G18</f>
        <v>376.974382672919</v>
      </c>
      <c r="L6" s="821"/>
      <c r="M6" s="821">
        <f>维修!G19</f>
        <v>518.609043591459</v>
      </c>
      <c r="N6" s="823">
        <f>SUM(E6:M6)*3%</f>
        <v>185.782066665248</v>
      </c>
      <c r="O6" s="802">
        <f>维修!G21</f>
        <v>6469.35970266812</v>
      </c>
      <c r="P6" s="817">
        <f t="shared" ref="P6:P10" si="1">D6-O6</f>
        <v>-90.8420804946154</v>
      </c>
      <c r="Q6" s="784">
        <v>17</v>
      </c>
      <c r="T6" s="818"/>
    </row>
    <row r="7" s="785" customFormat="1" ht="20.1" customHeight="1" spans="1:21">
      <c r="A7" s="813" t="s">
        <v>522</v>
      </c>
      <c r="B7" s="819" t="str">
        <f>维修!E24</f>
        <v>人工挖一般淤泥(10m)</v>
      </c>
      <c r="C7" s="820" t="s">
        <v>521</v>
      </c>
      <c r="D7" s="821">
        <f t="shared" si="0"/>
        <v>2950.5613756377</v>
      </c>
      <c r="E7" s="821">
        <f>维修!G31</f>
        <v>2198.768</v>
      </c>
      <c r="F7" s="821">
        <f>维修!G34</f>
        <v>43.97536</v>
      </c>
      <c r="G7" s="822"/>
      <c r="H7" s="821"/>
      <c r="I7" s="821">
        <f>维修!G36</f>
        <v>107.65168128</v>
      </c>
      <c r="J7" s="821">
        <f>维修!G37</f>
        <v>105.7677768576</v>
      </c>
      <c r="K7" s="821">
        <f>维修!G38</f>
        <v>171.931397269632</v>
      </c>
      <c r="L7" s="821"/>
      <c r="M7" s="821">
        <f>维修!G39</f>
        <v>236.528479386651</v>
      </c>
      <c r="N7" s="823">
        <f t="shared" ref="N7:N38" si="2">SUM(E7:M7)*3%</f>
        <v>85.9386808438165</v>
      </c>
      <c r="O7" s="824">
        <f>维修!G41</f>
        <v>2950.5613756377</v>
      </c>
      <c r="P7" s="825">
        <f t="shared" si="1"/>
        <v>0</v>
      </c>
      <c r="Q7" s="785">
        <v>18</v>
      </c>
      <c r="T7" s="826"/>
    </row>
    <row r="8" s="784" customFormat="1" ht="20.1" customHeight="1" spans="1:21">
      <c r="A8" s="813" t="s">
        <v>523</v>
      </c>
      <c r="B8" s="819" t="str">
        <f>维修!E44</f>
        <v>人工挖一般淤泥(40m)</v>
      </c>
      <c r="C8" s="820" t="s">
        <v>521</v>
      </c>
      <c r="D8" s="821">
        <f t="shared" si="0"/>
        <v>4644.1271347558</v>
      </c>
      <c r="E8" s="821">
        <f>维修!G51</f>
        <v>3460.81875</v>
      </c>
      <c r="F8" s="821">
        <f>维修!G54</f>
        <v>69.216375</v>
      </c>
      <c r="G8" s="827"/>
      <c r="H8" s="821"/>
      <c r="I8" s="821">
        <f>维修!G56</f>
        <v>169.441686</v>
      </c>
      <c r="J8" s="821">
        <f>维修!G57</f>
        <v>166.476456495</v>
      </c>
      <c r="K8" s="821">
        <f>维修!G58</f>
        <v>270.61672872465</v>
      </c>
      <c r="L8" s="821"/>
      <c r="M8" s="821">
        <f>维修!G59</f>
        <v>372.291299659769</v>
      </c>
      <c r="N8" s="823">
        <f t="shared" si="2"/>
        <v>135.265838876383</v>
      </c>
      <c r="O8" s="802">
        <f>维修!G61</f>
        <v>4644.1271347558</v>
      </c>
      <c r="P8" s="817">
        <f t="shared" si="1"/>
        <v>0</v>
      </c>
      <c r="Q8" s="784">
        <v>18</v>
      </c>
      <c r="T8" s="818"/>
    </row>
    <row r="9" s="784" customFormat="1" ht="22.5" spans="1:21">
      <c r="A9" s="813" t="s">
        <v>524</v>
      </c>
      <c r="B9" s="819" t="str">
        <f>维修!E64</f>
        <v>人工挖装土机动翻斗车运输Ⅰ～Ⅱ类土(100m)</v>
      </c>
      <c r="C9" s="820" t="s">
        <v>521</v>
      </c>
      <c r="D9" s="821">
        <f t="shared" si="0"/>
        <v>1749.09187169538</v>
      </c>
      <c r="E9" s="821">
        <f>维修!G71</f>
        <v>636.431</v>
      </c>
      <c r="F9" s="821">
        <f>维修!G74</f>
        <v>11.0637405650179</v>
      </c>
      <c r="G9" s="822">
        <f>维修!G76</f>
        <v>469.943056501795</v>
      </c>
      <c r="H9" s="821"/>
      <c r="I9" s="821">
        <f>维修!G78</f>
        <v>53.637014259207</v>
      </c>
      <c r="J9" s="821">
        <f>维修!G79</f>
        <v>52.6983665096709</v>
      </c>
      <c r="K9" s="821">
        <f>维修!G80</f>
        <v>85.6641224484984</v>
      </c>
      <c r="L9" s="821">
        <f>维修!G81</f>
        <v>248.49613847539</v>
      </c>
      <c r="M9" s="821">
        <f>维修!G83</f>
        <v>140.214009488362</v>
      </c>
      <c r="N9" s="823">
        <f t="shared" si="2"/>
        <v>50.9444234474382</v>
      </c>
      <c r="O9" s="802">
        <f>维修!G85</f>
        <v>1749.09187169538</v>
      </c>
      <c r="P9" s="817">
        <f t="shared" si="1"/>
        <v>0</v>
      </c>
      <c r="T9" s="818"/>
      <c r="U9" s="784">
        <v>1</v>
      </c>
    </row>
    <row r="10" s="785" customFormat="1" ht="20.1" customHeight="1" spans="1:21">
      <c r="A10" s="813" t="s">
        <v>525</v>
      </c>
      <c r="B10" s="819" t="str">
        <f>维修!E88</f>
        <v>挖掘机挖土方</v>
      </c>
      <c r="C10" s="820" t="s">
        <v>521</v>
      </c>
      <c r="D10" s="821">
        <f t="shared" si="0"/>
        <v>313.778490140409</v>
      </c>
      <c r="E10" s="821">
        <f>维修!G95</f>
        <v>23.657</v>
      </c>
      <c r="F10" s="821">
        <f>维修!G98</f>
        <v>6.87530065459114</v>
      </c>
      <c r="G10" s="822">
        <f>维修!G100</f>
        <v>113.849013091823</v>
      </c>
      <c r="H10" s="821"/>
      <c r="I10" s="821">
        <f>维修!G102</f>
        <v>6.93030305982787</v>
      </c>
      <c r="J10" s="821">
        <f>维修!G103</f>
        <v>6.80902275628088</v>
      </c>
      <c r="K10" s="821">
        <f>维修!G104</f>
        <v>11.0684447693766</v>
      </c>
      <c r="L10" s="821">
        <f>维修!G105</f>
        <v>110.296521921248</v>
      </c>
      <c r="M10" s="821">
        <f>维修!G107</f>
        <v>25.1537045627833</v>
      </c>
      <c r="N10" s="823">
        <f t="shared" si="2"/>
        <v>9.13917932447792</v>
      </c>
      <c r="O10" s="824">
        <f>维修!G109</f>
        <v>313.778490140409</v>
      </c>
      <c r="P10" s="825">
        <f t="shared" si="1"/>
        <v>0</v>
      </c>
      <c r="T10" s="826">
        <f t="shared" ref="T10:T14" si="3">D10/100</f>
        <v>3.13778490140409</v>
      </c>
      <c r="U10" s="785">
        <v>2</v>
      </c>
    </row>
    <row r="11" s="785" customFormat="1" ht="20.1" customHeight="1" spans="1:21">
      <c r="A11" s="813" t="s">
        <v>526</v>
      </c>
      <c r="B11" s="819" t="str">
        <f>维修!E112</f>
        <v>挖掘机挖土方（Ⅲ类土）</v>
      </c>
      <c r="C11" s="820" t="s">
        <v>521</v>
      </c>
      <c r="D11" s="821">
        <f t="shared" si="0"/>
        <v>477.944779688806</v>
      </c>
      <c r="E11" s="821">
        <f>维修!G119</f>
        <v>23.657</v>
      </c>
      <c r="F11" s="821">
        <f>维修!G122</f>
        <v>10.1997813349501</v>
      </c>
      <c r="G11" s="822">
        <f>维修!G124</f>
        <v>180.338626699003</v>
      </c>
      <c r="H11" s="821"/>
      <c r="I11" s="821">
        <f>维修!G126</f>
        <v>10.2813795856297</v>
      </c>
      <c r="J11" s="821">
        <f>维修!G127</f>
        <v>10.1014554428812</v>
      </c>
      <c r="K11" s="821">
        <f>维修!G128</f>
        <v>16.4204770143725</v>
      </c>
      <c r="L11" s="821">
        <f>维修!G129</f>
        <v>174.711424831693</v>
      </c>
      <c r="M11" s="821">
        <f>维修!G131</f>
        <v>38.3139130417676</v>
      </c>
      <c r="N11" s="823">
        <f t="shared" si="2"/>
        <v>13.9207217385089</v>
      </c>
      <c r="O11" s="824"/>
      <c r="P11" s="825"/>
      <c r="T11" s="826"/>
    </row>
    <row r="12" s="785" customFormat="1" ht="20.1" customHeight="1" spans="1:21">
      <c r="A12" s="813" t="s">
        <v>527</v>
      </c>
      <c r="B12" s="819" t="str">
        <f>维修!E135</f>
        <v>挖掘机挖淤泥流砂（Ⅳ类土）</v>
      </c>
      <c r="C12" s="820" t="s">
        <v>521</v>
      </c>
      <c r="D12" s="821">
        <f t="shared" ref="D12:D18" si="4">SUM(E12:N12)</f>
        <v>314.75803351914</v>
      </c>
      <c r="E12" s="821">
        <f>维修!G142</f>
        <v>23.657</v>
      </c>
      <c r="F12" s="821">
        <f>维修!G145</f>
        <v>7.57580315676107</v>
      </c>
      <c r="G12" s="822">
        <f>维修!G147</f>
        <v>127.859063135221</v>
      </c>
      <c r="H12" s="821"/>
      <c r="I12" s="821">
        <f>维修!G149</f>
        <v>7.63640958201516</v>
      </c>
      <c r="J12" s="821">
        <f>维修!G150</f>
        <v>7.50277241432989</v>
      </c>
      <c r="K12" s="821">
        <f>维修!G151</f>
        <v>12.1961733801829</v>
      </c>
      <c r="L12" s="821">
        <f>维修!G152</f>
        <v>93.9308735654261</v>
      </c>
      <c r="M12" s="821">
        <f>维修!G154</f>
        <v>25.2322285710543</v>
      </c>
      <c r="N12" s="823">
        <f t="shared" si="2"/>
        <v>9.16770971414971</v>
      </c>
      <c r="O12" s="824">
        <f>维修!G156</f>
        <v>314.758033519141</v>
      </c>
      <c r="P12" s="825">
        <f t="shared" ref="P12:P18" si="5">D12-O12</f>
        <v>-8.5265128291212e-13</v>
      </c>
      <c r="T12" s="826">
        <f t="shared" si="3"/>
        <v>3.1475803351914</v>
      </c>
      <c r="U12" s="785">
        <v>3</v>
      </c>
    </row>
    <row r="13" s="785" customFormat="1" ht="24.95" hidden="1" customHeight="1" spans="1:21">
      <c r="A13" s="813" t="s">
        <v>528</v>
      </c>
      <c r="B13" s="828" t="s">
        <v>529</v>
      </c>
      <c r="C13" s="820" t="s">
        <v>521</v>
      </c>
      <c r="D13" s="821">
        <f t="shared" si="4"/>
        <v>964.477756369689</v>
      </c>
      <c r="E13" s="821">
        <f>维修!G166</f>
        <v>42.53067</v>
      </c>
      <c r="F13" s="821">
        <f>维修!G169</f>
        <v>29.5231570834803</v>
      </c>
      <c r="G13" s="822">
        <f>维修!G171</f>
        <v>547.932471669605</v>
      </c>
      <c r="H13" s="821"/>
      <c r="I13" s="821">
        <f>维修!G175</f>
        <v>29.7593423401481</v>
      </c>
      <c r="J13" s="821">
        <f>维修!G176</f>
        <v>29.2385538491955</v>
      </c>
      <c r="K13" s="821">
        <f>维修!G177</f>
        <v>47.52889364597</v>
      </c>
      <c r="L13" s="821">
        <f>维修!G178</f>
        <v>132.556793276471</v>
      </c>
      <c r="M13" s="821">
        <f>维修!G181</f>
        <v>77.3162893678382</v>
      </c>
      <c r="N13" s="823">
        <f t="shared" si="2"/>
        <v>28.0915851369812</v>
      </c>
      <c r="O13" s="824">
        <f>维修!G183</f>
        <v>964.477756369688</v>
      </c>
      <c r="P13" s="825">
        <f t="shared" si="5"/>
        <v>1.36424205265939e-12</v>
      </c>
      <c r="T13" s="826"/>
    </row>
    <row r="14" s="784" customFormat="1" ht="24.95" hidden="1" customHeight="1" spans="1:21">
      <c r="A14" s="813" t="s">
        <v>530</v>
      </c>
      <c r="B14" s="819" t="s">
        <v>531</v>
      </c>
      <c r="C14" s="820" t="s">
        <v>521</v>
      </c>
      <c r="D14" s="821">
        <f t="shared" si="4"/>
        <v>1138.37061346067</v>
      </c>
      <c r="E14" s="821">
        <f>维修!G193</f>
        <v>42.53067</v>
      </c>
      <c r="F14" s="821">
        <f>维修!G196</f>
        <v>35.8173112321719</v>
      </c>
      <c r="G14" s="827">
        <f>维修!G198</f>
        <v>673.815554643438</v>
      </c>
      <c r="H14" s="821"/>
      <c r="I14" s="821">
        <f>维修!G202</f>
        <v>36.1038497220293</v>
      </c>
      <c r="J14" s="821">
        <f>维修!G203</f>
        <v>35.4720323518938</v>
      </c>
      <c r="K14" s="821">
        <f>维修!G204</f>
        <v>57.6617592564673</v>
      </c>
      <c r="L14" s="821">
        <f>维修!G205</f>
        <v>132.556793276471</v>
      </c>
      <c r="M14" s="821">
        <f>维修!G208</f>
        <v>91.2562173434224</v>
      </c>
      <c r="N14" s="823">
        <f t="shared" si="2"/>
        <v>33.1564256347768</v>
      </c>
      <c r="O14" s="802">
        <f>维修!G210</f>
        <v>1138.37061346067</v>
      </c>
      <c r="P14" s="817">
        <f t="shared" si="5"/>
        <v>0</v>
      </c>
      <c r="Q14" s="784">
        <v>21</v>
      </c>
      <c r="T14" s="818">
        <f t="shared" si="3"/>
        <v>11.3837061346067</v>
      </c>
      <c r="U14" s="784">
        <v>4</v>
      </c>
    </row>
    <row r="15" s="784" customFormat="1" ht="24.95" hidden="1" customHeight="1" spans="1:21">
      <c r="A15" s="813" t="s">
        <v>532</v>
      </c>
      <c r="B15" s="819" t="s">
        <v>533</v>
      </c>
      <c r="C15" s="820" t="s">
        <v>521</v>
      </c>
      <c r="D15" s="821">
        <f t="shared" si="4"/>
        <v>1429.11504012553</v>
      </c>
      <c r="E15" s="821">
        <f>维修!G220</f>
        <v>42.53067</v>
      </c>
      <c r="F15" s="821">
        <f>维修!G223</f>
        <v>46.3409766081691</v>
      </c>
      <c r="G15" s="822">
        <f>维修!G225</f>
        <v>884.288862163383</v>
      </c>
      <c r="H15" s="821"/>
      <c r="I15" s="821">
        <f>维修!G229</f>
        <v>46.7117044210345</v>
      </c>
      <c r="J15" s="821">
        <f>维修!G230</f>
        <v>45.8942495936664</v>
      </c>
      <c r="K15" s="821">
        <f>维修!G231</f>
        <v>74.6036523950377</v>
      </c>
      <c r="L15" s="821">
        <f>维修!G232</f>
        <v>132.556793276471</v>
      </c>
      <c r="M15" s="821">
        <f>维修!G235</f>
        <v>114.563421761199</v>
      </c>
      <c r="N15" s="823">
        <f t="shared" si="2"/>
        <v>41.6247099065688</v>
      </c>
      <c r="O15" s="802">
        <f>维修!G237</f>
        <v>1429.11504012553</v>
      </c>
      <c r="P15" s="817">
        <f t="shared" si="5"/>
        <v>0</v>
      </c>
      <c r="Q15" s="784">
        <v>21</v>
      </c>
      <c r="T15" s="818"/>
    </row>
    <row r="16" s="784" customFormat="1" ht="24.95" hidden="1" customHeight="1" spans="1:21">
      <c r="A16" s="813" t="s">
        <v>534</v>
      </c>
      <c r="B16" s="819" t="s">
        <v>535</v>
      </c>
      <c r="C16" s="820" t="s">
        <v>521</v>
      </c>
      <c r="D16" s="821">
        <f t="shared" si="4"/>
        <v>1617.9604677307</v>
      </c>
      <c r="E16" s="821">
        <f>维修!G247</f>
        <v>42.53067</v>
      </c>
      <c r="F16" s="821">
        <f>维修!G250</f>
        <v>53.1763478333407</v>
      </c>
      <c r="G16" s="822">
        <f>维修!G252</f>
        <v>1020.99628666681</v>
      </c>
      <c r="H16" s="821"/>
      <c r="I16" s="821">
        <f>维修!G256</f>
        <v>53.6017586160074</v>
      </c>
      <c r="J16" s="821">
        <f>维修!G257</f>
        <v>52.6637278402272</v>
      </c>
      <c r="K16" s="821">
        <f>维修!G258</f>
        <v>85.6078153669472</v>
      </c>
      <c r="L16" s="821">
        <f>维修!G259</f>
        <v>132.556793276471</v>
      </c>
      <c r="M16" s="821">
        <f>维修!G262</f>
        <v>129.702005963982</v>
      </c>
      <c r="N16" s="823">
        <f t="shared" si="2"/>
        <v>47.1250621669136</v>
      </c>
      <c r="O16" s="802">
        <f>维修!G264</f>
        <v>1617.9604677307</v>
      </c>
      <c r="P16" s="817">
        <f t="shared" si="5"/>
        <v>0</v>
      </c>
      <c r="Q16" s="784">
        <v>21</v>
      </c>
      <c r="T16" s="818"/>
    </row>
    <row r="17" s="785" customFormat="1" ht="24.95" hidden="1" customHeight="1" spans="1:21">
      <c r="A17" s="813" t="s">
        <v>536</v>
      </c>
      <c r="B17" s="828" t="s">
        <v>537</v>
      </c>
      <c r="C17" s="820" t="s">
        <v>521</v>
      </c>
      <c r="D17" s="821">
        <f t="shared" si="4"/>
        <v>2009.49629563937</v>
      </c>
      <c r="E17" s="821">
        <f>维修!G274</f>
        <v>42.53067</v>
      </c>
      <c r="F17" s="821">
        <f>维修!G277</f>
        <v>67.3482172063502</v>
      </c>
      <c r="G17" s="822">
        <f>维修!G279</f>
        <v>1304.433674127</v>
      </c>
      <c r="H17" s="821"/>
      <c r="I17" s="821">
        <f>维修!G283</f>
        <v>67.887002944001</v>
      </c>
      <c r="J17" s="821">
        <f>维修!G284</f>
        <v>66.698980392481</v>
      </c>
      <c r="K17" s="821">
        <f>维修!G285</f>
        <v>108.422898126889</v>
      </c>
      <c r="L17" s="821">
        <f>维修!G286</f>
        <v>132.556793276471</v>
      </c>
      <c r="M17" s="821">
        <f>维修!G289</f>
        <v>161.089041246588</v>
      </c>
      <c r="N17" s="823">
        <f t="shared" si="2"/>
        <v>58.5290183195934</v>
      </c>
      <c r="O17" s="824">
        <f>维修!G291</f>
        <v>2009.49629563938</v>
      </c>
      <c r="P17" s="825">
        <f t="shared" si="5"/>
        <v>-6.3664629124105e-12</v>
      </c>
      <c r="Q17" s="785">
        <v>21</v>
      </c>
      <c r="T17" s="826"/>
      <c r="U17" s="785">
        <v>5</v>
      </c>
    </row>
    <row r="18" s="785" customFormat="1" ht="24.95" hidden="1" customHeight="1" spans="1:21">
      <c r="A18" s="813" t="s">
        <v>538</v>
      </c>
      <c r="B18" s="828" t="s">
        <v>539</v>
      </c>
      <c r="C18" s="820" t="s">
        <v>521</v>
      </c>
      <c r="D18" s="821">
        <f t="shared" si="4"/>
        <v>2567.72559483591</v>
      </c>
      <c r="E18" s="821">
        <f>维修!G301</f>
        <v>42.53067</v>
      </c>
      <c r="F18" s="821">
        <f>维修!G304</f>
        <v>87.5536547282649</v>
      </c>
      <c r="G18" s="822">
        <f>维修!G306</f>
        <v>1708.5424245653</v>
      </c>
      <c r="H18" s="821"/>
      <c r="I18" s="821">
        <f>维修!G310</f>
        <v>88.254083966091</v>
      </c>
      <c r="J18" s="821">
        <f>维修!G311</f>
        <v>86.7096374966844</v>
      </c>
      <c r="K18" s="821">
        <f>维修!G312</f>
        <v>140.951332952944</v>
      </c>
      <c r="L18" s="821">
        <f>维修!G313</f>
        <v>132.556793276471</v>
      </c>
      <c r="M18" s="821">
        <f>维修!G316</f>
        <v>205.838873728717</v>
      </c>
      <c r="N18" s="823">
        <f t="shared" si="2"/>
        <v>74.7881241214342</v>
      </c>
      <c r="O18" s="824">
        <f>维修!G318</f>
        <v>2567.7255948359</v>
      </c>
      <c r="P18" s="825">
        <f t="shared" si="5"/>
        <v>5.91171556152403e-12</v>
      </c>
      <c r="Q18" s="785">
        <v>22</v>
      </c>
      <c r="T18" s="826"/>
      <c r="U18" s="785">
        <v>6</v>
      </c>
    </row>
    <row r="19" s="785" customFormat="1" ht="24.95" customHeight="1" spans="1:21">
      <c r="A19" s="813" t="s">
        <v>540</v>
      </c>
      <c r="B19" s="828" t="str">
        <f>维修!E321</f>
        <v>1m3挖掘机挖装土自卸汽车运输（运距：≤0.25km）Ⅰ-Ⅱ类土</v>
      </c>
      <c r="C19" s="820" t="s">
        <v>521</v>
      </c>
      <c r="D19" s="821">
        <f t="shared" ref="D19:D32" si="6">SUM(E19:N19)</f>
        <v>938.580277286873</v>
      </c>
      <c r="E19" s="821">
        <f>维修!G328</f>
        <v>27.30364</v>
      </c>
      <c r="F19" s="821">
        <f>维修!G331</f>
        <v>21.0602082578221</v>
      </c>
      <c r="G19" s="822">
        <f>维修!G333</f>
        <v>393.900525156442</v>
      </c>
      <c r="H19" s="821"/>
      <c r="I19" s="821">
        <f>维修!G337</f>
        <v>21.2286899238847</v>
      </c>
      <c r="J19" s="821">
        <f>维修!G338</f>
        <v>20.8571878502167</v>
      </c>
      <c r="K19" s="821">
        <f>维修!G339</f>
        <v>33.9045175831856</v>
      </c>
      <c r="L19" s="821">
        <f>维修!G340</f>
        <v>317.747972198319</v>
      </c>
      <c r="M19" s="821">
        <f>维修!G342</f>
        <v>75.2402466872883</v>
      </c>
      <c r="N19" s="823">
        <f t="shared" si="2"/>
        <v>27.3372896297147</v>
      </c>
      <c r="O19" s="824">
        <f>维修!G344</f>
        <v>938.580277286874</v>
      </c>
      <c r="P19" s="825">
        <f t="shared" ref="P19:P32" si="7">D19-O19</f>
        <v>-9.09494701772928e-13</v>
      </c>
      <c r="T19" s="826"/>
    </row>
    <row r="20" s="785" customFormat="1" ht="24.95" customHeight="1" spans="1:21">
      <c r="A20" s="813" t="s">
        <v>541</v>
      </c>
      <c r="B20" s="828" t="s">
        <v>542</v>
      </c>
      <c r="C20" s="820" t="s">
        <v>521</v>
      </c>
      <c r="D20" s="821">
        <f t="shared" si="6"/>
        <v>1039.37054044041</v>
      </c>
      <c r="E20" s="821">
        <f>维修!G354</f>
        <v>27.30364</v>
      </c>
      <c r="F20" s="821">
        <f>维修!G357</f>
        <v>23.2222197503231</v>
      </c>
      <c r="G20" s="822">
        <f>维修!G359</f>
        <v>437.140755006462</v>
      </c>
      <c r="H20" s="821"/>
      <c r="I20" s="821">
        <f>维修!G363</f>
        <v>23.4079975083257</v>
      </c>
      <c r="J20" s="821">
        <f>维修!G364</f>
        <v>22.99835755193</v>
      </c>
      <c r="K20" s="821">
        <f>维修!G365</f>
        <v>37.3851078871929</v>
      </c>
      <c r="L20" s="821">
        <f>维修!G366</f>
        <v>354.319548055462</v>
      </c>
      <c r="M20" s="821">
        <f>维修!G368</f>
        <v>83.3199863183726</v>
      </c>
      <c r="N20" s="823">
        <f t="shared" si="2"/>
        <v>30.272928362342</v>
      </c>
      <c r="O20" s="824">
        <f>维修!G370</f>
        <v>1039.37054044041</v>
      </c>
      <c r="P20" s="825">
        <f t="shared" si="7"/>
        <v>0</v>
      </c>
      <c r="Q20" s="785">
        <v>22</v>
      </c>
      <c r="T20" s="826"/>
    </row>
    <row r="21" s="785" customFormat="1" ht="24.95" customHeight="1" spans="1:21">
      <c r="A21" s="813" t="s">
        <v>543</v>
      </c>
      <c r="B21" s="828" t="s">
        <v>544</v>
      </c>
      <c r="C21" s="820" t="s">
        <v>521</v>
      </c>
      <c r="D21" s="821">
        <f t="shared" si="6"/>
        <v>1244.05230561375</v>
      </c>
      <c r="E21" s="821">
        <f>维修!G380</f>
        <v>27.30364</v>
      </c>
      <c r="F21" s="821">
        <f>维修!G383</f>
        <v>27.6127661658636</v>
      </c>
      <c r="G21" s="822">
        <f>维修!G385</f>
        <v>524.951683317272</v>
      </c>
      <c r="H21" s="821"/>
      <c r="I21" s="821">
        <f>维修!G389</f>
        <v>27.8336682951905</v>
      </c>
      <c r="J21" s="821">
        <f>维修!G390</f>
        <v>27.3465791000247</v>
      </c>
      <c r="K21" s="821">
        <f>维修!G391</f>
        <v>44.4533835814845</v>
      </c>
      <c r="L21" s="821">
        <f>维修!G392</f>
        <v>428.58797902689</v>
      </c>
      <c r="M21" s="821">
        <f>维修!G394</f>
        <v>99.7280729538053</v>
      </c>
      <c r="N21" s="823">
        <f t="shared" si="2"/>
        <v>36.2345331732159</v>
      </c>
      <c r="O21" s="824">
        <f>维修!G396</f>
        <v>1244.05230561375</v>
      </c>
      <c r="P21" s="825">
        <f t="shared" si="7"/>
        <v>-3.41060513164848e-12</v>
      </c>
      <c r="Q21" s="785">
        <v>22</v>
      </c>
      <c r="T21" s="826">
        <f>D21/100</f>
        <v>12.4405230561375</v>
      </c>
      <c r="U21" s="785">
        <v>7</v>
      </c>
    </row>
    <row r="22" s="785" customFormat="1" ht="24.95" customHeight="1" spans="1:21">
      <c r="A22" s="813" t="s">
        <v>545</v>
      </c>
      <c r="B22" s="819" t="s">
        <v>546</v>
      </c>
      <c r="C22" s="820" t="s">
        <v>521</v>
      </c>
      <c r="D22" s="821">
        <f t="shared" si="6"/>
        <v>1586.73920033577</v>
      </c>
      <c r="E22" s="821">
        <f>维修!G406</f>
        <v>27.30364</v>
      </c>
      <c r="F22" s="821">
        <f>维修!G409</f>
        <v>34.963605240367</v>
      </c>
      <c r="G22" s="822">
        <f>维修!G411</f>
        <v>671.96846480734</v>
      </c>
      <c r="H22" s="821"/>
      <c r="I22" s="821">
        <f>维修!G415</f>
        <v>35.2433140822899</v>
      </c>
      <c r="J22" s="821">
        <f>维修!G416</f>
        <v>34.6265560858498</v>
      </c>
      <c r="K22" s="821">
        <f>维修!G417</f>
        <v>56.2873906151092</v>
      </c>
      <c r="L22" s="821">
        <f>维修!G418</f>
        <v>552.931336941176</v>
      </c>
      <c r="M22" s="821">
        <f>维修!G420</f>
        <v>127.199187699492</v>
      </c>
      <c r="N22" s="823">
        <f t="shared" si="2"/>
        <v>46.2157048641487</v>
      </c>
      <c r="O22" s="824">
        <f>维修!G422</f>
        <v>1586.73920033577</v>
      </c>
      <c r="P22" s="825">
        <f t="shared" si="7"/>
        <v>2.50111042987555e-12</v>
      </c>
      <c r="Q22" s="785">
        <v>22</v>
      </c>
      <c r="T22" s="826"/>
    </row>
    <row r="23" s="785" customFormat="1" ht="24.95" customHeight="1" spans="1:21">
      <c r="A23" s="813" t="s">
        <v>547</v>
      </c>
      <c r="B23" s="819" t="s">
        <v>548</v>
      </c>
      <c r="C23" s="820" t="s">
        <v>521</v>
      </c>
      <c r="D23" s="821">
        <f t="shared" si="6"/>
        <v>1805.32143679323</v>
      </c>
      <c r="E23" s="821">
        <f>维修!G432</f>
        <v>27.30364</v>
      </c>
      <c r="F23" s="821">
        <f>维修!G435</f>
        <v>36.175495937616</v>
      </c>
      <c r="G23" s="822">
        <f>维修!G437</f>
        <v>767.762204782768</v>
      </c>
      <c r="H23" s="821"/>
      <c r="I23" s="821">
        <f>维修!G441</f>
        <v>39.8995843545785</v>
      </c>
      <c r="J23" s="821">
        <f>维修!G442</f>
        <v>39.2013416283733</v>
      </c>
      <c r="K23" s="821">
        <f>维修!G443</f>
        <v>63.7239586692335</v>
      </c>
      <c r="L23" s="821">
        <f>维修!G444</f>
        <v>633.951443455462</v>
      </c>
      <c r="M23" s="821">
        <f>维修!G446</f>
        <v>144.721590194523</v>
      </c>
      <c r="N23" s="823">
        <f t="shared" si="2"/>
        <v>52.5821777706766</v>
      </c>
      <c r="O23" s="824">
        <f>维修!G448</f>
        <v>1805.32143679323</v>
      </c>
      <c r="P23" s="825">
        <f t="shared" si="7"/>
        <v>0</v>
      </c>
      <c r="Q23" s="785">
        <v>22</v>
      </c>
      <c r="T23" s="826"/>
    </row>
    <row r="24" s="785" customFormat="1" ht="24.95" customHeight="1" spans="1:21">
      <c r="A24" s="813" t="s">
        <v>549</v>
      </c>
      <c r="B24" s="819" t="s">
        <v>550</v>
      </c>
      <c r="C24" s="820" t="s">
        <v>521</v>
      </c>
      <c r="D24" s="821">
        <f t="shared" si="6"/>
        <v>2080.63067295572</v>
      </c>
      <c r="E24" s="821">
        <f>维修!G458</f>
        <v>27.30364</v>
      </c>
      <c r="F24" s="821">
        <f>维修!G461</f>
        <v>41.5632285769284</v>
      </c>
      <c r="G24" s="822">
        <f>维修!G463</f>
        <v>886.173911141285</v>
      </c>
      <c r="H24" s="821"/>
      <c r="I24" s="821">
        <f>维修!G467</f>
        <v>45.8419574264742</v>
      </c>
      <c r="J24" s="821">
        <f>维修!G468</f>
        <v>45.0397231715109</v>
      </c>
      <c r="K24" s="821">
        <f>维修!G469</f>
        <v>73.2145722221339</v>
      </c>
      <c r="L24" s="821">
        <f>维修!G470</f>
        <v>734.101297341176</v>
      </c>
      <c r="M24" s="821">
        <f>维修!G472</f>
        <v>166.791449689156</v>
      </c>
      <c r="N24" s="823">
        <f t="shared" si="2"/>
        <v>60.6008933870599</v>
      </c>
      <c r="O24" s="824">
        <f>维修!G474</f>
        <v>2080.63067295573</v>
      </c>
      <c r="P24" s="825">
        <f t="shared" si="7"/>
        <v>-5.91171556152403e-12</v>
      </c>
      <c r="Q24" s="785">
        <v>22</v>
      </c>
      <c r="T24" s="826"/>
    </row>
    <row r="25" s="784" customFormat="1" ht="24.95" customHeight="1" spans="1:21">
      <c r="A25" s="813" t="s">
        <v>551</v>
      </c>
      <c r="B25" s="819" t="s">
        <v>552</v>
      </c>
      <c r="C25" s="820" t="s">
        <v>521</v>
      </c>
      <c r="D25" s="821">
        <f t="shared" si="6"/>
        <v>2266.2324052001</v>
      </c>
      <c r="E25" s="821">
        <f>维修!G484</f>
        <v>27.30364</v>
      </c>
      <c r="F25" s="821">
        <f>维修!G487</f>
        <v>45.1954078843301</v>
      </c>
      <c r="G25" s="827">
        <f>维修!G489</f>
        <v>966.002027787475</v>
      </c>
      <c r="H25" s="821"/>
      <c r="I25" s="821">
        <f>维修!G493</f>
        <v>49.8480516322467</v>
      </c>
      <c r="J25" s="821">
        <f>维修!G494</f>
        <v>48.9757107286823</v>
      </c>
      <c r="K25" s="821">
        <f>维修!G495</f>
        <v>79.6127386622914</v>
      </c>
      <c r="L25" s="821">
        <f>维修!G496</f>
        <v>801.618052769747</v>
      </c>
      <c r="M25" s="821">
        <f>维修!G498</f>
        <v>181.670006651829</v>
      </c>
      <c r="N25" s="823">
        <f t="shared" si="2"/>
        <v>66.006769083498</v>
      </c>
      <c r="O25" s="802">
        <f>维修!G500</f>
        <v>2266.2324052001</v>
      </c>
      <c r="P25" s="817">
        <f t="shared" si="7"/>
        <v>0</v>
      </c>
      <c r="Q25" s="784">
        <v>22</v>
      </c>
      <c r="T25" s="818"/>
    </row>
    <row r="26" s="784" customFormat="1" ht="24.95" customHeight="1" spans="1:21">
      <c r="A26" s="813" t="s">
        <v>551</v>
      </c>
      <c r="B26" s="819" t="str">
        <f>维修!E503</f>
        <v>1m3挖掘机挖装土自卸汽车运输（运距：4～5km）Ⅲ类土</v>
      </c>
      <c r="C26" s="820" t="s">
        <v>521</v>
      </c>
      <c r="D26" s="821">
        <f t="shared" si="6"/>
        <v>2494.15212972052</v>
      </c>
      <c r="E26" s="821">
        <f>维修!G510</f>
        <v>30.004</v>
      </c>
      <c r="F26" s="821">
        <f>维修!G513</f>
        <v>54.5772344938173</v>
      </c>
      <c r="G26" s="827">
        <f>维修!G515</f>
        <v>1061.54068987635</v>
      </c>
      <c r="H26" s="821"/>
      <c r="I26" s="821">
        <f>维修!G519</f>
        <v>55.0138523697678</v>
      </c>
      <c r="J26" s="821">
        <f>维修!G520</f>
        <v>54.0511099532969</v>
      </c>
      <c r="K26" s="821">
        <f>维修!G521</f>
        <v>87.863082068526</v>
      </c>
      <c r="L26" s="821">
        <f>维修!G522</f>
        <v>878.516014778391</v>
      </c>
      <c r="M26" s="821">
        <f>维修!G524</f>
        <v>199.940938518613</v>
      </c>
      <c r="N26" s="823">
        <f t="shared" si="2"/>
        <v>72.6452076617629</v>
      </c>
      <c r="O26" s="802">
        <f>维修!G526</f>
        <v>2494.15212972052</v>
      </c>
      <c r="P26" s="817">
        <f t="shared" si="7"/>
        <v>5.00222085975111e-12</v>
      </c>
      <c r="T26" s="818"/>
    </row>
    <row r="27" s="785" customFormat="1" ht="24.95" customHeight="1" spans="1:21">
      <c r="A27" s="829" t="s">
        <v>553</v>
      </c>
      <c r="B27" s="830" t="str">
        <f>维修!E529</f>
        <v>1m3挖掘机挖装土自卸汽车运输（运距：6km）Ⅰ-Ⅱ类土</v>
      </c>
      <c r="C27" s="831" t="s">
        <v>521</v>
      </c>
      <c r="D27" s="832">
        <f t="shared" si="6"/>
        <v>2484.31444058725</v>
      </c>
      <c r="E27" s="832">
        <f>维修!G536</f>
        <v>27.30364</v>
      </c>
      <c r="F27" s="832">
        <f>维修!G539</f>
        <v>49.4632185705271</v>
      </c>
      <c r="G27" s="833">
        <f>维修!G541</f>
        <v>1059.80006484675</v>
      </c>
      <c r="H27" s="832"/>
      <c r="I27" s="832">
        <f>维修!G545</f>
        <v>54.5552123240293</v>
      </c>
      <c r="J27" s="832">
        <f>维修!G546</f>
        <v>53.6004961083587</v>
      </c>
      <c r="K27" s="832">
        <f>维修!G547</f>
        <v>87.1305842294765</v>
      </c>
      <c r="L27" s="832">
        <f>维修!G548</f>
        <v>880.950240398319</v>
      </c>
      <c r="M27" s="832">
        <f>维修!G550</f>
        <v>199.152311082972</v>
      </c>
      <c r="N27" s="823">
        <f t="shared" si="2"/>
        <v>72.358673026813</v>
      </c>
      <c r="O27" s="824">
        <f>维修!G552</f>
        <v>2484.31444058725</v>
      </c>
      <c r="P27" s="825">
        <f t="shared" si="7"/>
        <v>-4.09272615797818e-12</v>
      </c>
      <c r="Q27" s="785">
        <v>22</v>
      </c>
      <c r="T27" s="826"/>
    </row>
    <row r="28" s="785" customFormat="1" ht="24.95" customHeight="1" spans="1:21">
      <c r="A28" s="829" t="s">
        <v>553</v>
      </c>
      <c r="B28" s="830" t="str">
        <f>维修!E555</f>
        <v>1m3挖掘机挖装土自卸汽车运输（运距：8km）Ⅰ-Ⅱ类土</v>
      </c>
      <c r="C28" s="831" t="s">
        <v>521</v>
      </c>
      <c r="D28" s="832">
        <f t="shared" si="6"/>
        <v>2920.47851136153</v>
      </c>
      <c r="E28" s="832">
        <f>维修!G562</f>
        <v>27.30364</v>
      </c>
      <c r="F28" s="832">
        <f>维修!G565</f>
        <v>57.998839942921</v>
      </c>
      <c r="G28" s="834">
        <f>维修!G567</f>
        <v>1247.3961389653</v>
      </c>
      <c r="H28" s="832"/>
      <c r="I28" s="832">
        <f>维修!G571</f>
        <v>63.9695337075945</v>
      </c>
      <c r="J28" s="832">
        <f>维修!G572</f>
        <v>62.8500668677116</v>
      </c>
      <c r="K28" s="832">
        <f>维修!G573</f>
        <v>102.166275363847</v>
      </c>
      <c r="L28" s="832">
        <f>维修!G574</f>
        <v>1039.61461565546</v>
      </c>
      <c r="M28" s="832">
        <f>维修!G576</f>
        <v>234.116919945255</v>
      </c>
      <c r="N28" s="823">
        <f t="shared" si="2"/>
        <v>85.0624809134427</v>
      </c>
      <c r="O28" s="824">
        <f>维修!G578</f>
        <v>2920.47851136153</v>
      </c>
      <c r="P28" s="825">
        <f t="shared" si="7"/>
        <v>0</v>
      </c>
      <c r="Q28" s="785">
        <v>22</v>
      </c>
      <c r="T28" s="826"/>
    </row>
    <row r="29" s="785" customFormat="1" ht="27.95" customHeight="1" spans="1:21">
      <c r="A29" s="829" t="s">
        <v>553</v>
      </c>
      <c r="B29" s="830" t="str">
        <f>维修!E581</f>
        <v>1m3挖掘机挖装土自卸汽车运输（运距：8km）Ⅲ类土</v>
      </c>
      <c r="C29" s="831" t="s">
        <v>521</v>
      </c>
      <c r="D29" s="832">
        <f t="shared" si="6"/>
        <v>3214.93456951674</v>
      </c>
      <c r="E29" s="832">
        <f>维修!G588</f>
        <v>30.004</v>
      </c>
      <c r="F29" s="832">
        <f>维修!G591</f>
        <v>70.0384493936976</v>
      </c>
      <c r="G29" s="833">
        <f>维修!G593</f>
        <v>1370.76498787395</v>
      </c>
      <c r="H29" s="832"/>
      <c r="I29" s="832">
        <f>维修!G597</f>
        <v>70.5987569888472</v>
      </c>
      <c r="J29" s="832">
        <f>维修!G598</f>
        <v>69.3632787415424</v>
      </c>
      <c r="K29" s="832">
        <f>维修!G599</f>
        <v>112.753863109863</v>
      </c>
      <c r="L29" s="832">
        <f>维修!G600</f>
        <v>1140.05069926819</v>
      </c>
      <c r="M29" s="832">
        <f>维修!G602</f>
        <v>257.721663183848</v>
      </c>
      <c r="N29" s="823">
        <f t="shared" si="2"/>
        <v>93.6388709567982</v>
      </c>
      <c r="O29" s="824">
        <f>维修!G604</f>
        <v>3214.93456951674</v>
      </c>
      <c r="P29" s="825">
        <f t="shared" si="7"/>
        <v>0</v>
      </c>
      <c r="T29" s="826"/>
    </row>
    <row r="30" s="784" customFormat="1" ht="24" customHeight="1" spans="1:21">
      <c r="A30" s="813" t="s">
        <v>553</v>
      </c>
      <c r="B30" s="819" t="str">
        <f>维修!E607</f>
        <v>1m3挖掘机挖装土自卸汽车运输（运距：10km）Ⅰ-Ⅱ类土</v>
      </c>
      <c r="C30" s="820" t="s">
        <v>521</v>
      </c>
      <c r="D30" s="821">
        <f t="shared" si="6"/>
        <v>3356.64258213582</v>
      </c>
      <c r="E30" s="821">
        <f>维修!G614</f>
        <v>27.30364</v>
      </c>
      <c r="F30" s="821">
        <f>维修!G617</f>
        <v>66.534461315315</v>
      </c>
      <c r="G30" s="827">
        <f>维修!G619</f>
        <v>1434.99221308385</v>
      </c>
      <c r="H30" s="821"/>
      <c r="I30" s="821">
        <f>维修!G623</f>
        <v>73.3838550911597</v>
      </c>
      <c r="J30" s="821">
        <f>维修!G624</f>
        <v>72.0996376270644</v>
      </c>
      <c r="K30" s="821">
        <f>维修!G625</f>
        <v>117.201966498217</v>
      </c>
      <c r="L30" s="821">
        <f>维修!G626</f>
        <v>1198.2789909126</v>
      </c>
      <c r="M30" s="821">
        <f>维修!G628</f>
        <v>269.081528807539</v>
      </c>
      <c r="N30" s="823">
        <f t="shared" si="2"/>
        <v>97.7662888000723</v>
      </c>
      <c r="O30" s="802">
        <f>维修!G630</f>
        <v>3356.64258213582</v>
      </c>
      <c r="P30" s="825">
        <f t="shared" si="7"/>
        <v>0</v>
      </c>
      <c r="Q30" s="784">
        <v>22</v>
      </c>
      <c r="T30" s="818"/>
    </row>
    <row r="31" s="784" customFormat="1" ht="20.1" customHeight="1" spans="1:21">
      <c r="A31" s="813" t="s">
        <v>554</v>
      </c>
      <c r="B31" s="819" t="str">
        <f>维修!E633</f>
        <v>拖拉机压实</v>
      </c>
      <c r="C31" s="820" t="s">
        <v>521</v>
      </c>
      <c r="D31" s="821">
        <f t="shared" si="6"/>
        <v>686.061375601059</v>
      </c>
      <c r="E31" s="821">
        <f>维修!G640</f>
        <v>115.4</v>
      </c>
      <c r="F31" s="821">
        <f>维修!G643</f>
        <v>34.3760236848073</v>
      </c>
      <c r="G31" s="827">
        <f>维修!G645</f>
        <v>228.360236848073</v>
      </c>
      <c r="H31" s="821"/>
      <c r="I31" s="821">
        <f>维修!G651</f>
        <v>18.1505405055782</v>
      </c>
      <c r="J31" s="821">
        <f>维修!G652</f>
        <v>17.8329060467306</v>
      </c>
      <c r="K31" s="821">
        <f>维修!G653</f>
        <v>28.9883794959632</v>
      </c>
      <c r="L31" s="821">
        <f>维修!G654</f>
        <v>167.973569783913</v>
      </c>
      <c r="M31" s="821">
        <f>维修!G656</f>
        <v>54.9973490728559</v>
      </c>
      <c r="N31" s="823">
        <f t="shared" si="2"/>
        <v>19.9823701631376</v>
      </c>
      <c r="O31" s="802">
        <f>维修!G658</f>
        <v>686.061375601059</v>
      </c>
      <c r="P31" s="825">
        <f t="shared" si="7"/>
        <v>0</v>
      </c>
      <c r="Q31" s="784">
        <v>23</v>
      </c>
      <c r="T31" s="818"/>
    </row>
    <row r="32" s="784" customFormat="1" ht="20.1" customHeight="1" spans="1:21">
      <c r="A32" s="813" t="s">
        <v>555</v>
      </c>
      <c r="B32" s="819" t="str">
        <f>维修!E661</f>
        <v>建筑物土方回填（松填不夯实）</v>
      </c>
      <c r="C32" s="820" t="s">
        <v>521</v>
      </c>
      <c r="D32" s="821">
        <f t="shared" si="6"/>
        <v>641.202464545036</v>
      </c>
      <c r="E32" s="821">
        <f>维修!G668</f>
        <v>464.174</v>
      </c>
      <c r="F32" s="821">
        <f>维修!G671</f>
        <v>23.2087</v>
      </c>
      <c r="G32" s="827"/>
      <c r="H32" s="821"/>
      <c r="I32" s="821">
        <f>维修!G675</f>
        <v>23.3943696</v>
      </c>
      <c r="J32" s="821">
        <f>维修!G676</f>
        <v>22.984968132</v>
      </c>
      <c r="K32" s="821">
        <f>维修!G677</f>
        <v>37.36334264124</v>
      </c>
      <c r="L32" s="821"/>
      <c r="M32" s="821">
        <f>维修!G680</f>
        <v>51.4012842335916</v>
      </c>
      <c r="N32" s="823">
        <f t="shared" si="2"/>
        <v>18.6757999382049</v>
      </c>
      <c r="O32" s="802">
        <f>维修!G682</f>
        <v>641.202464545036</v>
      </c>
      <c r="P32" s="825">
        <f t="shared" si="7"/>
        <v>0</v>
      </c>
      <c r="Q32" s="784">
        <v>24</v>
      </c>
      <c r="T32" s="818"/>
    </row>
    <row r="33" s="785" customFormat="1" ht="20.1" customHeight="1" spans="1:21">
      <c r="A33" s="813" t="s">
        <v>556</v>
      </c>
      <c r="B33" s="819" t="str">
        <f>维修!E686</f>
        <v>建筑物土方回填（机夯）</v>
      </c>
      <c r="C33" s="820" t="s">
        <v>521</v>
      </c>
      <c r="D33" s="821">
        <f t="shared" ref="D33:D53" si="8">SUM(E33:N33)</f>
        <v>2304.06511359611</v>
      </c>
      <c r="E33" s="821">
        <f>维修!G693</f>
        <v>1343.588</v>
      </c>
      <c r="F33" s="821">
        <f>维修!G696</f>
        <v>83.3969907459114</v>
      </c>
      <c r="G33" s="822">
        <f>维修!G698</f>
        <v>324.351814918229</v>
      </c>
      <c r="H33" s="821"/>
      <c r="I33" s="821">
        <f>维修!G700</f>
        <v>84.0641666718787</v>
      </c>
      <c r="J33" s="821">
        <f>维修!G701</f>
        <v>82.5930437551208</v>
      </c>
      <c r="K33" s="821">
        <f>维修!G702</f>
        <v>134.25958112638</v>
      </c>
      <c r="L33" s="821"/>
      <c r="M33" s="821">
        <f>维修!G705</f>
        <v>184.702823749577</v>
      </c>
      <c r="N33" s="823">
        <f t="shared" si="2"/>
        <v>67.1086926290129</v>
      </c>
      <c r="O33" s="824">
        <f>维修!G707</f>
        <v>2304.06511359611</v>
      </c>
      <c r="P33" s="825">
        <f t="shared" ref="P33:P59" si="9">D33-O33</f>
        <v>0</v>
      </c>
      <c r="Q33" s="785">
        <v>24</v>
      </c>
      <c r="T33" s="826"/>
      <c r="U33" s="785">
        <v>8</v>
      </c>
    </row>
    <row r="34" s="785" customFormat="1" ht="20.1" customHeight="1" spans="1:21">
      <c r="A34" s="813" t="s">
        <v>557</v>
      </c>
      <c r="B34" s="819" t="str">
        <f>维修!E710</f>
        <v>人工修整边坡（填方）</v>
      </c>
      <c r="C34" s="820" t="s">
        <v>558</v>
      </c>
      <c r="D34" s="821">
        <f t="shared" si="8"/>
        <v>133.108765853096</v>
      </c>
      <c r="E34" s="821">
        <f>维修!G717</f>
        <v>96.359</v>
      </c>
      <c r="F34" s="821">
        <f>维修!G720</f>
        <v>4.81795</v>
      </c>
      <c r="G34" s="822"/>
      <c r="H34" s="821"/>
      <c r="I34" s="821">
        <f>维修!G722</f>
        <v>4.8564936</v>
      </c>
      <c r="J34" s="821">
        <f>维修!G723</f>
        <v>4.771504962</v>
      </c>
      <c r="K34" s="821">
        <f>维修!G724</f>
        <v>7.75634639934</v>
      </c>
      <c r="L34" s="821"/>
      <c r="M34" s="821">
        <f>维修!G725</f>
        <v>10.6705165465206</v>
      </c>
      <c r="N34" s="823">
        <f t="shared" si="2"/>
        <v>3.87695434523582</v>
      </c>
      <c r="O34" s="824">
        <f>维修!G727</f>
        <v>133.108765853096</v>
      </c>
      <c r="P34" s="825">
        <f t="shared" si="9"/>
        <v>3.97903932025656e-13</v>
      </c>
      <c r="T34" s="826"/>
      <c r="U34" s="785">
        <v>9</v>
      </c>
    </row>
    <row r="35" s="785" customFormat="1" ht="20.1" customHeight="1" spans="1:21">
      <c r="A35" s="813" t="s">
        <v>559</v>
      </c>
      <c r="B35" s="819" t="str">
        <f>维修!E733</f>
        <v>闸桥墩清淤</v>
      </c>
      <c r="C35" s="820" t="s">
        <v>521</v>
      </c>
      <c r="D35" s="821">
        <f t="shared" si="8"/>
        <v>4027.3448435793</v>
      </c>
      <c r="E35" s="821">
        <f>维修!G739</f>
        <v>535.977</v>
      </c>
      <c r="F35" s="821">
        <f>维修!G742</f>
        <v>105.285772667132</v>
      </c>
      <c r="G35" s="822">
        <f>维修!G744</f>
        <v>1569.73845334264</v>
      </c>
      <c r="H35" s="821"/>
      <c r="I35" s="821">
        <f>维修!G747</f>
        <v>106.128058848469</v>
      </c>
      <c r="J35" s="821">
        <f>维修!G748</f>
        <v>173.784696364368</v>
      </c>
      <c r="K35" s="821">
        <f>维修!G749</f>
        <v>174.363978685583</v>
      </c>
      <c r="L35" s="821">
        <f>维修!G750</f>
        <v>921.917946014405</v>
      </c>
      <c r="M35" s="821">
        <f>维修!G752</f>
        <v>322.847631533034</v>
      </c>
      <c r="N35" s="823">
        <f t="shared" si="2"/>
        <v>117.301306123669</v>
      </c>
      <c r="O35" s="824">
        <f>维修!G754</f>
        <v>4027.3448435793</v>
      </c>
      <c r="P35" s="825">
        <f t="shared" si="9"/>
        <v>0</v>
      </c>
      <c r="Q35" s="785">
        <v>25</v>
      </c>
      <c r="T35" s="826"/>
      <c r="U35" s="785">
        <v>10</v>
      </c>
    </row>
    <row r="36" s="785" customFormat="1" ht="20.1" customHeight="1" spans="1:21">
      <c r="A36" s="813" t="s">
        <v>560</v>
      </c>
      <c r="B36" s="819" t="str">
        <f>维修!E757</f>
        <v>建筑物打捞柴草</v>
      </c>
      <c r="C36" s="820" t="s">
        <v>521</v>
      </c>
      <c r="D36" s="821">
        <f t="shared" si="8"/>
        <v>5202.00957646866</v>
      </c>
      <c r="E36" s="821">
        <f>维修!G763</f>
        <v>706.558</v>
      </c>
      <c r="F36" s="821">
        <f>维修!G766</f>
        <v>136.220925676306</v>
      </c>
      <c r="G36" s="822">
        <f>维修!G768</f>
        <v>2017.86051352613</v>
      </c>
      <c r="H36" s="821"/>
      <c r="I36" s="821">
        <f>维修!G771</f>
        <v>137.310693081717</v>
      </c>
      <c r="J36" s="821">
        <f>维修!G772</f>
        <v>224.846259921311</v>
      </c>
      <c r="K36" s="821">
        <f>维修!G773</f>
        <v>225.595747454382</v>
      </c>
      <c r="L36" s="821">
        <f>维修!G774</f>
        <v>1185.08926807923</v>
      </c>
      <c r="M36" s="821">
        <f>维修!G776</f>
        <v>417.013326696517</v>
      </c>
      <c r="N36" s="823">
        <f t="shared" si="2"/>
        <v>151.514842033068</v>
      </c>
      <c r="O36" s="824">
        <f>维修!G778</f>
        <v>5202.00957646866</v>
      </c>
      <c r="P36" s="825">
        <f t="shared" si="9"/>
        <v>0</v>
      </c>
      <c r="Q36" s="785">
        <v>25</v>
      </c>
      <c r="T36" s="826">
        <f>D36/100</f>
        <v>52.0200957646866</v>
      </c>
      <c r="U36" s="785">
        <v>11</v>
      </c>
    </row>
    <row r="37" s="784" customFormat="1" ht="20.1" customHeight="1" spans="1:21">
      <c r="A37" s="813" t="s">
        <v>561</v>
      </c>
      <c r="B37" s="819" t="str">
        <f>维修!E781</f>
        <v>干砌块石护底维修</v>
      </c>
      <c r="C37" s="820" t="s">
        <v>562</v>
      </c>
      <c r="D37" s="821">
        <f t="shared" si="8"/>
        <v>304.790980785216</v>
      </c>
      <c r="E37" s="821">
        <f>维修!G788</f>
        <v>90.566</v>
      </c>
      <c r="F37" s="821">
        <f>维修!G791</f>
        <v>85.904</v>
      </c>
      <c r="G37" s="827"/>
      <c r="H37" s="821"/>
      <c r="I37" s="821">
        <f>维修!G794</f>
        <v>8.47056</v>
      </c>
      <c r="J37" s="821">
        <f>维修!G795</f>
        <v>15.7199476</v>
      </c>
      <c r="K37" s="821">
        <f>维修!G796</f>
        <v>14.046235532</v>
      </c>
      <c r="L37" s="821">
        <f>维修!G797</f>
        <v>56.7735996</v>
      </c>
      <c r="M37" s="821">
        <f>维修!G799</f>
        <v>24.43323084588</v>
      </c>
      <c r="N37" s="823">
        <f t="shared" si="2"/>
        <v>8.8774072073364</v>
      </c>
      <c r="O37" s="802">
        <f>维修!G801</f>
        <v>304.790980785216</v>
      </c>
      <c r="P37" s="817">
        <f t="shared" si="9"/>
        <v>0</v>
      </c>
      <c r="Q37" s="784">
        <v>26</v>
      </c>
      <c r="T37" s="818"/>
    </row>
    <row r="38" s="784" customFormat="1" ht="20.1" customHeight="1" spans="1:21">
      <c r="A38" s="813" t="s">
        <v>561</v>
      </c>
      <c r="B38" s="819" t="str">
        <f>维修!E804</f>
        <v>干砌卵石护底维修</v>
      </c>
      <c r="C38" s="820" t="s">
        <v>562</v>
      </c>
      <c r="D38" s="821">
        <f t="shared" si="8"/>
        <v>304.790980785216</v>
      </c>
      <c r="E38" s="821">
        <f>维修!G811</f>
        <v>90.566</v>
      </c>
      <c r="F38" s="821">
        <f>维修!G814</f>
        <v>85.904</v>
      </c>
      <c r="G38" s="827"/>
      <c r="H38" s="821"/>
      <c r="I38" s="821">
        <f>维修!G817</f>
        <v>8.47056</v>
      </c>
      <c r="J38" s="821">
        <f>维修!G818</f>
        <v>15.7199476</v>
      </c>
      <c r="K38" s="821">
        <f>维修!G819</f>
        <v>14.046235532</v>
      </c>
      <c r="L38" s="821">
        <f>维修!G820</f>
        <v>56.7735996</v>
      </c>
      <c r="M38" s="821">
        <f>维修!G822</f>
        <v>24.43323084588</v>
      </c>
      <c r="N38" s="823">
        <f t="shared" si="2"/>
        <v>8.8774072073364</v>
      </c>
      <c r="O38" s="802">
        <f>维修!G824</f>
        <v>304.790980785216</v>
      </c>
      <c r="P38" s="817">
        <f t="shared" si="9"/>
        <v>0</v>
      </c>
      <c r="Q38" s="784">
        <v>26</v>
      </c>
      <c r="T38" s="818"/>
    </row>
    <row r="39" s="784" customFormat="1" ht="20.1" customHeight="1" spans="1:21">
      <c r="A39" s="813" t="s">
        <v>563</v>
      </c>
      <c r="B39" s="819" t="str">
        <f>维修!E829</f>
        <v>M7.5浆砌块石护底维修</v>
      </c>
      <c r="C39" s="820" t="s">
        <v>562</v>
      </c>
      <c r="D39" s="821">
        <f t="shared" si="8"/>
        <v>535.384379950084</v>
      </c>
      <c r="E39" s="821">
        <f>维修!G836</f>
        <v>131.344</v>
      </c>
      <c r="F39" s="821">
        <f>维修!G839</f>
        <v>145.20704</v>
      </c>
      <c r="G39" s="827">
        <f>维修!G845</f>
        <v>60.4400160000838</v>
      </c>
      <c r="H39" s="821"/>
      <c r="I39" s="821">
        <f>维修!G850</f>
        <v>16.175570688004</v>
      </c>
      <c r="J39" s="821">
        <f>维修!G851</f>
        <v>30.0191632684875</v>
      </c>
      <c r="K39" s="821">
        <f>维修!G852</f>
        <v>26.8230052969603</v>
      </c>
      <c r="L39" s="821">
        <f>维修!G853</f>
        <v>66.86337001776</v>
      </c>
      <c r="M39" s="821">
        <f>维修!G857</f>
        <v>42.9184948744166</v>
      </c>
      <c r="N39" s="823">
        <f t="shared" ref="N39:N70" si="10">SUM(E39:M39)*3%</f>
        <v>15.5937198043714</v>
      </c>
      <c r="O39" s="802">
        <f>维修!G859</f>
        <v>535.384379950084</v>
      </c>
      <c r="P39" s="817">
        <f t="shared" si="9"/>
        <v>0</v>
      </c>
      <c r="Q39" s="784">
        <v>27</v>
      </c>
      <c r="T39" s="818"/>
      <c r="U39" s="784">
        <v>12</v>
      </c>
    </row>
    <row r="40" s="785" customFormat="1" ht="20.1" customHeight="1" spans="1:21">
      <c r="A40" s="813" t="s">
        <v>564</v>
      </c>
      <c r="B40" s="819" t="str">
        <f>维修!E862</f>
        <v>M7.5浆砌块石护坡维修</v>
      </c>
      <c r="C40" s="820" t="s">
        <v>562</v>
      </c>
      <c r="D40" s="821">
        <f t="shared" si="8"/>
        <v>544.31025665338</v>
      </c>
      <c r="E40" s="821">
        <f>维修!G869</f>
        <v>134.462</v>
      </c>
      <c r="F40" s="821">
        <f>维修!G872</f>
        <v>148.62354</v>
      </c>
      <c r="G40" s="822">
        <f>维修!G878</f>
        <v>60.4400160000838</v>
      </c>
      <c r="H40" s="821"/>
      <c r="I40" s="821">
        <f>维修!G883</f>
        <v>16.489226688004</v>
      </c>
      <c r="J40" s="821">
        <f>维修!G884</f>
        <v>30.6012565284875</v>
      </c>
      <c r="K40" s="821">
        <f>维修!G885</f>
        <v>27.3431227451603</v>
      </c>
      <c r="L40" s="821">
        <f>维修!G886</f>
        <v>66.86337001776</v>
      </c>
      <c r="M40" s="821">
        <f>维修!G890</f>
        <v>43.6340278781546</v>
      </c>
      <c r="N40" s="823">
        <f t="shared" si="10"/>
        <v>15.8536967957295</v>
      </c>
      <c r="O40" s="824">
        <f>维修!G892</f>
        <v>544.31025665338</v>
      </c>
      <c r="P40" s="825">
        <f t="shared" si="9"/>
        <v>0</v>
      </c>
      <c r="Q40" s="785">
        <v>27</v>
      </c>
      <c r="T40" s="826"/>
      <c r="U40" s="785">
        <v>13</v>
      </c>
    </row>
    <row r="41" s="784" customFormat="1" ht="22.5" spans="1:21">
      <c r="A41" s="813" t="s">
        <v>564</v>
      </c>
      <c r="B41" s="819" t="str">
        <f>维修!E895</f>
        <v>M7.5浆砌块石护坡维修（块石现场转运）</v>
      </c>
      <c r="C41" s="820" t="s">
        <v>562</v>
      </c>
      <c r="D41" s="821">
        <f t="shared" si="8"/>
        <v>538.16342902084</v>
      </c>
      <c r="E41" s="821">
        <f>维修!G902</f>
        <v>134.462</v>
      </c>
      <c r="F41" s="821">
        <f>维修!G905</f>
        <v>144.12354</v>
      </c>
      <c r="G41" s="827">
        <f>维修!G911</f>
        <v>60.4400160000838</v>
      </c>
      <c r="H41" s="821"/>
      <c r="I41" s="821">
        <f>维修!G916</f>
        <v>16.273226688004</v>
      </c>
      <c r="J41" s="821">
        <f>维修!G917</f>
        <v>30.2003965284875</v>
      </c>
      <c r="K41" s="821">
        <f>维修!G918</f>
        <v>26.9849425451603</v>
      </c>
      <c r="L41" s="821">
        <f>维修!G919</f>
        <v>66.86337001776</v>
      </c>
      <c r="M41" s="821">
        <f>维修!G923</f>
        <v>43.1412742601546</v>
      </c>
      <c r="N41" s="823">
        <f t="shared" si="10"/>
        <v>15.6746629811895</v>
      </c>
      <c r="O41" s="802">
        <f>维修!G925</f>
        <v>538.16342902084</v>
      </c>
      <c r="P41" s="817">
        <f t="shared" si="9"/>
        <v>0</v>
      </c>
      <c r="Q41" s="784">
        <v>27</v>
      </c>
      <c r="T41" s="818"/>
    </row>
    <row r="42" s="784" customFormat="1" ht="20.1" customHeight="1" spans="1:21">
      <c r="A42" s="813" t="s">
        <v>565</v>
      </c>
      <c r="B42" s="819" t="str">
        <f>维修!E928</f>
        <v>M7.5浆砌块石挡墙维修</v>
      </c>
      <c r="C42" s="820" t="s">
        <v>562</v>
      </c>
      <c r="D42" s="821">
        <f t="shared" si="8"/>
        <v>543.755676204755</v>
      </c>
      <c r="E42" s="821">
        <f>维修!G935</f>
        <v>140.931</v>
      </c>
      <c r="F42" s="821">
        <f>维修!G938</f>
        <v>141.74854</v>
      </c>
      <c r="G42" s="827">
        <f>维修!G944</f>
        <v>60.4400160000838</v>
      </c>
      <c r="H42" s="821"/>
      <c r="I42" s="821">
        <f>维修!G949</f>
        <v>16.469738688004</v>
      </c>
      <c r="J42" s="821">
        <f>维修!G950</f>
        <v>30.5650900484875</v>
      </c>
      <c r="K42" s="821">
        <f>维修!G951</f>
        <v>27.3108069315603</v>
      </c>
      <c r="L42" s="821">
        <f>维修!G952</f>
        <v>66.86337001776</v>
      </c>
      <c r="M42" s="821">
        <f>维修!G956</f>
        <v>43.5895705517306</v>
      </c>
      <c r="N42" s="823">
        <f t="shared" si="10"/>
        <v>15.8375439671288</v>
      </c>
      <c r="O42" s="802">
        <f>维修!G958</f>
        <v>543.755676204755</v>
      </c>
      <c r="P42" s="817">
        <f t="shared" si="9"/>
        <v>0</v>
      </c>
      <c r="Q42" s="784">
        <v>27</v>
      </c>
      <c r="T42" s="818"/>
      <c r="U42" s="784">
        <v>14</v>
      </c>
    </row>
    <row r="43" s="785" customFormat="1" ht="20.1" customHeight="1" spans="1:21">
      <c r="A43" s="813" t="s">
        <v>566</v>
      </c>
      <c r="B43" s="819" t="str">
        <f>维修!E961</f>
        <v>浆砌块石修补勾缝</v>
      </c>
      <c r="C43" s="820" t="s">
        <v>567</v>
      </c>
      <c r="D43" s="821">
        <f t="shared" si="8"/>
        <v>17.126060500452</v>
      </c>
      <c r="E43" s="821">
        <f>维修!G968</f>
        <v>10.397</v>
      </c>
      <c r="F43" s="821">
        <f>维修!G971</f>
        <v>1.954532475</v>
      </c>
      <c r="G43" s="822"/>
      <c r="H43" s="821"/>
      <c r="I43" s="821">
        <f>维修!G975</f>
        <v>0.5928735588</v>
      </c>
      <c r="J43" s="821">
        <f>维修!G976</f>
        <v>0.970830452535</v>
      </c>
      <c r="K43" s="821">
        <f>维修!G977</f>
        <v>0.97406655404345</v>
      </c>
      <c r="L43" s="821">
        <f>维修!G978</f>
        <v>0.36504852322</v>
      </c>
      <c r="M43" s="821">
        <f>维修!G981</f>
        <v>1.37289164072386</v>
      </c>
      <c r="N43" s="823">
        <f t="shared" si="10"/>
        <v>0.498817296129669</v>
      </c>
      <c r="O43" s="824">
        <f>维修!G983</f>
        <v>17.126060500452</v>
      </c>
      <c r="P43" s="825">
        <f t="shared" si="9"/>
        <v>0</v>
      </c>
      <c r="Q43" s="785">
        <v>28</v>
      </c>
      <c r="T43" s="826"/>
    </row>
    <row r="44" s="784" customFormat="1" ht="20.1" customHeight="1" spans="1:21">
      <c r="A44" s="813" t="s">
        <v>568</v>
      </c>
      <c r="B44" s="819" t="str">
        <f>维修!E986</f>
        <v>人工拆除水泥砂浆浆砌石</v>
      </c>
      <c r="C44" s="820" t="s">
        <v>521</v>
      </c>
      <c r="D44" s="821">
        <f t="shared" si="8"/>
        <v>6978.98226814101</v>
      </c>
      <c r="E44" s="821">
        <f>维修!G993</f>
        <v>5131.08</v>
      </c>
      <c r="F44" s="821">
        <f>维修!G996</f>
        <v>25.6554</v>
      </c>
      <c r="G44" s="822"/>
      <c r="H44" s="821"/>
      <c r="I44" s="821">
        <f>维修!G998</f>
        <v>247.5232992</v>
      </c>
      <c r="J44" s="821">
        <f>维修!G999</f>
        <v>405.31940244</v>
      </c>
      <c r="K44" s="821">
        <f>维修!G1000</f>
        <v>406.6704671148</v>
      </c>
      <c r="L44" s="821"/>
      <c r="M44" s="821">
        <f>维修!G1001</f>
        <v>559.462371187932</v>
      </c>
      <c r="N44" s="823">
        <f t="shared" si="10"/>
        <v>203.271328198282</v>
      </c>
      <c r="O44" s="802">
        <f>维修!G1003</f>
        <v>6978.98226814101</v>
      </c>
      <c r="P44" s="817">
        <f t="shared" si="9"/>
        <v>0</v>
      </c>
      <c r="Q44" s="784">
        <v>29</v>
      </c>
      <c r="T44" s="818"/>
      <c r="U44" s="784">
        <v>15</v>
      </c>
    </row>
    <row r="45" s="784" customFormat="1" ht="20.1" customHeight="1" spans="1:21">
      <c r="A45" s="813" t="s">
        <v>569</v>
      </c>
      <c r="B45" s="819" t="str">
        <f>维修!E1007</f>
        <v>挖掘机拆除浆砌石</v>
      </c>
      <c r="C45" s="820" t="s">
        <v>521</v>
      </c>
      <c r="D45" s="821">
        <f t="shared" si="8"/>
        <v>1801.72168725336</v>
      </c>
      <c r="E45" s="821">
        <f>维修!G1013</f>
        <v>623.16</v>
      </c>
      <c r="F45" s="821">
        <f>维修!G1016</f>
        <v>30.2644444056641</v>
      </c>
      <c r="G45" s="822">
        <f>维修!G1018</f>
        <v>385.654813522138</v>
      </c>
      <c r="H45" s="821"/>
      <c r="I45" s="821">
        <f>维修!G1020</f>
        <v>49.8758043805345</v>
      </c>
      <c r="J45" s="821">
        <f>维修!G1021</f>
        <v>81.6716296731253</v>
      </c>
      <c r="K45" s="821">
        <f>维修!G1022</f>
        <v>81.9438684387023</v>
      </c>
      <c r="L45" s="821">
        <f>维修!G1023</f>
        <v>352.240775870348</v>
      </c>
      <c r="M45" s="821">
        <f>维修!G1025</f>
        <v>144.433020266146</v>
      </c>
      <c r="N45" s="823">
        <f t="shared" si="10"/>
        <v>52.4773306966997</v>
      </c>
      <c r="O45" s="802">
        <f>维修!G1027</f>
        <v>1801.72168725336</v>
      </c>
      <c r="P45" s="817">
        <f t="shared" si="9"/>
        <v>-2.04636307898909e-12</v>
      </c>
      <c r="Q45" s="784">
        <v>29</v>
      </c>
      <c r="T45" s="818"/>
      <c r="U45" s="784">
        <v>16</v>
      </c>
    </row>
    <row r="46" s="785" customFormat="1" ht="20.1" customHeight="1" spans="1:21">
      <c r="A46" s="813" t="s">
        <v>570</v>
      </c>
      <c r="B46" s="819" t="str">
        <f>维修!E1030</f>
        <v>人工铺筑砂砾石垫层</v>
      </c>
      <c r="C46" s="820" t="s">
        <v>521</v>
      </c>
      <c r="D46" s="821">
        <f t="shared" si="8"/>
        <v>9305.70146653113</v>
      </c>
      <c r="E46" s="821">
        <f>维修!G1037</f>
        <v>2866.523</v>
      </c>
      <c r="F46" s="821">
        <f>维修!G1040</f>
        <v>3946.0409928</v>
      </c>
      <c r="G46" s="822"/>
      <c r="H46" s="821"/>
      <c r="I46" s="821">
        <f>维修!G1044</f>
        <v>327.0030716544</v>
      </c>
      <c r="J46" s="821">
        <f>维修!G1045</f>
        <v>606.863200478624</v>
      </c>
      <c r="K46" s="821">
        <f>维修!G1046</f>
        <v>542.250118545312</v>
      </c>
      <c r="L46" s="821">
        <f>维修!G1047</f>
        <v>0</v>
      </c>
      <c r="M46" s="821">
        <f>维修!G1050</f>
        <v>745.98123451305</v>
      </c>
      <c r="N46" s="823">
        <f t="shared" si="10"/>
        <v>271.039848539742</v>
      </c>
      <c r="O46" s="824">
        <f>维修!G1052</f>
        <v>9305.70146653113</v>
      </c>
      <c r="P46" s="825">
        <f t="shared" si="9"/>
        <v>0</v>
      </c>
      <c r="Q46" s="785">
        <v>30</v>
      </c>
      <c r="T46" s="826"/>
      <c r="U46" s="785">
        <v>18</v>
      </c>
    </row>
    <row r="47" s="785" customFormat="1" ht="20.1" customHeight="1" spans="1:21">
      <c r="A47" s="813" t="s">
        <v>571</v>
      </c>
      <c r="B47" s="819" t="str">
        <f>维修!E1055</f>
        <v>人工铺筑反滤层</v>
      </c>
      <c r="C47" s="820" t="s">
        <v>521</v>
      </c>
      <c r="D47" s="821">
        <f t="shared" si="8"/>
        <v>16220.5432331188</v>
      </c>
      <c r="E47" s="821">
        <f>维修!G1062</f>
        <v>2866.523</v>
      </c>
      <c r="F47" s="821">
        <f>维修!G1065</f>
        <v>7211.4</v>
      </c>
      <c r="G47" s="822"/>
      <c r="H47" s="821"/>
      <c r="I47" s="821">
        <f>维修!G1069</f>
        <v>483.740304</v>
      </c>
      <c r="J47" s="821">
        <f>维修!G1070</f>
        <v>897.74138084</v>
      </c>
      <c r="K47" s="821">
        <f>维修!G1071</f>
        <v>802.1583279388</v>
      </c>
      <c r="L47" s="821">
        <f>维修!G1072</f>
        <v>2186.23536</v>
      </c>
      <c r="M47" s="821">
        <f>维修!G1075</f>
        <v>1300.30185355009</v>
      </c>
      <c r="N47" s="823">
        <f t="shared" si="10"/>
        <v>472.443006789867</v>
      </c>
      <c r="O47" s="824">
        <f>维修!G1077</f>
        <v>16220.5432331188</v>
      </c>
      <c r="P47" s="825">
        <f t="shared" si="9"/>
        <v>0</v>
      </c>
      <c r="Q47" s="785">
        <v>30</v>
      </c>
      <c r="T47" s="826"/>
    </row>
    <row r="48" s="785" customFormat="1" ht="20.1" customHeight="1" spans="1:21">
      <c r="A48" s="813" t="s">
        <v>572</v>
      </c>
      <c r="B48" s="819" t="str">
        <f>维修!E1080</f>
        <v>M10砌体砂浆抹面</v>
      </c>
      <c r="C48" s="820" t="s">
        <v>558</v>
      </c>
      <c r="D48" s="821">
        <f t="shared" si="8"/>
        <v>1477.18432716325</v>
      </c>
      <c r="E48" s="821">
        <f>维修!G1087</f>
        <v>633.227</v>
      </c>
      <c r="F48" s="821">
        <f>维修!G1090</f>
        <v>359.3005398</v>
      </c>
      <c r="G48" s="822">
        <f>维修!G1093</f>
        <v>19.888208296769</v>
      </c>
      <c r="H48" s="821"/>
      <c r="I48" s="821">
        <f>维修!G1096</f>
        <v>48.5959559086449</v>
      </c>
      <c r="J48" s="821">
        <f>维修!G1097</f>
        <v>90.1859948404602</v>
      </c>
      <c r="K48" s="821">
        <f>维修!G1098</f>
        <v>80.5838389192112</v>
      </c>
      <c r="L48" s="821">
        <f>维修!G1099</f>
        <v>83.9611603406</v>
      </c>
      <c r="M48" s="821">
        <f>维修!G1102</f>
        <v>118.416842829511</v>
      </c>
      <c r="N48" s="823">
        <f t="shared" si="10"/>
        <v>43.0247862280559</v>
      </c>
      <c r="O48" s="824">
        <f>维修!G1104</f>
        <v>1477.18432716325</v>
      </c>
      <c r="P48" s="825">
        <f t="shared" si="9"/>
        <v>4.32009983342141e-12</v>
      </c>
      <c r="Q48" s="785">
        <v>31</v>
      </c>
      <c r="T48" s="826"/>
    </row>
    <row r="49" s="785" customFormat="1" ht="24" customHeight="1" spans="1:21">
      <c r="A49" s="813" t="s">
        <v>573</v>
      </c>
      <c r="B49" s="819" t="s">
        <v>574</v>
      </c>
      <c r="C49" s="820" t="s">
        <v>521</v>
      </c>
      <c r="D49" s="821">
        <f t="shared" si="8"/>
        <v>5667.6756671245</v>
      </c>
      <c r="E49" s="821">
        <f>维修!G1114</f>
        <v>105.014</v>
      </c>
      <c r="F49" s="821">
        <f>维修!G1117</f>
        <v>46.8793274456578</v>
      </c>
      <c r="G49" s="822">
        <f>维修!G1119</f>
        <v>2238.95237228289</v>
      </c>
      <c r="H49" s="821"/>
      <c r="I49" s="821">
        <f>维修!G1123</f>
        <v>114.76059358697</v>
      </c>
      <c r="J49" s="821">
        <f>维修!G1124</f>
        <v>212.976534931819</v>
      </c>
      <c r="K49" s="821">
        <f>维修!G1125</f>
        <v>190.300797977313</v>
      </c>
      <c r="L49" s="821">
        <f>维修!G1126</f>
        <v>2139.371176594</v>
      </c>
      <c r="M49" s="821">
        <f>维修!G1128</f>
        <v>454.342932253678</v>
      </c>
      <c r="N49" s="823">
        <f t="shared" si="10"/>
        <v>165.07793205217</v>
      </c>
      <c r="O49" s="824">
        <f>维修!G1130</f>
        <v>5667.6756671245</v>
      </c>
      <c r="P49" s="825">
        <f t="shared" si="9"/>
        <v>0</v>
      </c>
      <c r="Q49" s="785">
        <v>35</v>
      </c>
      <c r="T49" s="826"/>
    </row>
    <row r="50" s="784" customFormat="1" ht="20.1" customHeight="1" spans="1:21">
      <c r="A50" s="813" t="s">
        <v>575</v>
      </c>
      <c r="B50" s="819" t="str">
        <f>维修!E1133</f>
        <v>铅丝笼块石护坡</v>
      </c>
      <c r="C50" s="820" t="s">
        <v>521</v>
      </c>
      <c r="D50" s="821">
        <f t="shared" si="8"/>
        <v>16362.2226091292</v>
      </c>
      <c r="E50" s="821">
        <f>维修!G1140</f>
        <v>3799.485</v>
      </c>
      <c r="F50" s="821">
        <f>维修!G1143</f>
        <v>8115.375</v>
      </c>
      <c r="G50" s="827">
        <f>维修!G1147</f>
        <v>63.6769206222577</v>
      </c>
      <c r="H50" s="821"/>
      <c r="I50" s="821">
        <f>维修!G1149</f>
        <v>574.969772189868</v>
      </c>
      <c r="J50" s="821">
        <f>维修!G1150</f>
        <v>1067.04806888903</v>
      </c>
      <c r="K50" s="821">
        <f>维修!G1151</f>
        <v>953.438833319081</v>
      </c>
      <c r="L50" s="821">
        <f>维修!G1152</f>
        <v>0</v>
      </c>
      <c r="M50" s="821">
        <f>维修!G1154</f>
        <v>1311.65942355182</v>
      </c>
      <c r="N50" s="823">
        <f t="shared" si="10"/>
        <v>476.569590557162</v>
      </c>
      <c r="O50" s="802">
        <f>维修!G1156</f>
        <v>16362.2226091292</v>
      </c>
      <c r="P50" s="817">
        <f t="shared" si="9"/>
        <v>0</v>
      </c>
      <c r="Q50" s="784">
        <v>36</v>
      </c>
      <c r="T50" s="818"/>
    </row>
    <row r="51" s="784" customFormat="1" ht="20.1" customHeight="1" spans="1:21">
      <c r="A51" s="813" t="s">
        <v>576</v>
      </c>
      <c r="B51" s="819" t="str">
        <f>维修!E1159</f>
        <v>格宾卵石基础</v>
      </c>
      <c r="C51" s="820" t="s">
        <v>521</v>
      </c>
      <c r="D51" s="821">
        <f t="shared" si="8"/>
        <v>29241.783569054</v>
      </c>
      <c r="E51" s="821">
        <f>维修!G1166</f>
        <v>2696.186</v>
      </c>
      <c r="F51" s="821">
        <f>维修!G1169</f>
        <v>18650.37176724</v>
      </c>
      <c r="G51" s="827">
        <f>维修!G1173</f>
        <v>60.9118946948544</v>
      </c>
      <c r="H51" s="821"/>
      <c r="I51" s="821">
        <f>维修!G1175</f>
        <v>1027.55854377287</v>
      </c>
      <c r="J51" s="821">
        <f>维修!G1176</f>
        <v>1906.97739748516</v>
      </c>
      <c r="K51" s="821">
        <f>维修!G1177</f>
        <v>1703.9403922235</v>
      </c>
      <c r="L51" s="821">
        <f>维修!G1178</f>
        <v>0</v>
      </c>
      <c r="M51" s="821">
        <f>维修!G1180</f>
        <v>2344.13513958747</v>
      </c>
      <c r="N51" s="823">
        <f t="shared" si="10"/>
        <v>851.702434050116</v>
      </c>
      <c r="O51" s="802">
        <f>维修!G1182</f>
        <v>29241.783569054</v>
      </c>
      <c r="P51" s="817">
        <f t="shared" si="9"/>
        <v>0</v>
      </c>
      <c r="Q51" s="784">
        <v>36</v>
      </c>
      <c r="T51" s="818"/>
    </row>
    <row r="52" s="784" customFormat="1" ht="20.1" customHeight="1" spans="1:21">
      <c r="A52" s="813" t="s">
        <v>577</v>
      </c>
      <c r="B52" s="819" t="str">
        <f>维修!E1185</f>
        <v>格宾卵石护脚</v>
      </c>
      <c r="C52" s="820" t="s">
        <v>521</v>
      </c>
      <c r="D52" s="821">
        <f t="shared" si="8"/>
        <v>29343.7094276208</v>
      </c>
      <c r="E52" s="821">
        <f>维修!G1192</f>
        <v>1754.657</v>
      </c>
      <c r="F52" s="821">
        <f>维修!G1195</f>
        <v>19676.440717934</v>
      </c>
      <c r="G52" s="827">
        <f>维修!G1199</f>
        <v>50.9903310729956</v>
      </c>
      <c r="H52" s="821"/>
      <c r="I52" s="821">
        <f>维修!G1201</f>
        <v>1031.14022635234</v>
      </c>
      <c r="J52" s="821">
        <f>维修!G1202</f>
        <v>1913.62440340554</v>
      </c>
      <c r="K52" s="821">
        <f>维修!G1203</f>
        <v>1709.87968751354</v>
      </c>
      <c r="L52" s="821">
        <f>维修!G1204</f>
        <v>0</v>
      </c>
      <c r="M52" s="821">
        <f>维修!G1206</f>
        <v>2352.30591296506</v>
      </c>
      <c r="N52" s="823">
        <f t="shared" si="10"/>
        <v>854.671148377304</v>
      </c>
      <c r="O52" s="802">
        <f>维修!G1208</f>
        <v>29343.7094276208</v>
      </c>
      <c r="P52" s="817">
        <f t="shared" si="9"/>
        <v>0</v>
      </c>
      <c r="Q52" s="784">
        <v>37</v>
      </c>
      <c r="T52" s="818"/>
    </row>
    <row r="53" s="784" customFormat="1" ht="20.1" customHeight="1" spans="1:21">
      <c r="A53" s="813" t="s">
        <v>578</v>
      </c>
      <c r="B53" s="819" t="str">
        <f>维修!E1212</f>
        <v>液压岩石破碎机拆除混凝土</v>
      </c>
      <c r="C53" s="820" t="s">
        <v>521</v>
      </c>
      <c r="D53" s="821">
        <f t="shared" si="8"/>
        <v>9499.37165051131</v>
      </c>
      <c r="E53" s="821">
        <f>维修!G1219</f>
        <v>69.24</v>
      </c>
      <c r="F53" s="821">
        <f>维修!G1222</f>
        <v>230.009481481851</v>
      </c>
      <c r="G53" s="827">
        <f>维修!G1224</f>
        <v>4530.94962963702</v>
      </c>
      <c r="H53" s="821"/>
      <c r="I53" s="821">
        <f>维修!G1226</f>
        <v>231.849557333706</v>
      </c>
      <c r="J53" s="821">
        <f>维修!G1227</f>
        <v>379.653650133943</v>
      </c>
      <c r="K53" s="821">
        <f>维修!G1228</f>
        <v>380.919162301056</v>
      </c>
      <c r="L53" s="821">
        <f>维修!G1229</f>
        <v>2638.56285198079</v>
      </c>
      <c r="M53" s="821">
        <f>维修!G1231</f>
        <v>761.506589958152</v>
      </c>
      <c r="N53" s="823">
        <f t="shared" si="10"/>
        <v>276.680727684795</v>
      </c>
      <c r="O53" s="802">
        <f>维修!G1233</f>
        <v>9499.37165051131</v>
      </c>
      <c r="P53" s="817">
        <f t="shared" si="9"/>
        <v>0</v>
      </c>
      <c r="Q53" s="784">
        <v>42</v>
      </c>
      <c r="T53" s="818">
        <f t="shared" ref="T53:T55" si="11">D53/100</f>
        <v>94.9937165051131</v>
      </c>
      <c r="U53" s="784">
        <v>19</v>
      </c>
    </row>
    <row r="54" s="785" customFormat="1" ht="20.1" customHeight="1" spans="1:21">
      <c r="A54" s="813" t="s">
        <v>579</v>
      </c>
      <c r="B54" s="819" t="str">
        <f>维修!E1236</f>
        <v>渠道预制衬砌板拆除(预制板）</v>
      </c>
      <c r="C54" s="820" t="s">
        <v>521</v>
      </c>
      <c r="D54" s="821">
        <f t="shared" ref="D54:D59" si="12">SUM(E54:N54)</f>
        <v>4881.81252397114</v>
      </c>
      <c r="E54" s="821">
        <f>维修!G1243</f>
        <v>1774.275</v>
      </c>
      <c r="F54" s="821">
        <f>维修!G1246</f>
        <v>142.448660835102</v>
      </c>
      <c r="G54" s="822">
        <f>维修!G1248</f>
        <v>1074.69821670203</v>
      </c>
      <c r="H54" s="821"/>
      <c r="I54" s="821">
        <f>维修!G1252</f>
        <v>143.588250121783</v>
      </c>
      <c r="J54" s="821">
        <f>维修!G1253</f>
        <v>235.125759574419</v>
      </c>
      <c r="K54" s="821">
        <f>维修!G1254</f>
        <v>235.909512106334</v>
      </c>
      <c r="L54" s="821">
        <f>维修!G1255</f>
        <v>742.233325138055</v>
      </c>
      <c r="M54" s="821">
        <f>维修!G1257</f>
        <v>391.345085202996</v>
      </c>
      <c r="N54" s="823">
        <f t="shared" si="10"/>
        <v>142.188714290422</v>
      </c>
      <c r="O54" s="824">
        <f>维修!G1259</f>
        <v>4881.81252397115</v>
      </c>
      <c r="P54" s="825">
        <f t="shared" si="9"/>
        <v>-9.09494701772928e-12</v>
      </c>
      <c r="Q54" s="785">
        <v>42</v>
      </c>
      <c r="T54" s="826">
        <f t="shared" si="11"/>
        <v>48.8181252397114</v>
      </c>
      <c r="U54" s="785">
        <v>20</v>
      </c>
    </row>
    <row r="55" s="784" customFormat="1" ht="20.1" hidden="1" customHeight="1" spans="1:21">
      <c r="A55" s="813" t="s">
        <v>580</v>
      </c>
      <c r="B55" s="819" t="str">
        <f>维修!E1262</f>
        <v>现浇C20混凝土渠道护坡修补</v>
      </c>
      <c r="C55" s="820" t="s">
        <v>521</v>
      </c>
      <c r="D55" s="821">
        <f t="shared" si="12"/>
        <v>54198.1339559323</v>
      </c>
      <c r="E55" s="821">
        <f>维修!G1269</f>
        <v>12161.72</v>
      </c>
      <c r="F55" s="821">
        <f>维修!G1272</f>
        <v>20446.9280926</v>
      </c>
      <c r="G55" s="822">
        <f>维修!G1278</f>
        <v>2565.9997440379</v>
      </c>
      <c r="H55" s="821"/>
      <c r="I55" s="821">
        <f>维修!G1284</f>
        <v>1688.38309615862</v>
      </c>
      <c r="J55" s="821">
        <f>维修!G1285</f>
        <v>3133.3576292877</v>
      </c>
      <c r="K55" s="821">
        <f>维修!G1286</f>
        <v>2799.7471993459</v>
      </c>
      <c r="L55" s="821">
        <f>维修!G1287</f>
        <v>5478.67848630505</v>
      </c>
      <c r="M55" s="821">
        <f>维修!G1291</f>
        <v>4344.73328229616</v>
      </c>
      <c r="N55" s="823">
        <f t="shared" si="10"/>
        <v>1578.58642590094</v>
      </c>
      <c r="O55" s="802">
        <f>维修!G1293</f>
        <v>54198.1339559322</v>
      </c>
      <c r="P55" s="817">
        <f t="shared" si="9"/>
        <v>0</v>
      </c>
      <c r="Q55" s="784">
        <v>43</v>
      </c>
      <c r="T55" s="818">
        <f t="shared" si="11"/>
        <v>541.981339559323</v>
      </c>
      <c r="U55" s="784">
        <v>21</v>
      </c>
    </row>
    <row r="56" s="785" customFormat="1" ht="20.1" hidden="1" customHeight="1" spans="1:21">
      <c r="A56" s="813" t="s">
        <v>580</v>
      </c>
      <c r="B56" s="819" t="str">
        <f>维修!E1296</f>
        <v>现浇C25混凝土渠道护坡修补</v>
      </c>
      <c r="C56" s="820" t="s">
        <v>521</v>
      </c>
      <c r="D56" s="821">
        <f t="shared" si="12"/>
        <v>58498.4538917357</v>
      </c>
      <c r="E56" s="821">
        <f>维修!G1303</f>
        <v>12161.72</v>
      </c>
      <c r="F56" s="821">
        <f>维修!G1306</f>
        <v>21189.785254</v>
      </c>
      <c r="G56" s="822">
        <f>维修!G1312</f>
        <v>2565.9997440379</v>
      </c>
      <c r="H56" s="821"/>
      <c r="I56" s="821">
        <f>维修!G1318</f>
        <v>1724.04023990582</v>
      </c>
      <c r="J56" s="821">
        <f>维修!G1319</f>
        <v>3199.53134522522</v>
      </c>
      <c r="K56" s="821">
        <f>维修!G1320</f>
        <v>2858.87536082183</v>
      </c>
      <c r="L56" s="821">
        <f>维修!G1321</f>
        <v>8405.19982561441</v>
      </c>
      <c r="M56" s="821">
        <f>维修!G1326</f>
        <v>4689.46365926446</v>
      </c>
      <c r="N56" s="823">
        <f t="shared" si="10"/>
        <v>1703.83846286609</v>
      </c>
      <c r="O56" s="824">
        <f>维修!G1328</f>
        <v>58498.4538917357</v>
      </c>
      <c r="P56" s="825">
        <f t="shared" si="9"/>
        <v>0</v>
      </c>
      <c r="Q56" s="785">
        <v>43</v>
      </c>
      <c r="T56" s="826"/>
    </row>
    <row r="57" s="785" customFormat="1" ht="20.1" hidden="1" customHeight="1" spans="1:21">
      <c r="A57" s="813" t="s">
        <v>581</v>
      </c>
      <c r="B57" s="819" t="str">
        <f>维修!E1332</f>
        <v>现浇C20混凝土渠道护底修补</v>
      </c>
      <c r="C57" s="820" t="s">
        <v>521</v>
      </c>
      <c r="D57" s="821">
        <f t="shared" si="12"/>
        <v>50548.0693212726</v>
      </c>
      <c r="E57" s="821">
        <f>维修!G1339</f>
        <v>7514.437</v>
      </c>
      <c r="F57" s="821">
        <f>维修!G1342</f>
        <v>19975.49584712</v>
      </c>
      <c r="G57" s="822">
        <f>维修!G1353</f>
        <v>2823.11568754466</v>
      </c>
      <c r="H57" s="821"/>
      <c r="I57" s="821">
        <f>维修!G1359</f>
        <v>1455.0263296639</v>
      </c>
      <c r="J57" s="821">
        <f>维修!G1360</f>
        <v>2700.28636346793</v>
      </c>
      <c r="K57" s="821">
        <f>维修!G1361</f>
        <v>2412.78528594575</v>
      </c>
      <c r="L57" s="821">
        <f>维修!G1362</f>
        <v>8142.51904363965</v>
      </c>
      <c r="M57" s="821">
        <f>维修!G1367</f>
        <v>4052.12990016437</v>
      </c>
      <c r="N57" s="823">
        <f t="shared" si="10"/>
        <v>1472.27386372639</v>
      </c>
      <c r="O57" s="824">
        <f>维修!G1369</f>
        <v>50548.0693212727</v>
      </c>
      <c r="P57" s="825">
        <f t="shared" si="9"/>
        <v>0</v>
      </c>
      <c r="Q57" s="785">
        <v>44</v>
      </c>
      <c r="T57" s="826">
        <f>D57/100</f>
        <v>505.480693212726</v>
      </c>
      <c r="U57" s="785">
        <v>22</v>
      </c>
    </row>
    <row r="58" s="784" customFormat="1" ht="20.1" hidden="1" customHeight="1" spans="1:21">
      <c r="A58" s="813" t="s">
        <v>581</v>
      </c>
      <c r="B58" s="819" t="str">
        <f>维修!E1372</f>
        <v>现浇C25混凝土渠道护底修补</v>
      </c>
      <c r="C58" s="820" t="s">
        <v>521</v>
      </c>
      <c r="D58" s="821">
        <f t="shared" si="12"/>
        <v>49384.8882410512</v>
      </c>
      <c r="E58" s="821">
        <f>维修!G1379</f>
        <v>7514.437</v>
      </c>
      <c r="F58" s="821">
        <f>维修!G1382</f>
        <v>20719.8240128</v>
      </c>
      <c r="G58" s="822">
        <f>维修!G1393</f>
        <v>2823.11568754466</v>
      </c>
      <c r="H58" s="821"/>
      <c r="I58" s="821">
        <f>维修!G1399</f>
        <v>1490.75408161654</v>
      </c>
      <c r="J58" s="821">
        <f>维修!G1400</f>
        <v>2766.5911164667</v>
      </c>
      <c r="K58" s="821">
        <f>维修!G1401</f>
        <v>2472.03053288995</v>
      </c>
      <c r="L58" s="821">
        <f>维修!G1402</f>
        <v>6200.85622731861</v>
      </c>
      <c r="M58" s="821">
        <f>维修!G1406</f>
        <v>3958.88477927728</v>
      </c>
      <c r="N58" s="823">
        <f t="shared" si="10"/>
        <v>1438.39480313741</v>
      </c>
      <c r="O58" s="802">
        <f>维修!G1408</f>
        <v>49384.8882410512</v>
      </c>
      <c r="P58" s="817">
        <f t="shared" si="9"/>
        <v>0</v>
      </c>
      <c r="Q58" s="784">
        <v>44</v>
      </c>
      <c r="T58" s="818"/>
    </row>
    <row r="59" s="784" customFormat="1" ht="20.1" hidden="1" customHeight="1" spans="1:21">
      <c r="A59" s="813" t="s">
        <v>581</v>
      </c>
      <c r="B59" s="819" t="str">
        <f>维修!E1411</f>
        <v>现浇C30混凝土渠道护底修补</v>
      </c>
      <c r="C59" s="820" t="s">
        <v>521</v>
      </c>
      <c r="D59" s="821">
        <f t="shared" si="12"/>
        <v>50539.0471608012</v>
      </c>
      <c r="E59" s="821">
        <f>维修!G1418</f>
        <v>7514.437</v>
      </c>
      <c r="F59" s="821">
        <f>维修!G1421</f>
        <v>21255.9208928</v>
      </c>
      <c r="G59" s="822">
        <f>维修!G1432</f>
        <v>2823.11568754466</v>
      </c>
      <c r="H59" s="821"/>
      <c r="I59" s="821">
        <f>维修!G1438</f>
        <v>1516.48673185654</v>
      </c>
      <c r="J59" s="821">
        <f>维修!G1439</f>
        <v>2814.3466265371</v>
      </c>
      <c r="K59" s="821">
        <f>维修!G1440</f>
        <v>2514.70148571168</v>
      </c>
      <c r="L59" s="821">
        <f>维修!G1441</f>
        <v>6576.62100531861</v>
      </c>
      <c r="M59" s="821">
        <f>维修!G1445</f>
        <v>4051.40664867917</v>
      </c>
      <c r="N59" s="823">
        <f t="shared" si="10"/>
        <v>1472.01108235343</v>
      </c>
      <c r="O59" s="802">
        <f>维修!G1447</f>
        <v>50539.0471608012</v>
      </c>
      <c r="P59" s="817">
        <f t="shared" si="9"/>
        <v>0</v>
      </c>
      <c r="Q59" s="784">
        <v>44</v>
      </c>
      <c r="T59" s="818"/>
    </row>
    <row r="60" s="785" customFormat="1" ht="20.1" hidden="1" customHeight="1" spans="1:21">
      <c r="A60" s="813" t="s">
        <v>582</v>
      </c>
      <c r="B60" s="819" t="str">
        <f>维修!E1451</f>
        <v>预制C20混凝土砌护板修补</v>
      </c>
      <c r="C60" s="820" t="s">
        <v>521</v>
      </c>
      <c r="D60" s="821">
        <f t="shared" ref="D60:D112" si="13">SUM(E60:N60)</f>
        <v>66194.4590657976</v>
      </c>
      <c r="E60" s="821">
        <f>维修!G1458</f>
        <v>14656.213</v>
      </c>
      <c r="F60" s="821">
        <f>维修!G1461</f>
        <v>19950.8194519611</v>
      </c>
      <c r="G60" s="822">
        <f>维修!G1467</f>
        <v>10019.779158635</v>
      </c>
      <c r="H60" s="821"/>
      <c r="I60" s="821">
        <f>维修!G1473</f>
        <v>2142.08695730861</v>
      </c>
      <c r="J60" s="821">
        <f>维修!G1474</f>
        <v>3975.3563782719</v>
      </c>
      <c r="K60" s="821">
        <f>维修!G1475</f>
        <v>3552.09784623236</v>
      </c>
      <c r="L60" s="821">
        <f>维修!G1476</f>
        <v>4663.70694376061</v>
      </c>
      <c r="M60" s="821">
        <f>维修!G1480</f>
        <v>5306.40537625526</v>
      </c>
      <c r="N60" s="823">
        <f t="shared" si="10"/>
        <v>1927.99395337275</v>
      </c>
      <c r="O60" s="824">
        <f>维修!G1482</f>
        <v>66194.4590657976</v>
      </c>
      <c r="P60" s="825">
        <f t="shared" ref="P60:P107" si="14">D60-O60</f>
        <v>0</v>
      </c>
      <c r="Q60" s="785">
        <v>45</v>
      </c>
      <c r="T60" s="826"/>
      <c r="U60" s="785">
        <v>23</v>
      </c>
    </row>
    <row r="61" s="785" customFormat="1" ht="20.1" hidden="1" customHeight="1" spans="1:21">
      <c r="A61" s="813" t="s">
        <v>583</v>
      </c>
      <c r="B61" s="819" t="str">
        <f>维修!E1485</f>
        <v>砌筑预制C20混凝土砌护板修补</v>
      </c>
      <c r="C61" s="820" t="s">
        <v>521</v>
      </c>
      <c r="D61" s="821">
        <f t="shared" si="13"/>
        <v>104068.597924272</v>
      </c>
      <c r="E61" s="821">
        <f>维修!G1492</f>
        <v>10179.665</v>
      </c>
      <c r="F61" s="821">
        <f>维修!G1495</f>
        <v>44910.8247992676</v>
      </c>
      <c r="G61" s="822">
        <f>维修!G1499</f>
        <v>9650.68158111288</v>
      </c>
      <c r="H61" s="821">
        <f>维修!G1503</f>
        <v>3871.89020096509</v>
      </c>
      <c r="I61" s="821">
        <f>维修!G1504</f>
        <v>3293.42695590459</v>
      </c>
      <c r="J61" s="821">
        <f>维修!G1505</f>
        <v>6112.05152566627</v>
      </c>
      <c r="K61" s="821">
        <f>维修!G1506</f>
        <v>5461.29780440415</v>
      </c>
      <c r="L61" s="821">
        <f>维修!G1507</f>
        <v>9215.09214450073</v>
      </c>
      <c r="M61" s="821">
        <f>维修!G1512</f>
        <v>8342.54370106392</v>
      </c>
      <c r="N61" s="823">
        <f t="shared" si="10"/>
        <v>3031.12421138656</v>
      </c>
      <c r="O61" s="824">
        <f>维修!G1514</f>
        <v>104068.597924272</v>
      </c>
      <c r="P61" s="825">
        <f t="shared" si="14"/>
        <v>0</v>
      </c>
      <c r="Q61" s="785">
        <v>45</v>
      </c>
      <c r="T61" s="826"/>
      <c r="U61" s="785">
        <v>24</v>
      </c>
    </row>
    <row r="62" s="784" customFormat="1" ht="22.5" spans="1:21">
      <c r="A62" s="813" t="s">
        <v>584</v>
      </c>
      <c r="B62" s="819" t="str">
        <f>维修!E1517</f>
        <v>混凝土结构缺损修补（抹水泥砂浆修补）</v>
      </c>
      <c r="C62" s="820" t="s">
        <v>567</v>
      </c>
      <c r="D62" s="821">
        <f t="shared" si="13"/>
        <v>115.775980285712</v>
      </c>
      <c r="E62" s="821">
        <f>维修!G1524</f>
        <v>75.087</v>
      </c>
      <c r="F62" s="821">
        <f>维修!G1527</f>
        <v>9.07077738</v>
      </c>
      <c r="G62" s="822">
        <f>维修!G1531</f>
        <v>0</v>
      </c>
      <c r="H62" s="821"/>
      <c r="I62" s="821">
        <f>维修!G1533</f>
        <v>4.03957331424</v>
      </c>
      <c r="J62" s="821">
        <f>维修!G1534</f>
        <v>7.4967748090104</v>
      </c>
      <c r="K62" s="821">
        <f>维修!G1535</f>
        <v>6.69858878522753</v>
      </c>
      <c r="L62" s="821">
        <f>维修!G1536</f>
        <v>0.73009704644</v>
      </c>
      <c r="M62" s="821">
        <f>维修!G1539</f>
        <v>9.28105302014261</v>
      </c>
      <c r="N62" s="823">
        <f t="shared" si="10"/>
        <v>3.37211593065182</v>
      </c>
      <c r="O62" s="802">
        <f>维修!G1541</f>
        <v>115.775980285712</v>
      </c>
      <c r="P62" s="817">
        <f t="shared" si="14"/>
        <v>0</v>
      </c>
      <c r="Q62" s="784">
        <v>46</v>
      </c>
      <c r="T62" s="818"/>
    </row>
    <row r="63" s="785" customFormat="1" ht="20.1" customHeight="1" spans="1:21">
      <c r="A63" s="813" t="s">
        <v>585</v>
      </c>
      <c r="B63" s="819" t="str">
        <f>维修!E1544</f>
        <v>混凝土渗漏与裂缝处理</v>
      </c>
      <c r="C63" s="820" t="s">
        <v>67</v>
      </c>
      <c r="D63" s="821">
        <f t="shared" si="13"/>
        <v>434.237023819394</v>
      </c>
      <c r="E63" s="821">
        <f>维修!G1551</f>
        <v>155.833</v>
      </c>
      <c r="F63" s="821">
        <f>维修!G1554</f>
        <v>107.5874624</v>
      </c>
      <c r="G63" s="822">
        <f>维修!G1566</f>
        <v>54.4779274690866</v>
      </c>
      <c r="H63" s="821"/>
      <c r="I63" s="821">
        <f>维修!G1571</f>
        <v>15.2591227137162</v>
      </c>
      <c r="J63" s="821">
        <f>维修!G1572</f>
        <v>28.3183885695382</v>
      </c>
      <c r="K63" s="821">
        <f>维修!G1573</f>
        <v>25.3033130806639</v>
      </c>
      <c r="L63" s="821"/>
      <c r="M63" s="821">
        <f>维修!G1574</f>
        <v>34.8101292809704</v>
      </c>
      <c r="N63" s="823">
        <f t="shared" si="10"/>
        <v>12.6476803054193</v>
      </c>
      <c r="O63" s="824">
        <f>维修!G1576</f>
        <v>434.237023819395</v>
      </c>
      <c r="P63" s="825">
        <f t="shared" si="14"/>
        <v>-5.11590769747272e-13</v>
      </c>
      <c r="Q63" s="785">
        <v>48</v>
      </c>
      <c r="T63" s="826"/>
    </row>
    <row r="64" s="784" customFormat="1" ht="20.1" customHeight="1" spans="1:21">
      <c r="A64" s="813" t="s">
        <v>586</v>
      </c>
      <c r="B64" s="819" t="str">
        <f>维修!E1580</f>
        <v>渠道混凝土砌筑板板缝剔除</v>
      </c>
      <c r="C64" s="820" t="s">
        <v>521</v>
      </c>
      <c r="D64" s="821">
        <f t="shared" si="13"/>
        <v>105.059576163487</v>
      </c>
      <c r="E64" s="821">
        <f>维修!G1587</f>
        <v>77.628</v>
      </c>
      <c r="F64" s="821">
        <f>维修!G1590</f>
        <v>0</v>
      </c>
      <c r="G64" s="822"/>
      <c r="H64" s="821"/>
      <c r="I64" s="821">
        <f>维修!G1593</f>
        <v>3.726144</v>
      </c>
      <c r="J64" s="821">
        <f>维修!G1594</f>
        <v>6.1015608</v>
      </c>
      <c r="K64" s="821">
        <f>维修!G1595</f>
        <v>6.121899336</v>
      </c>
      <c r="L64" s="821"/>
      <c r="M64" s="821">
        <f>维修!G1596</f>
        <v>8.42198437224</v>
      </c>
      <c r="N64" s="823">
        <f t="shared" si="10"/>
        <v>3.0599876552472</v>
      </c>
      <c r="O64" s="802">
        <f>维修!G1598</f>
        <v>105.059576163487</v>
      </c>
      <c r="P64" s="817">
        <f t="shared" si="14"/>
        <v>2.1316282072803e-13</v>
      </c>
      <c r="Q64" s="784">
        <v>54</v>
      </c>
      <c r="T64" s="818"/>
      <c r="U64" s="784">
        <v>25</v>
      </c>
    </row>
    <row r="65" s="784" customFormat="1" ht="20.1" customHeight="1" spans="1:21">
      <c r="A65" s="813" t="s">
        <v>587</v>
      </c>
      <c r="B65" s="819" t="str">
        <f>维修!E1601</f>
        <v>渠道混凝土砌筑板板缝填筑</v>
      </c>
      <c r="C65" s="820" t="s">
        <v>521</v>
      </c>
      <c r="D65" s="821">
        <f t="shared" si="13"/>
        <v>474.921063667201</v>
      </c>
      <c r="E65" s="821">
        <f>维修!G1608</f>
        <v>112.514</v>
      </c>
      <c r="F65" s="821">
        <f>维修!G1611</f>
        <v>200.09922723</v>
      </c>
      <c r="G65" s="822"/>
      <c r="H65" s="821"/>
      <c r="I65" s="821">
        <f>维修!G1614</f>
        <v>15.00543490704</v>
      </c>
      <c r="J65" s="821">
        <f>维修!G1615</f>
        <v>24.571399660278</v>
      </c>
      <c r="K65" s="821">
        <f>维修!G1616</f>
        <v>24.6533043258123</v>
      </c>
      <c r="L65" s="821">
        <f>维修!G1617</f>
        <v>46.1735250029064</v>
      </c>
      <c r="M65" s="821">
        <f>维修!G1620</f>
        <v>38.0715202013433</v>
      </c>
      <c r="N65" s="823">
        <f t="shared" si="10"/>
        <v>13.8326523398214</v>
      </c>
      <c r="O65" s="802">
        <f>维修!G1622</f>
        <v>474.921063667201</v>
      </c>
      <c r="P65" s="817">
        <f t="shared" si="14"/>
        <v>0</v>
      </c>
      <c r="Q65" s="784">
        <v>54</v>
      </c>
      <c r="T65" s="818"/>
      <c r="U65" s="784">
        <v>26</v>
      </c>
    </row>
    <row r="66" s="785" customFormat="1" ht="20.1" hidden="1" customHeight="1" spans="1:21">
      <c r="A66" s="813" t="s">
        <v>588</v>
      </c>
      <c r="B66" s="819" t="str">
        <f>维修!E1626</f>
        <v>伐树（40cm)</v>
      </c>
      <c r="C66" s="820" t="s">
        <v>589</v>
      </c>
      <c r="D66" s="821">
        <f t="shared" si="13"/>
        <v>67.7862835080058</v>
      </c>
      <c r="E66" s="821">
        <f>维修!G1633</f>
        <v>50.321</v>
      </c>
      <c r="F66" s="821"/>
      <c r="G66" s="822"/>
      <c r="H66" s="821"/>
      <c r="I66" s="821">
        <f>维修!G1636</f>
        <v>2.415408</v>
      </c>
      <c r="J66" s="821">
        <f>维修!G1637</f>
        <v>3.69154856</v>
      </c>
      <c r="K66" s="821">
        <f>维修!G1638</f>
        <v>3.9499569592</v>
      </c>
      <c r="L66" s="821"/>
      <c r="M66" s="821">
        <f>维修!G1639</f>
        <v>5.434012216728</v>
      </c>
      <c r="N66" s="823">
        <f t="shared" si="10"/>
        <v>1.97435777207784</v>
      </c>
      <c r="O66" s="824">
        <f>维修!G1641</f>
        <v>67.7862835080058</v>
      </c>
      <c r="P66" s="825">
        <f t="shared" si="14"/>
        <v>0</v>
      </c>
      <c r="Q66" s="785">
        <v>56</v>
      </c>
      <c r="T66" s="826"/>
    </row>
    <row r="67" s="785" customFormat="1" ht="20.1" hidden="1" customHeight="1" spans="1:21">
      <c r="A67" s="813" t="s">
        <v>590</v>
      </c>
      <c r="B67" s="819" t="str">
        <f>维修!E1644</f>
        <v>挖树根（40cm)</v>
      </c>
      <c r="C67" s="820" t="s">
        <v>589</v>
      </c>
      <c r="D67" s="821">
        <f t="shared" si="13"/>
        <v>57.3679866408745</v>
      </c>
      <c r="E67" s="821">
        <f>维修!G1651</f>
        <v>42.587</v>
      </c>
      <c r="F67" s="821"/>
      <c r="G67" s="822"/>
      <c r="H67" s="821"/>
      <c r="I67" s="821">
        <f>维修!G1654</f>
        <v>2.044176</v>
      </c>
      <c r="J67" s="821">
        <f>维修!G1655</f>
        <v>3.12418232</v>
      </c>
      <c r="K67" s="821">
        <f>维修!G1656</f>
        <v>3.3428750824</v>
      </c>
      <c r="L67" s="821"/>
      <c r="M67" s="821">
        <f>维修!G1657</f>
        <v>4.598841006216</v>
      </c>
      <c r="N67" s="823">
        <f t="shared" si="10"/>
        <v>1.67091223225848</v>
      </c>
      <c r="O67" s="824">
        <f>维修!G1659</f>
        <v>57.3679866408745</v>
      </c>
      <c r="P67" s="825">
        <f t="shared" si="14"/>
        <v>0</v>
      </c>
      <c r="Q67" s="785">
        <v>56</v>
      </c>
      <c r="T67" s="826"/>
    </row>
    <row r="68" s="784" customFormat="1" ht="20.1" hidden="1" customHeight="1" spans="1:21">
      <c r="A68" s="813" t="s">
        <v>591</v>
      </c>
      <c r="B68" s="819" t="str">
        <f>维修!E1662</f>
        <v>砍挖灌木丛（250cm)</v>
      </c>
      <c r="C68" s="820" t="s">
        <v>592</v>
      </c>
      <c r="D68" s="821">
        <f t="shared" si="13"/>
        <v>1283.8739069592</v>
      </c>
      <c r="E68" s="821">
        <f>维修!G1669</f>
        <v>953.081</v>
      </c>
      <c r="F68" s="821"/>
      <c r="G68" s="822"/>
      <c r="H68" s="821"/>
      <c r="I68" s="821">
        <f>维修!G1672</f>
        <v>45.747888</v>
      </c>
      <c r="J68" s="821">
        <f>维修!G1673</f>
        <v>69.91802216</v>
      </c>
      <c r="K68" s="821">
        <f>维修!G1674</f>
        <v>74.8122837112</v>
      </c>
      <c r="L68" s="821"/>
      <c r="M68" s="821">
        <f>维修!G1675</f>
        <v>102.920327448408</v>
      </c>
      <c r="N68" s="823">
        <f t="shared" si="10"/>
        <v>37.3943856395882</v>
      </c>
      <c r="O68" s="802">
        <f>维修!G1677</f>
        <v>1283.8739069592</v>
      </c>
      <c r="P68" s="817">
        <f t="shared" si="14"/>
        <v>-3.63797880709171e-12</v>
      </c>
      <c r="Q68" s="784">
        <v>57</v>
      </c>
      <c r="T68" s="818"/>
    </row>
    <row r="69" s="784" customFormat="1" ht="20.1" hidden="1" customHeight="1" spans="1:21">
      <c r="A69" s="813" t="s">
        <v>593</v>
      </c>
      <c r="B69" s="819" t="str">
        <f>维修!E1701</f>
        <v>栽植带土球乔木（土球直径40cm)</v>
      </c>
      <c r="C69" s="820" t="s">
        <v>589</v>
      </c>
      <c r="D69" s="821">
        <f t="shared" si="13"/>
        <v>9.77506739285476</v>
      </c>
      <c r="E69" s="821">
        <f>维修!G1708</f>
        <v>6.924</v>
      </c>
      <c r="F69" s="821">
        <f>维修!G1711</f>
        <v>0.3325</v>
      </c>
      <c r="G69" s="822"/>
      <c r="H69" s="821"/>
      <c r="I69" s="821">
        <f>维修!G1714</f>
        <v>0.348312</v>
      </c>
      <c r="J69" s="821">
        <f>维修!G1715</f>
        <v>0.53233684</v>
      </c>
      <c r="K69" s="821">
        <f>维修!G1716</f>
        <v>0.5696004188</v>
      </c>
      <c r="L69" s="821"/>
      <c r="M69" s="821">
        <f>维修!G1717</f>
        <v>0.783607433292</v>
      </c>
      <c r="N69" s="823">
        <f t="shared" si="10"/>
        <v>0.28471070076276</v>
      </c>
      <c r="O69" s="802">
        <f>维修!G1719</f>
        <v>9.77506739285476</v>
      </c>
      <c r="P69" s="817">
        <f t="shared" si="14"/>
        <v>0</v>
      </c>
      <c r="Q69" s="784">
        <v>59</v>
      </c>
      <c r="T69" s="818"/>
    </row>
    <row r="70" s="785" customFormat="1" ht="20.1" hidden="1" customHeight="1" spans="1:21">
      <c r="A70" s="835" t="s">
        <v>594</v>
      </c>
      <c r="B70" s="836" t="str">
        <f>维修!E1681</f>
        <v>起挖裸根乔木（10cm)</v>
      </c>
      <c r="C70" s="837" t="s">
        <v>589</v>
      </c>
      <c r="D70" s="838">
        <f t="shared" si="13"/>
        <v>15.8591426191799</v>
      </c>
      <c r="E70" s="838">
        <f>维修!G1688</f>
        <v>11.773</v>
      </c>
      <c r="F70" s="838"/>
      <c r="G70" s="839"/>
      <c r="H70" s="838"/>
      <c r="I70" s="838">
        <f>维修!G1691</f>
        <v>0.565104</v>
      </c>
      <c r="J70" s="838">
        <f>维修!G1692</f>
        <v>0.86366728</v>
      </c>
      <c r="K70" s="838">
        <f>维修!G1693</f>
        <v>0.9241239896</v>
      </c>
      <c r="L70" s="838"/>
      <c r="M70" s="838">
        <f>维修!G1694</f>
        <v>1.271330574264</v>
      </c>
      <c r="N70" s="823">
        <f t="shared" si="10"/>
        <v>0.46191677531592</v>
      </c>
      <c r="O70" s="824">
        <f>维修!G1696</f>
        <v>15.8591426191799</v>
      </c>
      <c r="P70" s="825">
        <f t="shared" si="14"/>
        <v>1.95399252334028e-14</v>
      </c>
      <c r="Q70" s="785">
        <v>60</v>
      </c>
      <c r="T70" s="826"/>
    </row>
    <row r="71" s="784" customFormat="1" ht="20.1" hidden="1" customHeight="1" spans="1:21">
      <c r="A71" s="813" t="s">
        <v>595</v>
      </c>
      <c r="B71" s="819" t="str">
        <f>维修!E1722</f>
        <v>栽植裸根乔木（胸径10cm)</v>
      </c>
      <c r="C71" s="820" t="s">
        <v>589</v>
      </c>
      <c r="D71" s="821">
        <f t="shared" si="13"/>
        <v>17.0843095445298</v>
      </c>
      <c r="E71" s="821">
        <f>维修!G1729</f>
        <v>12.35</v>
      </c>
      <c r="F71" s="821">
        <f>维修!G1732</f>
        <v>0.3325</v>
      </c>
      <c r="G71" s="822"/>
      <c r="H71" s="821"/>
      <c r="I71" s="821">
        <f>维修!G1735</f>
        <v>0.60876</v>
      </c>
      <c r="J71" s="821">
        <f>维修!G1736</f>
        <v>0.9303882</v>
      </c>
      <c r="K71" s="821">
        <f>维修!G1737</f>
        <v>0.995515374</v>
      </c>
      <c r="L71" s="821"/>
      <c r="M71" s="821">
        <f>维修!G1738</f>
        <v>1.36954472166</v>
      </c>
      <c r="N71" s="823">
        <f t="shared" ref="N71:N102" si="15">SUM(E71:M71)*3%</f>
        <v>0.4976012488698</v>
      </c>
      <c r="O71" s="802">
        <f>维修!G1740</f>
        <v>17.0843095445298</v>
      </c>
      <c r="P71" s="817">
        <f t="shared" si="14"/>
        <v>0</v>
      </c>
      <c r="Q71" s="784">
        <v>61</v>
      </c>
      <c r="T71" s="818"/>
    </row>
    <row r="72" s="784" customFormat="1" ht="20.1" hidden="1" customHeight="1" spans="1:21">
      <c r="A72" s="813" t="s">
        <v>596</v>
      </c>
      <c r="B72" s="819" t="str">
        <f>维修!E1846</f>
        <v>树木涂白（落叶乔木胸径20cm)</v>
      </c>
      <c r="C72" s="820" t="s">
        <v>592</v>
      </c>
      <c r="D72" s="821">
        <f t="shared" si="13"/>
        <v>438.091134463537</v>
      </c>
      <c r="E72" s="821">
        <f>维修!G1853</f>
        <v>251.716</v>
      </c>
      <c r="F72" s="821">
        <f>维修!G1856</f>
        <v>73.5</v>
      </c>
      <c r="G72" s="822"/>
      <c r="H72" s="821"/>
      <c r="I72" s="821">
        <f>维修!G1859</f>
        <v>15.610368</v>
      </c>
      <c r="J72" s="821">
        <f>维修!G1860</f>
        <v>23.85784576</v>
      </c>
      <c r="K72" s="821">
        <f>维修!G1861</f>
        <v>25.5278949632</v>
      </c>
      <c r="L72" s="821"/>
      <c r="M72" s="821">
        <f>维修!G1862</f>
        <v>35.119089785088</v>
      </c>
      <c r="N72" s="823">
        <f t="shared" si="15"/>
        <v>12.7599359552486</v>
      </c>
      <c r="O72" s="802">
        <f>维修!G1864</f>
        <v>438.091134463537</v>
      </c>
      <c r="P72" s="817">
        <f t="shared" si="14"/>
        <v>0</v>
      </c>
      <c r="Q72" s="784">
        <v>71</v>
      </c>
      <c r="T72" s="818"/>
    </row>
    <row r="73" s="784" customFormat="1" ht="20.1" hidden="1" customHeight="1" spans="1:21">
      <c r="A73" s="813" t="s">
        <v>597</v>
      </c>
      <c r="B73" s="819" t="str">
        <f>维修!E1744</f>
        <v>乔木一级养护（常绿乔木树高500cm)</v>
      </c>
      <c r="C73" s="820" t="s">
        <v>592</v>
      </c>
      <c r="D73" s="821">
        <f t="shared" si="13"/>
        <v>2345.17399239785</v>
      </c>
      <c r="E73" s="821">
        <f>维修!G1751</f>
        <v>1513.07</v>
      </c>
      <c r="F73" s="821">
        <f>维修!G1754</f>
        <v>94</v>
      </c>
      <c r="G73" s="822">
        <f>维修!G1758</f>
        <v>85.4508627116075</v>
      </c>
      <c r="H73" s="821"/>
      <c r="I73" s="821">
        <f>维修!G1761</f>
        <v>81.2410014101572</v>
      </c>
      <c r="J73" s="821">
        <f>维修!G1762</f>
        <v>124.163330488524</v>
      </c>
      <c r="K73" s="821">
        <f>维修!G1763</f>
        <v>132.85476362272</v>
      </c>
      <c r="L73" s="821">
        <f>维修!G1764</f>
        <v>58.0897241379314</v>
      </c>
      <c r="M73" s="821">
        <f>维修!G1766</f>
        <v>187.998271413384</v>
      </c>
      <c r="N73" s="823">
        <f t="shared" si="15"/>
        <v>68.3060386135297</v>
      </c>
      <c r="O73" s="802">
        <f>维修!G1768</f>
        <v>2345.17399239785</v>
      </c>
      <c r="P73" s="817">
        <f t="shared" si="14"/>
        <v>3.63797880709171e-12</v>
      </c>
      <c r="T73" s="818"/>
    </row>
    <row r="74" s="784" customFormat="1" ht="20.1" hidden="1" customHeight="1" spans="1:21">
      <c r="A74" s="813" t="s">
        <v>598</v>
      </c>
      <c r="B74" s="819" t="str">
        <f>维修!E1771</f>
        <v>乔木一级养护（落叶乔木胸径10cm)</v>
      </c>
      <c r="C74" s="820" t="s">
        <v>592</v>
      </c>
      <c r="D74" s="821">
        <f t="shared" si="13"/>
        <v>3005.68647014036</v>
      </c>
      <c r="E74" s="821">
        <f>维修!G1778</f>
        <v>1956.25</v>
      </c>
      <c r="F74" s="821">
        <f>维修!G1781</f>
        <v>141.15</v>
      </c>
      <c r="G74" s="822">
        <f>维修!G1786</f>
        <v>85.4508627116075</v>
      </c>
      <c r="H74" s="821"/>
      <c r="I74" s="821">
        <f>维修!G1789</f>
        <v>104.776841410157</v>
      </c>
      <c r="J74" s="821">
        <f>维修!G1790</f>
        <v>160.133939288523</v>
      </c>
      <c r="K74" s="821">
        <f>维修!G1791</f>
        <v>171.34331503872</v>
      </c>
      <c r="L74" s="821">
        <f>维修!G1792</f>
        <v>58.0897241379314</v>
      </c>
      <c r="M74" s="821">
        <f>维修!G1794</f>
        <v>240.947521432824</v>
      </c>
      <c r="N74" s="823">
        <f t="shared" si="15"/>
        <v>87.5442661205929</v>
      </c>
      <c r="O74" s="802">
        <f>维修!G1796</f>
        <v>3005.68647014035</v>
      </c>
      <c r="P74" s="817">
        <f t="shared" si="14"/>
        <v>5.91171556152403e-12</v>
      </c>
      <c r="Q74" s="784">
        <v>67</v>
      </c>
      <c r="T74" s="818"/>
    </row>
    <row r="75" s="784" customFormat="1" ht="20.1" hidden="1" customHeight="1" spans="1:21">
      <c r="A75" s="813" t="s">
        <v>598</v>
      </c>
      <c r="B75" s="819" t="str">
        <f>维修!E1799</f>
        <v>乔木养护（落叶乔木胸径10cm)</v>
      </c>
      <c r="C75" s="820" t="s">
        <v>592</v>
      </c>
      <c r="D75" s="821">
        <f t="shared" si="13"/>
        <v>541.396897234303</v>
      </c>
      <c r="E75" s="821">
        <f>维修!G1806</f>
        <v>184.64</v>
      </c>
      <c r="F75" s="821">
        <f>维修!G1809</f>
        <v>83.4</v>
      </c>
      <c r="G75" s="822">
        <f>维修!G1814</f>
        <v>85.4508627116075</v>
      </c>
      <c r="H75" s="821"/>
      <c r="I75" s="821">
        <f>维修!G1817</f>
        <v>16.9675614101572</v>
      </c>
      <c r="J75" s="821">
        <f>维修!G1818</f>
        <v>25.9320896885235</v>
      </c>
      <c r="K75" s="821">
        <f>维修!G1819</f>
        <v>27.7473359667202</v>
      </c>
      <c r="L75" s="821">
        <f>维修!G1820</f>
        <v>58.0897241379314</v>
      </c>
      <c r="M75" s="821">
        <f>维修!G1822</f>
        <v>43.4004816523446</v>
      </c>
      <c r="N75" s="823">
        <f t="shared" si="15"/>
        <v>15.7688416670185</v>
      </c>
      <c r="O75" s="802">
        <f>维修!G1824</f>
        <v>541.396897234303</v>
      </c>
      <c r="P75" s="817">
        <f t="shared" si="14"/>
        <v>0</v>
      </c>
      <c r="Q75" s="784">
        <v>67</v>
      </c>
      <c r="T75" s="818"/>
    </row>
    <row r="76" s="784" customFormat="1" ht="20.1" hidden="1" customHeight="1" spans="1:21">
      <c r="A76" s="813" t="s">
        <v>599</v>
      </c>
      <c r="B76" s="819" t="str">
        <f>维修!E1828</f>
        <v>修剪树木（20cm)</v>
      </c>
      <c r="C76" s="820" t="s">
        <v>592</v>
      </c>
      <c r="D76" s="821">
        <f t="shared" si="13"/>
        <v>466.358207318448</v>
      </c>
      <c r="E76" s="821">
        <f>维修!G1835</f>
        <v>346.2</v>
      </c>
      <c r="F76" s="821"/>
      <c r="G76" s="822"/>
      <c r="H76" s="821"/>
      <c r="I76" s="821">
        <f>维修!G1838</f>
        <v>16.6176</v>
      </c>
      <c r="J76" s="821">
        <f>维修!G1839</f>
        <v>25.397232</v>
      </c>
      <c r="K76" s="821">
        <f>维修!G1840</f>
        <v>27.17503824</v>
      </c>
      <c r="L76" s="821"/>
      <c r="M76" s="821">
        <f>维修!G1841</f>
        <v>37.3850883216</v>
      </c>
      <c r="N76" s="823">
        <f t="shared" si="15"/>
        <v>13.583248756848</v>
      </c>
      <c r="O76" s="802">
        <f>维修!G1843</f>
        <v>466.358207318448</v>
      </c>
      <c r="P76" s="817">
        <f t="shared" si="14"/>
        <v>0</v>
      </c>
      <c r="Q76" s="784">
        <v>70</v>
      </c>
      <c r="T76" s="818"/>
      <c r="U76" s="784">
        <v>27</v>
      </c>
    </row>
    <row r="77" s="785" customFormat="1" ht="20.1" hidden="1" customHeight="1" spans="1:21">
      <c r="A77" s="813" t="s">
        <v>600</v>
      </c>
      <c r="B77" s="819" t="str">
        <f>维修!E1874</f>
        <v>屋面拆除（铲除卷材防水层）</v>
      </c>
      <c r="C77" s="820" t="s">
        <v>558</v>
      </c>
      <c r="D77" s="821">
        <f t="shared" si="13"/>
        <v>531.06865982451</v>
      </c>
      <c r="E77" s="821">
        <f>维修!G1881</f>
        <v>392.404</v>
      </c>
      <c r="F77" s="821"/>
      <c r="G77" s="822"/>
      <c r="H77" s="821"/>
      <c r="I77" s="821">
        <f>维修!G1884</f>
        <v>18.835392</v>
      </c>
      <c r="J77" s="821">
        <f>维修!G1885</f>
        <v>30.8429544</v>
      </c>
      <c r="K77" s="821">
        <f>维修!G1886</f>
        <v>30.945764248</v>
      </c>
      <c r="L77" s="821"/>
      <c r="M77" s="821">
        <f>维修!G1887</f>
        <v>42.57252995832</v>
      </c>
      <c r="N77" s="823">
        <f t="shared" si="15"/>
        <v>15.4680192181896</v>
      </c>
      <c r="O77" s="824">
        <f>维修!G1889</f>
        <v>531.06865982451</v>
      </c>
      <c r="P77" s="825">
        <f t="shared" si="14"/>
        <v>0</v>
      </c>
      <c r="Q77" s="785">
        <v>82</v>
      </c>
      <c r="T77" s="826"/>
    </row>
    <row r="78" s="784" customFormat="1" ht="20.1" hidden="1" customHeight="1" spans="1:21">
      <c r="A78" s="813" t="s">
        <v>601</v>
      </c>
      <c r="B78" s="819" t="str">
        <f>维修!E1892</f>
        <v>屋面排水拆除（塑料水落管）</v>
      </c>
      <c r="C78" s="820" t="s">
        <v>456</v>
      </c>
      <c r="D78" s="821">
        <f t="shared" si="13"/>
        <v>379.244661097603</v>
      </c>
      <c r="E78" s="821">
        <f>维修!G1899</f>
        <v>280.222</v>
      </c>
      <c r="F78" s="821"/>
      <c r="G78" s="827"/>
      <c r="H78" s="821"/>
      <c r="I78" s="821">
        <f>维修!G1902</f>
        <v>13.450656</v>
      </c>
      <c r="J78" s="821">
        <f>维修!G1903</f>
        <v>22.0254492</v>
      </c>
      <c r="K78" s="821">
        <f>维修!G1904</f>
        <v>22.098867364</v>
      </c>
      <c r="L78" s="821"/>
      <c r="M78" s="821">
        <f>维修!G1905</f>
        <v>30.40172753076</v>
      </c>
      <c r="N78" s="823">
        <f t="shared" si="15"/>
        <v>11.0459610028428</v>
      </c>
      <c r="O78" s="802">
        <f>维修!G1907</f>
        <v>379.244661097603</v>
      </c>
      <c r="P78" s="817">
        <f t="shared" si="14"/>
        <v>0</v>
      </c>
      <c r="Q78" s="784">
        <v>83</v>
      </c>
      <c r="T78" s="818"/>
    </row>
    <row r="79" s="784" customFormat="1" ht="20.1" hidden="1" customHeight="1" spans="1:21">
      <c r="A79" s="813" t="s">
        <v>602</v>
      </c>
      <c r="B79" s="819" t="str">
        <f>维修!E1911</f>
        <v>门扇拆除</v>
      </c>
      <c r="C79" s="820" t="s">
        <v>558</v>
      </c>
      <c r="D79" s="821">
        <f t="shared" si="13"/>
        <v>420.238304653949</v>
      </c>
      <c r="E79" s="821">
        <f>维修!G1918</f>
        <v>310.512</v>
      </c>
      <c r="F79" s="821"/>
      <c r="G79" s="827"/>
      <c r="H79" s="821"/>
      <c r="I79" s="821">
        <f>维修!G1921</f>
        <v>14.904576</v>
      </c>
      <c r="J79" s="821">
        <f>维修!G1922</f>
        <v>24.4062432</v>
      </c>
      <c r="K79" s="821">
        <f>维修!G1923</f>
        <v>24.487597344</v>
      </c>
      <c r="L79" s="821"/>
      <c r="M79" s="821">
        <f>维修!G1924</f>
        <v>33.68793748896</v>
      </c>
      <c r="N79" s="823">
        <f t="shared" si="15"/>
        <v>12.2399506209888</v>
      </c>
      <c r="O79" s="802">
        <f>维修!G1926</f>
        <v>420.238304653949</v>
      </c>
      <c r="P79" s="817">
        <f t="shared" si="14"/>
        <v>0</v>
      </c>
      <c r="Q79" s="784">
        <v>83</v>
      </c>
      <c r="T79" s="818"/>
    </row>
    <row r="80" s="784" customFormat="1" ht="20.1" hidden="1" customHeight="1" spans="1:21">
      <c r="A80" s="813" t="s">
        <v>603</v>
      </c>
      <c r="B80" s="819" t="str">
        <f>维修!E1929</f>
        <v>门窗拆除</v>
      </c>
      <c r="C80" s="820" t="s">
        <v>558</v>
      </c>
      <c r="D80" s="821">
        <f t="shared" si="13"/>
        <v>315.178728490462</v>
      </c>
      <c r="E80" s="821">
        <f>维修!G1936</f>
        <v>232.884</v>
      </c>
      <c r="F80" s="821"/>
      <c r="G80" s="827"/>
      <c r="H80" s="821"/>
      <c r="I80" s="821">
        <f>维修!G1939</f>
        <v>11.178432</v>
      </c>
      <c r="J80" s="821">
        <f>维修!G1940</f>
        <v>18.3046824</v>
      </c>
      <c r="K80" s="821">
        <f>维修!G1941</f>
        <v>18.365698008</v>
      </c>
      <c r="L80" s="821"/>
      <c r="M80" s="821">
        <f>维修!G1942</f>
        <v>25.26595311672</v>
      </c>
      <c r="N80" s="823">
        <f t="shared" si="15"/>
        <v>9.1799629657416</v>
      </c>
      <c r="O80" s="802">
        <f>维修!G1944</f>
        <v>315.178728490462</v>
      </c>
      <c r="P80" s="817">
        <f t="shared" si="14"/>
        <v>-4.54747350886464e-13</v>
      </c>
      <c r="Q80" s="784">
        <v>83</v>
      </c>
      <c r="T80" s="818"/>
    </row>
    <row r="81" s="784" customFormat="1" ht="20.1" hidden="1" customHeight="1" spans="1:22">
      <c r="A81" s="813" t="s">
        <v>604</v>
      </c>
      <c r="B81" s="819" t="str">
        <f>维修!E1947</f>
        <v>门窗换玻璃(平板玻璃5mm)</v>
      </c>
      <c r="C81" s="820" t="s">
        <v>558</v>
      </c>
      <c r="D81" s="821">
        <f t="shared" si="13"/>
        <v>6025.40341401203</v>
      </c>
      <c r="E81" s="821">
        <f>维修!G1954</f>
        <v>1914.824</v>
      </c>
      <c r="F81" s="821">
        <f>维修!G1957</f>
        <v>2537.316712</v>
      </c>
      <c r="G81" s="822"/>
      <c r="H81" s="821"/>
      <c r="I81" s="821">
        <f>维修!G1962</f>
        <v>213.702754176</v>
      </c>
      <c r="J81" s="821">
        <f>维修!G1963</f>
        <v>349.9382599632</v>
      </c>
      <c r="K81" s="821">
        <f>维修!G1964</f>
        <v>351.104720829744</v>
      </c>
      <c r="L81" s="821"/>
      <c r="M81" s="821">
        <f>维修!G1965</f>
        <v>483.019780227205</v>
      </c>
      <c r="N81" s="823">
        <f t="shared" si="15"/>
        <v>175.497186815884</v>
      </c>
      <c r="O81" s="802">
        <f>维修!G1967</f>
        <v>6025.40341401203</v>
      </c>
      <c r="P81" s="817">
        <f t="shared" si="14"/>
        <v>0</v>
      </c>
      <c r="T81" s="818"/>
    </row>
    <row r="82" s="784" customFormat="1" ht="20.1" hidden="1" customHeight="1" spans="1:22">
      <c r="A82" s="813" t="s">
        <v>605</v>
      </c>
      <c r="B82" s="819" t="str">
        <f>维修!E1971</f>
        <v>门窗换玻璃(中空玻璃6+12A+6)</v>
      </c>
      <c r="C82" s="820" t="s">
        <v>558</v>
      </c>
      <c r="D82" s="821">
        <f t="shared" si="13"/>
        <v>33452.8479533026</v>
      </c>
      <c r="E82" s="821">
        <f>维修!G1978</f>
        <v>1914.824</v>
      </c>
      <c r="F82" s="821">
        <f>维修!G1981</f>
        <v>22803.319512</v>
      </c>
      <c r="G82" s="822"/>
      <c r="H82" s="821"/>
      <c r="I82" s="821">
        <f>维修!G1986</f>
        <v>1186.470888576</v>
      </c>
      <c r="J82" s="821">
        <f>维修!G1987</f>
        <v>1942.8460800432</v>
      </c>
      <c r="K82" s="821">
        <f>维修!G1988</f>
        <v>1949.32223364334</v>
      </c>
      <c r="L82" s="821"/>
      <c r="M82" s="821">
        <f>维修!G1989</f>
        <v>2681.71044428363</v>
      </c>
      <c r="N82" s="823">
        <f t="shared" si="15"/>
        <v>974.354794756385</v>
      </c>
      <c r="O82" s="802">
        <f>维修!G1991</f>
        <v>33452.8479533026</v>
      </c>
      <c r="P82" s="817">
        <f t="shared" si="14"/>
        <v>0</v>
      </c>
      <c r="T82" s="818"/>
    </row>
    <row r="83" s="785" customFormat="1" ht="20.1" hidden="1" customHeight="1" spans="1:22">
      <c r="A83" s="813" t="s">
        <v>606</v>
      </c>
      <c r="B83" s="819" t="str">
        <f>维修!E1994</f>
        <v>修补屋面及防水工程（建筑油膏）</v>
      </c>
      <c r="C83" s="820" t="s">
        <v>558</v>
      </c>
      <c r="D83" s="821">
        <f t="shared" si="13"/>
        <v>3940.64898572945</v>
      </c>
      <c r="E83" s="821">
        <f>维修!G2001</f>
        <v>496.726</v>
      </c>
      <c r="F83" s="821">
        <f>维修!G2004</f>
        <v>2415</v>
      </c>
      <c r="G83" s="822"/>
      <c r="H83" s="821"/>
      <c r="I83" s="821">
        <f>维修!G2006</f>
        <v>139.762848</v>
      </c>
      <c r="J83" s="821">
        <f>维修!G2007</f>
        <v>228.8616636</v>
      </c>
      <c r="K83" s="821">
        <f>维修!G2008</f>
        <v>229.624535812</v>
      </c>
      <c r="L83" s="821"/>
      <c r="M83" s="821">
        <f>维修!G2009</f>
        <v>315.89775426708</v>
      </c>
      <c r="N83" s="823">
        <f t="shared" si="15"/>
        <v>114.776184050372</v>
      </c>
      <c r="O83" s="824">
        <f>维修!G2011</f>
        <v>3940.64898572945</v>
      </c>
      <c r="P83" s="825">
        <f t="shared" si="14"/>
        <v>0</v>
      </c>
      <c r="Q83" s="785">
        <v>87</v>
      </c>
      <c r="T83" s="826"/>
    </row>
    <row r="84" s="785" customFormat="1" ht="20.1" customHeight="1" spans="1:22">
      <c r="A84" s="813" t="s">
        <v>607</v>
      </c>
      <c r="B84" s="819" t="str">
        <f>维修!E2014</f>
        <v>附属设施（调换测量水尺）</v>
      </c>
      <c r="C84" s="820" t="s">
        <v>67</v>
      </c>
      <c r="D84" s="821">
        <f t="shared" si="13"/>
        <v>95.0608455258237</v>
      </c>
      <c r="E84" s="821">
        <f>维修!G2021</f>
        <v>7.046</v>
      </c>
      <c r="F84" s="821">
        <f>维修!G2024</f>
        <v>63.1939875</v>
      </c>
      <c r="G84" s="822"/>
      <c r="H84" s="821"/>
      <c r="I84" s="821">
        <f>维修!G2030</f>
        <v>3.3715194</v>
      </c>
      <c r="J84" s="821">
        <f>维修!G2031</f>
        <v>5.5208630175</v>
      </c>
      <c r="K84" s="821">
        <f>维修!G2032</f>
        <v>5.539265894225</v>
      </c>
      <c r="L84" s="821"/>
      <c r="M84" s="821">
        <f>维修!G2033</f>
        <v>7.62044722305525</v>
      </c>
      <c r="N84" s="823">
        <f t="shared" si="15"/>
        <v>2.76876249104341</v>
      </c>
      <c r="O84" s="824">
        <f>维修!G2035</f>
        <v>95.0608455258237</v>
      </c>
      <c r="P84" s="825">
        <f t="shared" si="14"/>
        <v>0</v>
      </c>
      <c r="Q84" s="785">
        <v>93</v>
      </c>
      <c r="T84" s="826"/>
    </row>
    <row r="85" s="784" customFormat="1" ht="20.1" customHeight="1" spans="1:22">
      <c r="A85" s="813" t="s">
        <v>608</v>
      </c>
      <c r="B85" s="819" t="str">
        <f>维修!E2043</f>
        <v>编织袋围堰</v>
      </c>
      <c r="C85" s="820" t="s">
        <v>521</v>
      </c>
      <c r="D85" s="821">
        <f t="shared" si="13"/>
        <v>14994.2957550617</v>
      </c>
      <c r="E85" s="821">
        <f>维修!G2050</f>
        <v>6677.55</v>
      </c>
      <c r="F85" s="821">
        <f>维修!G2053</f>
        <v>4401.6608</v>
      </c>
      <c r="G85" s="822"/>
      <c r="H85" s="821"/>
      <c r="I85" s="821">
        <f>维修!G2057</f>
        <v>531.8021184</v>
      </c>
      <c r="J85" s="821">
        <f>维修!G2058</f>
        <v>870.82596888</v>
      </c>
      <c r="K85" s="821">
        <f>维修!G2059</f>
        <v>873.7287221096</v>
      </c>
      <c r="L85" s="821"/>
      <c r="M85" s="821">
        <f>维修!G2060</f>
        <v>1202.00108484506</v>
      </c>
      <c r="N85" s="823">
        <f t="shared" si="15"/>
        <v>436.72706082704</v>
      </c>
      <c r="O85" s="802">
        <f>维修!G2062</f>
        <v>14994.2957550617</v>
      </c>
      <c r="P85" s="817">
        <f t="shared" si="14"/>
        <v>0</v>
      </c>
      <c r="Q85" s="784">
        <v>94</v>
      </c>
      <c r="T85" s="818"/>
    </row>
    <row r="86" s="784" customFormat="1" ht="20.1" hidden="1" customHeight="1" spans="1:22">
      <c r="A86" s="813" t="s">
        <v>609</v>
      </c>
      <c r="B86" s="819" t="str">
        <f>设备维修养护!E2</f>
        <v>螺杆启闭机养护（启闭力手动3t)</v>
      </c>
      <c r="C86" s="820" t="s">
        <v>496</v>
      </c>
      <c r="D86" s="821">
        <f t="shared" si="13"/>
        <v>34.1816601253377</v>
      </c>
      <c r="E86" s="821">
        <f>设备维修养护!G9</f>
        <v>11.451</v>
      </c>
      <c r="F86" s="821">
        <f>设备维修养护!G12</f>
        <v>4.41415320279836</v>
      </c>
      <c r="G86" s="822"/>
      <c r="H86" s="821"/>
      <c r="I86" s="821">
        <f>设备维修养护!G22</f>
        <v>0.87258342615391</v>
      </c>
      <c r="J86" s="821">
        <f>设备维修养护!G23</f>
        <v>11.7164156402666</v>
      </c>
      <c r="K86" s="821">
        <f>设备维修养护!G24</f>
        <v>1.99179065884532</v>
      </c>
      <c r="L86" s="821"/>
      <c r="M86" s="821">
        <f>设备维修养护!G25</f>
        <v>2.74013486352578</v>
      </c>
      <c r="N86" s="823">
        <f t="shared" si="15"/>
        <v>0.995582333747699</v>
      </c>
      <c r="O86" s="802">
        <f>设备维修养护!G27</f>
        <v>34.1816601253377</v>
      </c>
      <c r="P86" s="817">
        <f t="shared" si="14"/>
        <v>0</v>
      </c>
      <c r="Q86" s="784">
        <v>293</v>
      </c>
      <c r="T86" s="818"/>
    </row>
    <row r="87" s="784" customFormat="1" ht="20.1" hidden="1" customHeight="1" spans="1:22">
      <c r="A87" s="813" t="s">
        <v>610</v>
      </c>
      <c r="B87" s="819" t="str">
        <f>设备维修养护!E30</f>
        <v>螺杆启闭机养护（启闭力手动5t)</v>
      </c>
      <c r="C87" s="820" t="s">
        <v>496</v>
      </c>
      <c r="D87" s="821">
        <f t="shared" si="13"/>
        <v>52.1103451769744</v>
      </c>
      <c r="E87" s="821">
        <f>设备维修养护!G37</f>
        <v>17.465</v>
      </c>
      <c r="F87" s="821">
        <f>设备维修养护!G40</f>
        <v>6.72161371776297</v>
      </c>
      <c r="G87" s="822"/>
      <c r="H87" s="821"/>
      <c r="I87" s="821">
        <f>设备维修养护!G50</f>
        <v>1.33026375447696</v>
      </c>
      <c r="J87" s="821">
        <f>设备维修养护!G51</f>
        <v>17.861814230568</v>
      </c>
      <c r="K87" s="821">
        <f>设备维修养护!G52</f>
        <v>3.03650841919655</v>
      </c>
      <c r="L87" s="821"/>
      <c r="M87" s="821">
        <f>设备维修养护!G53</f>
        <v>4.1773680109804</v>
      </c>
      <c r="N87" s="823">
        <f t="shared" si="15"/>
        <v>1.51777704398955</v>
      </c>
      <c r="O87" s="802">
        <f>设备维修养护!G55</f>
        <v>52.1103451769744</v>
      </c>
      <c r="P87" s="817">
        <f t="shared" si="14"/>
        <v>0</v>
      </c>
      <c r="Q87" s="784">
        <v>293</v>
      </c>
      <c r="T87" s="818"/>
    </row>
    <row r="88" s="784" customFormat="1" ht="20.1" hidden="1" customHeight="1" spans="1:22">
      <c r="A88" s="813" t="s">
        <v>611</v>
      </c>
      <c r="B88" s="819" t="str">
        <f>设备维修养护!E58</f>
        <v>螺杆启闭机养护（启闭力5t)</v>
      </c>
      <c r="C88" s="820" t="s">
        <v>496</v>
      </c>
      <c r="D88" s="821">
        <f t="shared" si="13"/>
        <v>71.7926265518292</v>
      </c>
      <c r="E88" s="821">
        <f>设备维修养护!G65</f>
        <v>24.522</v>
      </c>
      <c r="F88" s="821">
        <f>设备维修养护!G68</f>
        <v>8.79999240468601</v>
      </c>
      <c r="G88" s="822"/>
      <c r="H88" s="821"/>
      <c r="I88" s="821">
        <f>设备维修养护!G78</f>
        <v>1.83270958225773</v>
      </c>
      <c r="J88" s="821">
        <f>设备维修养护!G79</f>
        <v>24.6082913908606</v>
      </c>
      <c r="K88" s="821">
        <f>设备维修养护!G80</f>
        <v>4.18340953644631</v>
      </c>
      <c r="L88" s="821"/>
      <c r="M88" s="821">
        <f>设备维修养护!G81</f>
        <v>5.75517626228256</v>
      </c>
      <c r="N88" s="823">
        <f t="shared" si="15"/>
        <v>2.091047375296</v>
      </c>
      <c r="O88" s="802">
        <f>设备维修养护!G83</f>
        <v>71.7926265518292</v>
      </c>
      <c r="P88" s="817">
        <f t="shared" si="14"/>
        <v>0</v>
      </c>
      <c r="Q88" s="784">
        <v>296</v>
      </c>
      <c r="T88" s="818"/>
    </row>
    <row r="89" s="784" customFormat="1" ht="20.1" hidden="1" customHeight="1" spans="1:22">
      <c r="A89" s="813" t="s">
        <v>612</v>
      </c>
      <c r="B89" s="819" t="str">
        <f>设备维修养护!E86</f>
        <v>螺杆启闭机养护（启闭力2×10t)</v>
      </c>
      <c r="C89" s="820" t="s">
        <v>496</v>
      </c>
      <c r="D89" s="821">
        <f t="shared" si="13"/>
        <v>198.412053071019</v>
      </c>
      <c r="E89" s="821">
        <f>设备维修养护!G93</f>
        <v>68.706</v>
      </c>
      <c r="F89" s="821">
        <f>设备维修养护!G96</f>
        <v>23.385420010349</v>
      </c>
      <c r="G89" s="822"/>
      <c r="H89" s="821"/>
      <c r="I89" s="821">
        <f>设备维修养护!G106</f>
        <v>5.06502810056919</v>
      </c>
      <c r="J89" s="821">
        <f>设备维修养护!G107</f>
        <v>68.0095136776427</v>
      </c>
      <c r="K89" s="821">
        <f>设备维修养护!G108</f>
        <v>11.5616173251993</v>
      </c>
      <c r="L89" s="821"/>
      <c r="M89" s="821">
        <f>设备维修养护!G109</f>
        <v>15.9054821202384</v>
      </c>
      <c r="N89" s="823">
        <f t="shared" si="15"/>
        <v>5.77899183701996</v>
      </c>
      <c r="O89" s="802">
        <f>设备维修养护!G111</f>
        <v>198.412053071019</v>
      </c>
      <c r="P89" s="817">
        <f t="shared" si="14"/>
        <v>-4.54747350886464e-13</v>
      </c>
      <c r="Q89" s="784">
        <v>297</v>
      </c>
      <c r="T89" s="818"/>
    </row>
    <row r="90" s="784" customFormat="1" ht="20.1" hidden="1" customHeight="1" spans="1:22">
      <c r="A90" s="813" t="s">
        <v>613</v>
      </c>
      <c r="B90" s="819" t="str">
        <f>设备维修养护!E114</f>
        <v>螺杆启闭机养护（启闭力10t)</v>
      </c>
      <c r="C90" s="820" t="s">
        <v>496</v>
      </c>
      <c r="D90" s="821">
        <f t="shared" si="13"/>
        <v>94.2727953868481</v>
      </c>
      <c r="E90" s="821">
        <f>设备维修养护!G121</f>
        <v>32.156</v>
      </c>
      <c r="F90" s="821">
        <f>设备维修养护!G124</f>
        <v>11.5999889187399</v>
      </c>
      <c r="G90" s="822"/>
      <c r="H90" s="821"/>
      <c r="I90" s="821">
        <f>设备维修养护!G134</f>
        <v>2.4065793905307</v>
      </c>
      <c r="J90" s="821">
        <f>设备维修养护!G135</f>
        <v>32.3137978164894</v>
      </c>
      <c r="K90" s="821">
        <f>设备维修养护!G136</f>
        <v>5.4933456288032</v>
      </c>
      <c r="L90" s="821"/>
      <c r="M90" s="821">
        <f>设备维修养护!G137</f>
        <v>7.55727405791069</v>
      </c>
      <c r="N90" s="823">
        <f t="shared" si="15"/>
        <v>2.74580957437422</v>
      </c>
      <c r="O90" s="802">
        <f>设备维修养护!G139</f>
        <v>94.2727953868481</v>
      </c>
      <c r="P90" s="817">
        <f t="shared" si="14"/>
        <v>0</v>
      </c>
      <c r="Q90" s="784">
        <v>297</v>
      </c>
      <c r="T90" s="818"/>
    </row>
    <row r="91" s="786" customFormat="1" ht="20.1" hidden="1" customHeight="1" spans="1:22">
      <c r="A91" s="813" t="s">
        <v>614</v>
      </c>
      <c r="B91" s="840" t="str">
        <f>设备维修养护!E142</f>
        <v>螺杆启闭机养护（启闭力2×15t)</v>
      </c>
      <c r="C91" s="820" t="s">
        <v>496</v>
      </c>
      <c r="D91" s="822">
        <f t="shared" si="13"/>
        <v>304.246317281971</v>
      </c>
      <c r="E91" s="822">
        <f>设备维修养护!G149</f>
        <v>105.256</v>
      </c>
      <c r="F91" s="822">
        <f>设备维修养护!G152</f>
        <v>35.9575752730058</v>
      </c>
      <c r="G91" s="822"/>
      <c r="H91" s="822"/>
      <c r="I91" s="822">
        <f>设备维修养护!G162</f>
        <v>7.76674664001532</v>
      </c>
      <c r="J91" s="822">
        <f>设备维修养护!G163</f>
        <v>104.286225339115</v>
      </c>
      <c r="K91" s="822">
        <f>设备维修养护!G164</f>
        <v>17.7286583076495</v>
      </c>
      <c r="L91" s="822"/>
      <c r="M91" s="822">
        <f>设备维修养护!G165</f>
        <v>24.3895685003807</v>
      </c>
      <c r="N91" s="823">
        <f t="shared" si="15"/>
        <v>8.86154322180499</v>
      </c>
      <c r="O91" s="841">
        <f>设备维修养护!G167</f>
        <v>304.246317281971</v>
      </c>
      <c r="P91" s="825">
        <f t="shared" si="14"/>
        <v>0</v>
      </c>
      <c r="Q91" s="842">
        <v>299</v>
      </c>
      <c r="T91" s="843"/>
      <c r="U91" s="844"/>
      <c r="V91" s="845"/>
    </row>
    <row r="92" s="786" customFormat="1" ht="20.1" hidden="1" customHeight="1" spans="1:22">
      <c r="A92" s="813" t="s">
        <v>615</v>
      </c>
      <c r="B92" s="840" t="str">
        <f>设备维修养护!E170</f>
        <v>螺杆启闭机养护（启闭力15t)</v>
      </c>
      <c r="C92" s="820" t="s">
        <v>496</v>
      </c>
      <c r="D92" s="822">
        <f t="shared" si="13"/>
        <v>147.40261246752</v>
      </c>
      <c r="E92" s="822">
        <f>设备维修养护!G177</f>
        <v>50.431</v>
      </c>
      <c r="F92" s="822">
        <f>设备维修养护!G180</f>
        <v>17.9847826365029</v>
      </c>
      <c r="G92" s="822"/>
      <c r="H92" s="822"/>
      <c r="I92" s="822">
        <f>设备维修养护!G190</f>
        <v>3.76286804500766</v>
      </c>
      <c r="J92" s="822">
        <f>设备维修养护!G191</f>
        <v>50.5250554770574</v>
      </c>
      <c r="K92" s="822">
        <f>设备维修养护!G192</f>
        <v>8.58925943109976</v>
      </c>
      <c r="L92" s="822"/>
      <c r="M92" s="822">
        <f>设备维修养护!G193</f>
        <v>11.8163669030701</v>
      </c>
      <c r="N92" s="823">
        <f t="shared" si="15"/>
        <v>4.29327997478213</v>
      </c>
      <c r="O92" s="841">
        <f>设备维修养护!G195</f>
        <v>147.40261246752</v>
      </c>
      <c r="P92" s="825">
        <f t="shared" si="14"/>
        <v>0</v>
      </c>
      <c r="Q92" s="842">
        <v>299</v>
      </c>
      <c r="T92" s="843"/>
      <c r="U92" s="844"/>
      <c r="V92" s="845"/>
    </row>
    <row r="93" s="784" customFormat="1" ht="20.1" hidden="1" customHeight="1" spans="1:22">
      <c r="A93" s="813" t="s">
        <v>616</v>
      </c>
      <c r="B93" s="819" t="str">
        <f>设备维修养护!E199</f>
        <v>卷扬式启闭机养护（启闭力2×10t)</v>
      </c>
      <c r="C93" s="820" t="s">
        <v>496</v>
      </c>
      <c r="D93" s="821">
        <f t="shared" si="13"/>
        <v>172.81576810296</v>
      </c>
      <c r="E93" s="821">
        <f>设备维修养护!G206</f>
        <v>67.442</v>
      </c>
      <c r="F93" s="821">
        <f>设备维修养护!G209</f>
        <v>12.7691022916753</v>
      </c>
      <c r="G93" s="822"/>
      <c r="H93" s="821"/>
      <c r="I93" s="821">
        <f>设备维修养护!G219</f>
        <v>4.41161062604214</v>
      </c>
      <c r="J93" s="821">
        <f>设备维修养护!G220</f>
        <v>59.2358990424022</v>
      </c>
      <c r="K93" s="821">
        <f>设备维修养护!G221</f>
        <v>10.0701028372084</v>
      </c>
      <c r="L93" s="821"/>
      <c r="M93" s="821">
        <f>设备维修养护!G222</f>
        <v>13.8535843317595</v>
      </c>
      <c r="N93" s="823">
        <f t="shared" si="15"/>
        <v>5.03346897387263</v>
      </c>
      <c r="O93" s="802">
        <f>设备维修养护!G224</f>
        <v>172.81576810296</v>
      </c>
      <c r="P93" s="817">
        <f t="shared" si="14"/>
        <v>0</v>
      </c>
      <c r="Q93" s="784">
        <v>313</v>
      </c>
      <c r="T93" s="818"/>
    </row>
    <row r="94" s="786" customFormat="1" ht="20.1" hidden="1" customHeight="1" spans="1:22">
      <c r="A94" s="813" t="s">
        <v>617</v>
      </c>
      <c r="B94" s="840" t="str">
        <f>设备维修养护!E228</f>
        <v>卷扬式启闭机养护（启闭力10t)</v>
      </c>
      <c r="C94" s="820" t="s">
        <v>496</v>
      </c>
      <c r="D94" s="822">
        <f t="shared" si="13"/>
        <v>133.442038948502</v>
      </c>
      <c r="E94" s="822">
        <f>设备维修养护!G235</f>
        <v>54.16</v>
      </c>
      <c r="F94" s="822">
        <f>设备维修养护!G238</f>
        <v>7.77609040195389</v>
      </c>
      <c r="G94" s="822"/>
      <c r="H94" s="822"/>
      <c r="I94" s="822">
        <f>设备维修养护!G248</f>
        <v>3.40648497210746</v>
      </c>
      <c r="J94" s="822">
        <f>设备维修养护!G249</f>
        <v>45.7398027618429</v>
      </c>
      <c r="K94" s="822">
        <f>设备维修养护!G250</f>
        <v>7.7757664695133</v>
      </c>
      <c r="L94" s="822"/>
      <c r="M94" s="822">
        <f>设备维修养护!G251</f>
        <v>10.6972330144876</v>
      </c>
      <c r="N94" s="823">
        <f t="shared" si="15"/>
        <v>3.88666132859715</v>
      </c>
      <c r="O94" s="841">
        <f>设备维修养护!G253</f>
        <v>133.442038948502</v>
      </c>
      <c r="P94" s="825">
        <f t="shared" si="14"/>
        <v>2.8421709430404e-13</v>
      </c>
      <c r="Q94" s="842">
        <v>313</v>
      </c>
      <c r="T94" s="843"/>
      <c r="U94" s="844"/>
      <c r="V94" s="845"/>
    </row>
    <row r="95" s="784" customFormat="1" ht="20.1" hidden="1" customHeight="1" spans="1:22">
      <c r="A95" s="813" t="s">
        <v>618</v>
      </c>
      <c r="B95" s="819" t="str">
        <f>设备维修养护!E256</f>
        <v>卷扬式启闭机养护（启闭力25t)</v>
      </c>
      <c r="C95" s="820" t="s">
        <v>496</v>
      </c>
      <c r="D95" s="821">
        <f t="shared" si="13"/>
        <v>207.8020222817</v>
      </c>
      <c r="E95" s="821">
        <f>设备维修养护!G263</f>
        <v>84.186</v>
      </c>
      <c r="F95" s="821">
        <f>设备维修养护!G266</f>
        <v>12.2637016020201</v>
      </c>
      <c r="G95" s="822"/>
      <c r="H95" s="821"/>
      <c r="I95" s="821">
        <f>设备维修养护!G276</f>
        <v>5.30473358811111</v>
      </c>
      <c r="J95" s="821">
        <f>设备维修养护!G277</f>
        <v>71.2281046330919</v>
      </c>
      <c r="K95" s="821">
        <f>设备维修养护!G278</f>
        <v>12.1087777876256</v>
      </c>
      <c r="L95" s="821"/>
      <c r="M95" s="821">
        <f>设备维修养护!G279</f>
        <v>16.6582185849764</v>
      </c>
      <c r="N95" s="823">
        <f t="shared" si="15"/>
        <v>6.05248608587475</v>
      </c>
      <c r="O95" s="802">
        <f>设备维修养护!G281</f>
        <v>207.8020222817</v>
      </c>
      <c r="P95" s="817">
        <f t="shared" si="14"/>
        <v>0</v>
      </c>
      <c r="Q95" s="784">
        <v>317</v>
      </c>
      <c r="T95" s="818"/>
    </row>
    <row r="96" s="784" customFormat="1" ht="20.1" hidden="1" customHeight="1" spans="1:22">
      <c r="A96" s="813" t="s">
        <v>619</v>
      </c>
      <c r="B96" s="819" t="str">
        <f>设备维修养护!E518</f>
        <v>钢丝绳上黄油</v>
      </c>
      <c r="C96" s="820" t="s">
        <v>269</v>
      </c>
      <c r="D96" s="821">
        <f t="shared" si="13"/>
        <v>225.189107435953</v>
      </c>
      <c r="E96" s="821">
        <f>设备维修养护!G525</f>
        <v>50.431</v>
      </c>
      <c r="F96" s="821">
        <f>设备维修养护!G528</f>
        <v>54.0887827130852</v>
      </c>
      <c r="G96" s="822"/>
      <c r="H96" s="821"/>
      <c r="I96" s="821">
        <f>设备维修养护!G534</f>
        <v>5.74858804921969</v>
      </c>
      <c r="J96" s="821">
        <f>设备维修养护!G535</f>
        <v>77.1878595336134</v>
      </c>
      <c r="K96" s="821">
        <f>设备维修养护!G536</f>
        <v>13.1219361207143</v>
      </c>
      <c r="L96" s="821"/>
      <c r="M96" s="821">
        <f>设备维修养护!G537</f>
        <v>18.0520349774969</v>
      </c>
      <c r="N96" s="823">
        <f t="shared" si="15"/>
        <v>6.55890604182389</v>
      </c>
      <c r="O96" s="802">
        <f>设备维修养护!G539</f>
        <v>225.189107435953</v>
      </c>
      <c r="P96" s="817">
        <f t="shared" si="14"/>
        <v>3.97903932025656e-13</v>
      </c>
      <c r="Q96" s="784">
        <v>337</v>
      </c>
      <c r="T96" s="818"/>
    </row>
    <row r="97" s="784" customFormat="1" ht="20.1" hidden="1" customHeight="1" spans="1:22">
      <c r="A97" s="813" t="s">
        <v>620</v>
      </c>
      <c r="B97" s="819" t="str">
        <f>设备维修养护!E542</f>
        <v>钢丝绳上更换</v>
      </c>
      <c r="C97" s="820" t="s">
        <v>269</v>
      </c>
      <c r="D97" s="821">
        <f t="shared" si="13"/>
        <v>269.189784177136</v>
      </c>
      <c r="E97" s="821">
        <f>设备维修养护!G549</f>
        <v>111.016</v>
      </c>
      <c r="F97" s="821">
        <f>设备维修养护!G552</f>
        <v>13.926356542617</v>
      </c>
      <c r="G97" s="822"/>
      <c r="H97" s="821"/>
      <c r="I97" s="821">
        <f>设备维修养护!G558</f>
        <v>6.87182960984394</v>
      </c>
      <c r="J97" s="821">
        <f>设备维修养护!G559</f>
        <v>92.2699303067227</v>
      </c>
      <c r="K97" s="821">
        <f>设备维修养护!G560</f>
        <v>15.6858881521429</v>
      </c>
      <c r="L97" s="821"/>
      <c r="M97" s="821">
        <f>设备维修养护!G561</f>
        <v>21.5793004150194</v>
      </c>
      <c r="N97" s="823">
        <f t="shared" si="15"/>
        <v>7.84047915079038</v>
      </c>
      <c r="O97" s="802">
        <f>设备维修养护!G563</f>
        <v>269.189784177136</v>
      </c>
      <c r="P97" s="817">
        <f t="shared" si="14"/>
        <v>0</v>
      </c>
      <c r="Q97" s="784">
        <v>337</v>
      </c>
      <c r="T97" s="818"/>
    </row>
    <row r="98" s="784" customFormat="1" ht="20.1" hidden="1" customHeight="1" spans="1:22">
      <c r="A98" s="813" t="s">
        <v>621</v>
      </c>
      <c r="B98" s="819" t="str">
        <f>设备维修养护!E290</f>
        <v>平面钢闸门养护（自重5t)</v>
      </c>
      <c r="C98" s="846" t="s">
        <v>622</v>
      </c>
      <c r="D98" s="821">
        <f t="shared" si="13"/>
        <v>253.495002122065</v>
      </c>
      <c r="E98" s="821">
        <f>设备维修养护!G297</f>
        <v>91.608</v>
      </c>
      <c r="F98" s="821">
        <f>设备维修养护!G300</f>
        <v>26.0497448275862</v>
      </c>
      <c r="G98" s="822"/>
      <c r="H98" s="821"/>
      <c r="I98" s="821">
        <f>设备维修养护!G308</f>
        <v>6.47117596551724</v>
      </c>
      <c r="J98" s="821">
        <f>设备维修养护!G309</f>
        <v>86.8902445551724</v>
      </c>
      <c r="K98" s="821">
        <f>设备维修养护!G310</f>
        <v>14.7713415743793</v>
      </c>
      <c r="L98" s="821"/>
      <c r="M98" s="821">
        <f>设备维修养护!G311</f>
        <v>20.321145623039</v>
      </c>
      <c r="N98" s="823">
        <f t="shared" si="15"/>
        <v>7.38334957637082</v>
      </c>
      <c r="O98" s="802">
        <f>设备维修养护!G313</f>
        <v>253.495002122065</v>
      </c>
      <c r="P98" s="817">
        <f t="shared" si="14"/>
        <v>0</v>
      </c>
      <c r="Q98" s="784">
        <v>343</v>
      </c>
      <c r="T98" s="818"/>
    </row>
    <row r="99" s="784" customFormat="1" ht="20.1" hidden="1" customHeight="1" spans="1:22">
      <c r="A99" s="813" t="s">
        <v>623</v>
      </c>
      <c r="B99" s="819" t="str">
        <f>设备维修养护!E316</f>
        <v>平面钢闸门养护（自重10t)</v>
      </c>
      <c r="C99" s="846" t="s">
        <v>622</v>
      </c>
      <c r="D99" s="821">
        <f t="shared" si="13"/>
        <v>314.73818785851</v>
      </c>
      <c r="E99" s="821">
        <f>设备维修养护!G323</f>
        <v>112.313</v>
      </c>
      <c r="F99" s="821">
        <f>设备维修养护!G326</f>
        <v>33.770295862069</v>
      </c>
      <c r="G99" s="822"/>
      <c r="H99" s="821"/>
      <c r="I99" s="821">
        <f>设备维修养护!G334</f>
        <v>8.03458127241379</v>
      </c>
      <c r="J99" s="821">
        <f>设备维修养护!G335</f>
        <v>107.882513994138</v>
      </c>
      <c r="K99" s="821">
        <f>设备维修养护!G336</f>
        <v>18.3400273790034</v>
      </c>
      <c r="L99" s="821"/>
      <c r="M99" s="821">
        <f>设备维修养护!G337</f>
        <v>25.2306376656862</v>
      </c>
      <c r="N99" s="823">
        <f t="shared" si="15"/>
        <v>9.16713168519931</v>
      </c>
      <c r="O99" s="802">
        <f>设备维修养护!G339</f>
        <v>314.73818785851</v>
      </c>
      <c r="P99" s="817">
        <f t="shared" si="14"/>
        <v>0</v>
      </c>
      <c r="Q99" s="784">
        <v>344</v>
      </c>
      <c r="T99" s="818"/>
    </row>
    <row r="100" s="784" customFormat="1" ht="20.1" hidden="1" customHeight="1" spans="1:22">
      <c r="A100" s="813" t="s">
        <v>624</v>
      </c>
      <c r="B100" s="819" t="str">
        <f>设备维修养护!E342</f>
        <v>平面钢闸门养护（自重15t)</v>
      </c>
      <c r="C100" s="846" t="s">
        <v>622</v>
      </c>
      <c r="D100" s="821">
        <f t="shared" si="13"/>
        <v>392.497647253262</v>
      </c>
      <c r="E100" s="821">
        <f>设备维修养护!G349</f>
        <v>137.412</v>
      </c>
      <c r="F100" s="821">
        <f>设备维修养护!G352</f>
        <v>44.7627475862069</v>
      </c>
      <c r="G100" s="822"/>
      <c r="H100" s="821"/>
      <c r="I100" s="821">
        <f>设备维修养护!G360</f>
        <v>10.0196111172414</v>
      </c>
      <c r="J100" s="821">
        <f>设备维修养护!G361</f>
        <v>134.536051092414</v>
      </c>
      <c r="K100" s="821">
        <f>设备维修养护!G362</f>
        <v>22.8711286857103</v>
      </c>
      <c r="L100" s="821"/>
      <c r="M100" s="821">
        <f>设备维修养护!G363</f>
        <v>31.4641384633415</v>
      </c>
      <c r="N100" s="823">
        <f t="shared" si="15"/>
        <v>11.4319703083474</v>
      </c>
      <c r="O100" s="802">
        <f>设备维修养护!G365</f>
        <v>392.497647253261</v>
      </c>
      <c r="P100" s="817">
        <f t="shared" si="14"/>
        <v>5.6843418860808e-13</v>
      </c>
      <c r="Q100" s="784">
        <v>344</v>
      </c>
      <c r="T100" s="818"/>
    </row>
    <row r="101" s="784" customFormat="1" ht="20.1" hidden="1" customHeight="1" spans="1:22">
      <c r="A101" s="813" t="s">
        <v>625</v>
      </c>
      <c r="B101" s="819" t="s">
        <v>626</v>
      </c>
      <c r="C101" s="846" t="s">
        <v>622</v>
      </c>
      <c r="D101" s="821">
        <f t="shared" si="13"/>
        <v>52.0104800016942</v>
      </c>
      <c r="E101" s="821">
        <f>设备维修养护!G375</f>
        <v>20.705</v>
      </c>
      <c r="F101" s="821">
        <f>设备维修养护!G378</f>
        <v>3.43526206896552</v>
      </c>
      <c r="G101" s="822"/>
      <c r="H101" s="821"/>
      <c r="I101" s="821">
        <f>设备维修养护!G385</f>
        <v>1.3277144137931</v>
      </c>
      <c r="J101" s="821">
        <f>设备维修养护!G386</f>
        <v>17.827583537931</v>
      </c>
      <c r="K101" s="821">
        <f>设备维修养护!G387</f>
        <v>3.03068920144828</v>
      </c>
      <c r="L101" s="821"/>
      <c r="M101" s="821">
        <f>设备维修养护!G388</f>
        <v>4.16936242999241</v>
      </c>
      <c r="N101" s="823">
        <f t="shared" si="15"/>
        <v>1.51486834956391</v>
      </c>
      <c r="O101" s="802">
        <f>设备维修养护!G390</f>
        <v>52.0104800016942</v>
      </c>
      <c r="P101" s="817">
        <f t="shared" si="14"/>
        <v>0</v>
      </c>
      <c r="Q101" s="784">
        <v>368</v>
      </c>
      <c r="T101" s="818"/>
    </row>
    <row r="102" s="786" customFormat="1" ht="20.1" hidden="1" customHeight="1" spans="1:22">
      <c r="A102" s="813" t="s">
        <v>627</v>
      </c>
      <c r="B102" s="840" t="s">
        <v>628</v>
      </c>
      <c r="C102" s="820" t="s">
        <v>622</v>
      </c>
      <c r="D102" s="822">
        <f t="shared" si="13"/>
        <v>112.836315996131</v>
      </c>
      <c r="E102" s="822">
        <f>设备维修养护!G400</f>
        <v>43.607</v>
      </c>
      <c r="F102" s="822">
        <f>设备维修养护!G403</f>
        <v>8.76510344827586</v>
      </c>
      <c r="G102" s="822"/>
      <c r="H102" s="822"/>
      <c r="I102" s="822">
        <f>设备维修养护!G410</f>
        <v>2.88046568965517</v>
      </c>
      <c r="J102" s="822">
        <f>设备维修养护!G411</f>
        <v>38.6767983965517</v>
      </c>
      <c r="K102" s="822">
        <f>设备维修养护!G412</f>
        <v>6.57505572741379</v>
      </c>
      <c r="L102" s="822"/>
      <c r="M102" s="822">
        <f>设备维修养护!G413</f>
        <v>9.04539809357069</v>
      </c>
      <c r="N102" s="823">
        <f t="shared" si="15"/>
        <v>3.28649464066402</v>
      </c>
      <c r="O102" s="841">
        <f>设备维修养护!G415</f>
        <v>112.836315996131</v>
      </c>
      <c r="P102" s="825">
        <f t="shared" si="14"/>
        <v>2.41584530158434e-13</v>
      </c>
      <c r="Q102" s="842">
        <v>369</v>
      </c>
      <c r="T102" s="843"/>
      <c r="U102" s="844"/>
      <c r="V102" s="845"/>
    </row>
    <row r="103" s="784" customFormat="1" ht="20.1" hidden="1" customHeight="1" spans="1:22">
      <c r="A103" s="813" t="s">
        <v>629</v>
      </c>
      <c r="B103" s="819" t="s">
        <v>630</v>
      </c>
      <c r="C103" s="846" t="s">
        <v>622</v>
      </c>
      <c r="D103" s="821">
        <f t="shared" si="13"/>
        <v>152.983964756433</v>
      </c>
      <c r="E103" s="821">
        <f>设备维修养护!G425</f>
        <v>59.452</v>
      </c>
      <c r="F103" s="821">
        <f>设备维修养护!G428</f>
        <v>11.554324137931</v>
      </c>
      <c r="G103" s="822"/>
      <c r="H103" s="821"/>
      <c r="I103" s="821">
        <f>设备维修养护!G435</f>
        <v>3.90534782758621</v>
      </c>
      <c r="J103" s="821">
        <f>设备维修养护!G436</f>
        <v>52.4381703758621</v>
      </c>
      <c r="K103" s="821">
        <f>设备维修养护!G437</f>
        <v>8.91448896389655</v>
      </c>
      <c r="L103" s="821"/>
      <c r="M103" s="821">
        <f>设备维修养护!G438</f>
        <v>12.2637898174748</v>
      </c>
      <c r="N103" s="823">
        <f t="shared" ref="N103:N134" si="16">SUM(E103:M103)*3%</f>
        <v>4.45584363368252</v>
      </c>
      <c r="O103" s="802">
        <f>设备维修养护!G440</f>
        <v>152.983964756433</v>
      </c>
      <c r="P103" s="817">
        <f t="shared" si="14"/>
        <v>0</v>
      </c>
      <c r="Q103" s="784">
        <v>369</v>
      </c>
      <c r="T103" s="818"/>
    </row>
    <row r="104" s="784" customFormat="1" ht="20.1" hidden="1" customHeight="1" spans="1:22">
      <c r="A104" s="813" t="s">
        <v>631</v>
      </c>
      <c r="B104" s="819" t="s">
        <v>632</v>
      </c>
      <c r="C104" s="846" t="s">
        <v>622</v>
      </c>
      <c r="D104" s="821">
        <f t="shared" si="13"/>
        <v>241.848186693507</v>
      </c>
      <c r="E104" s="821">
        <f>设备维修养护!G450</f>
        <v>95.425</v>
      </c>
      <c r="F104" s="821">
        <f>设备维修养护!G453</f>
        <v>16.8269655172414</v>
      </c>
      <c r="G104" s="822"/>
      <c r="H104" s="821"/>
      <c r="I104" s="821">
        <f>设备维修养护!G460</f>
        <v>6.17385810344828</v>
      </c>
      <c r="J104" s="821">
        <f>设备维修养护!G461</f>
        <v>82.8980765344828</v>
      </c>
      <c r="K104" s="821">
        <f>设备维修养护!G462</f>
        <v>14.0926730108621</v>
      </c>
      <c r="L104" s="821"/>
      <c r="M104" s="821">
        <f>设备维修养护!G463</f>
        <v>19.3874915849431</v>
      </c>
      <c r="N104" s="823">
        <f t="shared" si="16"/>
        <v>7.04412194252933</v>
      </c>
      <c r="O104" s="802">
        <f>设备维修养护!G465</f>
        <v>241.848186693507</v>
      </c>
      <c r="P104" s="817">
        <f t="shared" si="14"/>
        <v>0</v>
      </c>
      <c r="Q104" s="784">
        <v>370</v>
      </c>
      <c r="T104" s="818"/>
    </row>
    <row r="105" s="786" customFormat="1" ht="20.1" hidden="1" customHeight="1" spans="1:22">
      <c r="A105" s="813" t="s">
        <v>633</v>
      </c>
      <c r="B105" s="840" t="s">
        <v>634</v>
      </c>
      <c r="C105" s="820" t="s">
        <v>622</v>
      </c>
      <c r="D105" s="822">
        <f t="shared" si="13"/>
        <v>320.006877128783</v>
      </c>
      <c r="E105" s="822">
        <f>设备维修养护!G476</f>
        <v>123.764</v>
      </c>
      <c r="F105" s="822">
        <f>设备维修养护!G479</f>
        <v>24.7647172413793</v>
      </c>
      <c r="G105" s="822"/>
      <c r="H105" s="822"/>
      <c r="I105" s="822">
        <f>设备维修养护!G486</f>
        <v>8.16907944827586</v>
      </c>
      <c r="J105" s="822">
        <f>设备维修养护!G487</f>
        <v>109.688457682759</v>
      </c>
      <c r="K105" s="822">
        <f>设备维修养护!G488</f>
        <v>18.647037806069</v>
      </c>
      <c r="L105" s="822"/>
      <c r="M105" s="822">
        <f>设备维修养护!G489</f>
        <v>25.6529962960634</v>
      </c>
      <c r="N105" s="823">
        <f t="shared" si="16"/>
        <v>9.3205886542364</v>
      </c>
      <c r="O105" s="841">
        <f>设备维修养护!G491</f>
        <v>320.006877128783</v>
      </c>
      <c r="P105" s="825">
        <f t="shared" si="14"/>
        <v>0</v>
      </c>
      <c r="Q105" s="842">
        <v>370</v>
      </c>
      <c r="T105" s="843"/>
      <c r="U105" s="844"/>
      <c r="V105" s="845"/>
    </row>
    <row r="106" s="784" customFormat="1" ht="20.1" hidden="1" customHeight="1" spans="1:22">
      <c r="A106" s="813" t="s">
        <v>635</v>
      </c>
      <c r="B106" s="819" t="s">
        <v>636</v>
      </c>
      <c r="C106" s="846" t="s">
        <v>622</v>
      </c>
      <c r="D106" s="821">
        <f t="shared" si="13"/>
        <v>387.338373008505</v>
      </c>
      <c r="E106" s="821">
        <f>设备维修养护!G501</f>
        <v>144.236</v>
      </c>
      <c r="F106" s="821">
        <f>设备维修养护!G504</f>
        <v>35.5441103448276</v>
      </c>
      <c r="G106" s="822"/>
      <c r="H106" s="821"/>
      <c r="I106" s="821">
        <f>设备维修养护!G511</f>
        <v>9.88790606896552</v>
      </c>
      <c r="J106" s="821">
        <f>设备维修养护!G512</f>
        <v>132.767611489655</v>
      </c>
      <c r="K106" s="821">
        <f>设备维修养护!G513</f>
        <v>22.5704939532414</v>
      </c>
      <c r="L106" s="821"/>
      <c r="M106" s="821">
        <f>设备维修养护!G514</f>
        <v>31.0505509671021</v>
      </c>
      <c r="N106" s="823">
        <f t="shared" si="16"/>
        <v>11.2817001847137</v>
      </c>
      <c r="O106" s="802">
        <f>设备维修养护!G516</f>
        <v>387.338373008505</v>
      </c>
      <c r="P106" s="817">
        <f t="shared" si="14"/>
        <v>0</v>
      </c>
      <c r="Q106" s="784">
        <v>371</v>
      </c>
      <c r="T106" s="818"/>
    </row>
    <row r="107" s="785" customFormat="1" ht="20.1" customHeight="1" spans="1:22">
      <c r="A107" s="813">
        <v>1001</v>
      </c>
      <c r="B107" s="819" t="str">
        <f>土方!E2</f>
        <v>人工挖一般土方（Ⅰ～Ⅱ类土）</v>
      </c>
      <c r="C107" s="820" t="s">
        <v>521</v>
      </c>
      <c r="D107" s="821">
        <f t="shared" si="13"/>
        <v>344.128387690125</v>
      </c>
      <c r="E107" s="821">
        <f>土方!G9</f>
        <v>244.204</v>
      </c>
      <c r="F107" s="821">
        <f>土方!G12</f>
        <v>12.2102</v>
      </c>
      <c r="G107" s="822"/>
      <c r="H107" s="821"/>
      <c r="I107" s="821">
        <f>土方!G14</f>
        <v>16.4105088</v>
      </c>
      <c r="J107" s="821">
        <f>土方!G15</f>
        <v>13.64123544</v>
      </c>
      <c r="K107" s="821">
        <f>土方!G16</f>
        <v>20.0526160968</v>
      </c>
      <c r="L107" s="821"/>
      <c r="M107" s="821">
        <f>土方!G17</f>
        <v>27.586670430312</v>
      </c>
      <c r="N107" s="823">
        <f t="shared" si="16"/>
        <v>10.0231569230134</v>
      </c>
      <c r="O107" s="824">
        <f>土方!G19</f>
        <v>344.128387690125</v>
      </c>
      <c r="P107" s="825">
        <f t="shared" si="14"/>
        <v>0</v>
      </c>
      <c r="Q107" s="785">
        <v>7</v>
      </c>
      <c r="T107" s="826"/>
    </row>
    <row r="108" s="785" customFormat="1" ht="20.1" customHeight="1" spans="1:22">
      <c r="A108" s="813">
        <v>1002</v>
      </c>
      <c r="B108" s="819" t="str">
        <f>土方!E22</f>
        <v>人工挖一般土方（Ⅲ类土）</v>
      </c>
      <c r="C108" s="820" t="s">
        <v>521</v>
      </c>
      <c r="D108" s="821">
        <f t="shared" si="13"/>
        <v>671.181691951473</v>
      </c>
      <c r="E108" s="821">
        <f>土方!G29</f>
        <v>476.291</v>
      </c>
      <c r="F108" s="821">
        <f>土方!G32</f>
        <v>23.81455</v>
      </c>
      <c r="G108" s="822"/>
      <c r="H108" s="821"/>
      <c r="I108" s="821">
        <f>土方!G34</f>
        <v>32.0067552</v>
      </c>
      <c r="J108" s="821">
        <f>土方!G35</f>
        <v>26.60561526</v>
      </c>
      <c r="K108" s="821">
        <f>土方!G36</f>
        <v>39.1102544322</v>
      </c>
      <c r="L108" s="821"/>
      <c r="M108" s="821">
        <f>土方!G37</f>
        <v>53.804535740298</v>
      </c>
      <c r="N108" s="823">
        <f t="shared" si="16"/>
        <v>19.5489813189749</v>
      </c>
      <c r="O108" s="824"/>
      <c r="P108" s="825"/>
      <c r="T108" s="826"/>
    </row>
    <row r="109" s="785" customFormat="1" ht="20.1" hidden="1" customHeight="1" spans="1:22">
      <c r="A109" s="813">
        <v>1128</v>
      </c>
      <c r="B109" s="819" t="s">
        <v>637</v>
      </c>
      <c r="C109" s="820" t="s">
        <v>521</v>
      </c>
      <c r="D109" s="821">
        <f t="shared" si="13"/>
        <v>168.6301749802</v>
      </c>
      <c r="E109" s="821">
        <f>土方!G176</f>
        <v>6.347</v>
      </c>
      <c r="F109" s="821">
        <f>土方!G179</f>
        <v>7.61120288153171</v>
      </c>
      <c r="G109" s="822">
        <f>土方!G181</f>
        <v>69.7650288153171</v>
      </c>
      <c r="H109" s="821"/>
      <c r="I109" s="821">
        <f>土方!G183</f>
        <v>5.35828682859832</v>
      </c>
      <c r="J109" s="821">
        <f>土方!G184</f>
        <v>4.45407592627236</v>
      </c>
      <c r="K109" s="821">
        <f>土方!G185</f>
        <v>6.54749161162036</v>
      </c>
      <c r="L109" s="821">
        <f>土方!G186</f>
        <v>50.1174795198079</v>
      </c>
      <c r="M109" s="821">
        <f>土方!G188</f>
        <v>13.5180509024833</v>
      </c>
      <c r="N109" s="823">
        <f t="shared" si="16"/>
        <v>4.91155849456893</v>
      </c>
      <c r="O109" s="824">
        <f>土方!G190</f>
        <v>168.6301749802</v>
      </c>
      <c r="P109" s="825">
        <f t="shared" ref="P109:P112" si="17">D109-O109</f>
        <v>0</v>
      </c>
      <c r="Q109" s="785">
        <v>24</v>
      </c>
      <c r="T109" s="826"/>
    </row>
    <row r="110" s="784" customFormat="1" ht="20.1" hidden="1" customHeight="1" spans="1:22">
      <c r="A110" s="813">
        <v>1129</v>
      </c>
      <c r="B110" s="819" t="s">
        <v>638</v>
      </c>
      <c r="C110" s="820" t="s">
        <v>521</v>
      </c>
      <c r="D110" s="821">
        <f t="shared" si="13"/>
        <v>246.393962030989</v>
      </c>
      <c r="E110" s="821">
        <f>土方!G200</f>
        <v>9.232</v>
      </c>
      <c r="F110" s="821">
        <f>土方!G203</f>
        <v>11.1196272883925</v>
      </c>
      <c r="G110" s="822">
        <f>土方!G205</f>
        <v>101.964272883925</v>
      </c>
      <c r="H110" s="821"/>
      <c r="I110" s="821">
        <f>土方!G207</f>
        <v>7.82821761102832</v>
      </c>
      <c r="J110" s="821">
        <f>土方!G208</f>
        <v>6.50720588916729</v>
      </c>
      <c r="K110" s="821">
        <f>土方!G209</f>
        <v>9.56559265707592</v>
      </c>
      <c r="L110" s="821">
        <f>土方!G210</f>
        <v>73.2486239135654</v>
      </c>
      <c r="M110" s="821">
        <f>土方!G212</f>
        <v>19.7518986218839</v>
      </c>
      <c r="N110" s="823">
        <f t="shared" si="16"/>
        <v>7.17652316595115</v>
      </c>
      <c r="O110" s="802">
        <f>土方!G214</f>
        <v>246.39396203099</v>
      </c>
      <c r="P110" s="817">
        <f t="shared" si="17"/>
        <v>-5.40012479177676e-13</v>
      </c>
      <c r="Q110" s="784">
        <v>24</v>
      </c>
      <c r="T110" s="818"/>
    </row>
    <row r="111" s="785" customFormat="1" ht="20.1" hidden="1" customHeight="1" spans="1:22">
      <c r="A111" s="813">
        <v>1130</v>
      </c>
      <c r="B111" s="819" t="s">
        <v>639</v>
      </c>
      <c r="C111" s="820" t="s">
        <v>521</v>
      </c>
      <c r="D111" s="821">
        <f t="shared" si="13"/>
        <v>354.784705725989</v>
      </c>
      <c r="E111" s="821">
        <f>土方!G224</f>
        <v>12.117</v>
      </c>
      <c r="F111" s="821">
        <f>土方!G227</f>
        <v>15.9696868647786</v>
      </c>
      <c r="G111" s="822">
        <f>土方!G229</f>
        <v>147.579868647786</v>
      </c>
      <c r="H111" s="821"/>
      <c r="I111" s="821">
        <f>土方!G231</f>
        <v>11.2426595528041</v>
      </c>
      <c r="J111" s="821">
        <f>土方!G232</f>
        <v>9.34546075326845</v>
      </c>
      <c r="K111" s="821">
        <f>土方!G233</f>
        <v>13.7378273073046</v>
      </c>
      <c r="L111" s="821">
        <f>土方!G234</f>
        <v>106.017745138055</v>
      </c>
      <c r="M111" s="821">
        <f>土方!G236</f>
        <v>28.4409223437597</v>
      </c>
      <c r="N111" s="823">
        <f t="shared" si="16"/>
        <v>10.3335351182327</v>
      </c>
      <c r="O111" s="824">
        <f>土方!G238</f>
        <v>354.78470572599</v>
      </c>
      <c r="P111" s="825">
        <f t="shared" si="17"/>
        <v>-9.09494701772928e-13</v>
      </c>
      <c r="Q111" s="785">
        <v>24</v>
      </c>
      <c r="T111" s="826"/>
    </row>
    <row r="112" s="785" customFormat="1" ht="20.1" hidden="1" customHeight="1" spans="1:22">
      <c r="A112" s="813">
        <v>1031</v>
      </c>
      <c r="B112" s="819" t="str">
        <f>土方!E41</f>
        <v>人工挖倒沟槽土方（Ⅰ～Ⅱ类土）</v>
      </c>
      <c r="C112" s="820" t="s">
        <v>521</v>
      </c>
      <c r="D112" s="821">
        <f t="shared" si="13"/>
        <v>863.50114337196</v>
      </c>
      <c r="E112" s="821">
        <f>土方!G48</f>
        <v>630.7893</v>
      </c>
      <c r="F112" s="821">
        <f>土方!G51</f>
        <v>12.615786</v>
      </c>
      <c r="G112" s="822"/>
      <c r="H112" s="821"/>
      <c r="I112" s="821">
        <f>土方!G53</f>
        <v>41.177925504</v>
      </c>
      <c r="J112" s="821">
        <f>土方!G54</f>
        <v>34.2291505752</v>
      </c>
      <c r="K112" s="821">
        <f>土方!G55</f>
        <v>50.316851345544</v>
      </c>
      <c r="L112" s="821"/>
      <c r="M112" s="821">
        <f>土方!G56</f>
        <v>69.2216112082269</v>
      </c>
      <c r="N112" s="823">
        <f t="shared" si="16"/>
        <v>25.1505187389891</v>
      </c>
      <c r="O112" s="824">
        <f>土方!G58</f>
        <v>863.50114337196</v>
      </c>
      <c r="P112" s="825">
        <f t="shared" si="17"/>
        <v>0</v>
      </c>
      <c r="T112" s="826"/>
    </row>
    <row r="113" s="785" customFormat="1" ht="20.1" hidden="1" customHeight="1" spans="1:21">
      <c r="A113" s="813">
        <v>1031</v>
      </c>
      <c r="B113" s="819" t="str">
        <f>土方!E61</f>
        <v>人工挖倒沟槽土方（Ⅲ类土）</v>
      </c>
      <c r="C113" s="820" t="s">
        <v>521</v>
      </c>
      <c r="D113" s="821">
        <f t="shared" ref="D113:D124" si="18">SUM(E113:N113)</f>
        <v>1662.64024405001</v>
      </c>
      <c r="E113" s="821">
        <f>土方!G68</f>
        <v>1214.562</v>
      </c>
      <c r="F113" s="821">
        <f>土方!G71</f>
        <v>24.29124</v>
      </c>
      <c r="G113" s="822"/>
      <c r="H113" s="821"/>
      <c r="I113" s="821">
        <f>土方!G73</f>
        <v>79.28660736</v>
      </c>
      <c r="J113" s="821">
        <f>土方!G74</f>
        <v>65.906992368</v>
      </c>
      <c r="K113" s="821">
        <f>土方!G75</f>
        <v>96.88327878096</v>
      </c>
      <c r="L113" s="821"/>
      <c r="M113" s="821">
        <f>土方!G76</f>
        <v>133.283710665806</v>
      </c>
      <c r="N113" s="823">
        <f t="shared" si="16"/>
        <v>48.426414875243</v>
      </c>
      <c r="O113" s="824">
        <f>土方!G78</f>
        <v>1662.64024405001</v>
      </c>
      <c r="P113" s="825">
        <f t="shared" ref="P113:P126" si="19">D113-O113</f>
        <v>0</v>
      </c>
      <c r="T113" s="826"/>
    </row>
    <row r="114" s="784" customFormat="1" ht="20.1" customHeight="1" spans="1:21">
      <c r="A114" s="813">
        <v>1144</v>
      </c>
      <c r="B114" s="819" t="str">
        <f>土方!E121</f>
        <v>挖掘机挖土方（Ⅰ～Ⅱ类土）</v>
      </c>
      <c r="C114" s="820" t="s">
        <v>521</v>
      </c>
      <c r="D114" s="821">
        <f t="shared" si="18"/>
        <v>269.53370866839</v>
      </c>
      <c r="E114" s="821">
        <f>土方!G128</f>
        <v>23.657</v>
      </c>
      <c r="F114" s="821">
        <f>土方!G131</f>
        <v>6.46933049501396</v>
      </c>
      <c r="G114" s="827">
        <f>土方!G133</f>
        <v>105.729609900279</v>
      </c>
      <c r="H114" s="821"/>
      <c r="I114" s="821">
        <f>土方!G135</f>
        <v>8.69478018529876</v>
      </c>
      <c r="J114" s="821">
        <f>土方!G136</f>
        <v>7.2275360290296</v>
      </c>
      <c r="K114" s="821">
        <f>土方!G137</f>
        <v>10.6244779626735</v>
      </c>
      <c r="L114" s="821">
        <f>土方!G138</f>
        <v>77.6736069867947</v>
      </c>
      <c r="M114" s="821">
        <f>土方!G140</f>
        <v>21.6068707403181</v>
      </c>
      <c r="N114" s="823">
        <f t="shared" si="16"/>
        <v>7.85049636898223</v>
      </c>
      <c r="O114" s="802">
        <f>土方!G142</f>
        <v>269.53370866839</v>
      </c>
      <c r="P114" s="817">
        <f t="shared" si="19"/>
        <v>0</v>
      </c>
      <c r="Q114" s="784">
        <v>26</v>
      </c>
      <c r="T114" s="818"/>
    </row>
    <row r="115" s="784" customFormat="1" ht="22.5" hidden="1" spans="1:21">
      <c r="A115" s="813">
        <v>1160</v>
      </c>
      <c r="B115" s="819" t="str">
        <f>土方!E267</f>
        <v>1m3挖掘机挖装土自卸汽车运输（运距1.5～2km）</v>
      </c>
      <c r="C115" s="820" t="s">
        <v>521</v>
      </c>
      <c r="D115" s="821">
        <f t="shared" si="18"/>
        <v>1765.03200627316</v>
      </c>
      <c r="E115" s="821">
        <f>土方!G274</f>
        <v>30.004</v>
      </c>
      <c r="F115" s="821">
        <f>土方!G277</f>
        <v>38.4215442201835</v>
      </c>
      <c r="G115" s="827">
        <f>土方!G279</f>
        <v>738.42688440367</v>
      </c>
      <c r="H115" s="821"/>
      <c r="I115" s="821">
        <f>土方!G283</f>
        <v>51.6385554319266</v>
      </c>
      <c r="J115" s="821">
        <f>土方!G284</f>
        <v>42.924549202789</v>
      </c>
      <c r="K115" s="821">
        <f>土方!G285</f>
        <v>63.0990873280998</v>
      </c>
      <c r="L115" s="821">
        <f>土方!G286</f>
        <v>607.616853781512</v>
      </c>
      <c r="M115" s="821">
        <f>土方!G288</f>
        <v>141.491832693136</v>
      </c>
      <c r="N115" s="823">
        <f t="shared" si="16"/>
        <v>51.4086992118395</v>
      </c>
      <c r="O115" s="802">
        <f>土方!G290</f>
        <v>1765.03200627316</v>
      </c>
      <c r="P115" s="817">
        <f t="shared" si="19"/>
        <v>-3.41060513164848e-12</v>
      </c>
      <c r="Q115" s="784">
        <v>28</v>
      </c>
      <c r="T115" s="818"/>
    </row>
    <row r="116" s="784" customFormat="1" ht="32.25" hidden="1" customHeight="1" spans="1:21">
      <c r="A116" s="813">
        <v>1159</v>
      </c>
      <c r="B116" s="819" t="str">
        <f>土方!E319</f>
        <v>1m3挖掘机挖装土自卸汽车运输（运距4—5km）</v>
      </c>
      <c r="C116" s="820" t="s">
        <v>521</v>
      </c>
      <c r="D116" s="821">
        <f t="shared" si="18"/>
        <v>2527.17265477183</v>
      </c>
      <c r="E116" s="821">
        <f>土方!G326</f>
        <v>30.004</v>
      </c>
      <c r="F116" s="821">
        <f>土方!G329</f>
        <v>54.5772344938173</v>
      </c>
      <c r="G116" s="827">
        <f>土方!G331</f>
        <v>1061.54068987635</v>
      </c>
      <c r="H116" s="821"/>
      <c r="I116" s="821">
        <f>土方!G335</f>
        <v>73.3518031596905</v>
      </c>
      <c r="J116" s="821">
        <f>土方!G336</f>
        <v>60.9736863764927</v>
      </c>
      <c r="K116" s="821">
        <f>土方!G337</f>
        <v>89.6313189734443</v>
      </c>
      <c r="L116" s="821">
        <f>土方!G338</f>
        <v>880.898959087635</v>
      </c>
      <c r="M116" s="821">
        <f>土方!G340</f>
        <v>202.587992277068</v>
      </c>
      <c r="N116" s="823">
        <f t="shared" si="16"/>
        <v>73.6069705273349</v>
      </c>
      <c r="O116" s="802">
        <f>土方!G342</f>
        <v>2527.17265477182</v>
      </c>
      <c r="P116" s="817">
        <f t="shared" si="19"/>
        <v>1.2732925824821e-11</v>
      </c>
      <c r="Q116" s="784">
        <v>28</v>
      </c>
      <c r="T116" s="818"/>
    </row>
    <row r="117" s="785" customFormat="1" ht="24" hidden="1" customHeight="1" spans="1:21">
      <c r="A117" s="813">
        <v>1159</v>
      </c>
      <c r="B117" s="819" t="s">
        <v>640</v>
      </c>
      <c r="C117" s="820" t="s">
        <v>521</v>
      </c>
      <c r="D117" s="821">
        <f t="shared" si="18"/>
        <v>3256.55160118571</v>
      </c>
      <c r="E117" s="821">
        <f>土方!G352</f>
        <v>30.004</v>
      </c>
      <c r="F117" s="821">
        <f>土方!G355</f>
        <v>70.0384493936976</v>
      </c>
      <c r="G117" s="822">
        <f>土方!G357</f>
        <v>1370.76498787395</v>
      </c>
      <c r="H117" s="821"/>
      <c r="I117" s="821">
        <f>土方!G361</f>
        <v>94.1316759851296</v>
      </c>
      <c r="J117" s="821">
        <f>土方!G362</f>
        <v>78.246955662639</v>
      </c>
      <c r="K117" s="821">
        <f>土方!G363</f>
        <v>115.023024824079</v>
      </c>
      <c r="L117" s="821">
        <f>土方!G364</f>
        <v>1142.43364357743</v>
      </c>
      <c r="M117" s="821">
        <f>土方!G366</f>
        <v>261.057846358524</v>
      </c>
      <c r="N117" s="823">
        <f t="shared" si="16"/>
        <v>94.8510175102635</v>
      </c>
      <c r="O117" s="824">
        <f>土方!G368</f>
        <v>3256.55160118572</v>
      </c>
      <c r="P117" s="825">
        <f t="shared" si="19"/>
        <v>-7.27595761418343e-12</v>
      </c>
      <c r="Q117" s="785">
        <v>28</v>
      </c>
      <c r="T117" s="826"/>
    </row>
    <row r="118" s="784" customFormat="1" ht="20.1" hidden="1" customHeight="1" spans="1:21">
      <c r="A118" s="813">
        <v>1259</v>
      </c>
      <c r="B118" s="819" t="str">
        <f>土方!E469</f>
        <v>人工修整边坡（填方）</v>
      </c>
      <c r="C118" s="820" t="s">
        <v>521</v>
      </c>
      <c r="D118" s="821">
        <f t="shared" si="18"/>
        <v>135.787568219328</v>
      </c>
      <c r="E118" s="821">
        <f>土方!G476</f>
        <v>96.359</v>
      </c>
      <c r="F118" s="821">
        <f>土方!G479</f>
        <v>4.81795</v>
      </c>
      <c r="G118" s="827"/>
      <c r="H118" s="821"/>
      <c r="I118" s="821">
        <f>土方!G481</f>
        <v>6.4753248</v>
      </c>
      <c r="J118" s="821">
        <f>土方!G482</f>
        <v>5.38261374</v>
      </c>
      <c r="K118" s="821">
        <f>土方!G483</f>
        <v>7.9124421978</v>
      </c>
      <c r="L118" s="821"/>
      <c r="M118" s="821">
        <f>土方!G484</f>
        <v>10.885259766402</v>
      </c>
      <c r="N118" s="823">
        <f t="shared" si="16"/>
        <v>3.95497771512606</v>
      </c>
      <c r="O118" s="802">
        <f>土方!G486</f>
        <v>135.787568219328</v>
      </c>
      <c r="P118" s="817">
        <f t="shared" si="19"/>
        <v>0</v>
      </c>
      <c r="Q118" s="784">
        <v>43</v>
      </c>
      <c r="T118" s="818"/>
    </row>
    <row r="119" s="784" customFormat="1" ht="20.1" customHeight="1" spans="1:21">
      <c r="A119" s="813">
        <v>1238</v>
      </c>
      <c r="B119" s="819" t="str">
        <f>土方!E509</f>
        <v>建筑物回填土石（机夯）</v>
      </c>
      <c r="C119" s="820" t="s">
        <v>521</v>
      </c>
      <c r="D119" s="821">
        <f t="shared" si="18"/>
        <v>2350.43422414038</v>
      </c>
      <c r="E119" s="821">
        <f>土方!G516</f>
        <v>1343.588</v>
      </c>
      <c r="F119" s="821">
        <f>土方!G519</f>
        <v>83.3969907459115</v>
      </c>
      <c r="G119" s="827">
        <f>土方!G521</f>
        <v>324.351814918229</v>
      </c>
      <c r="H119" s="821"/>
      <c r="I119" s="821">
        <f>土方!G523</f>
        <v>112.085555562505</v>
      </c>
      <c r="J119" s="821">
        <f>土方!G524</f>
        <v>93.1711180613323</v>
      </c>
      <c r="K119" s="821">
        <f>土方!G525</f>
        <v>136.961543550158</v>
      </c>
      <c r="L119" s="821"/>
      <c r="M119" s="821">
        <f>土方!G526</f>
        <v>188.419952055432</v>
      </c>
      <c r="N119" s="823">
        <f t="shared" si="16"/>
        <v>68.459249246807</v>
      </c>
      <c r="O119" s="802">
        <f>土方!G528</f>
        <v>2350.43422414038</v>
      </c>
      <c r="P119" s="817">
        <f t="shared" si="19"/>
        <v>0</v>
      </c>
      <c r="Q119" s="784">
        <v>43</v>
      </c>
      <c r="T119" s="818"/>
    </row>
    <row r="120" s="784" customFormat="1" ht="20.1" customHeight="1" spans="1:21">
      <c r="A120" s="813">
        <v>1237</v>
      </c>
      <c r="B120" s="819" t="str">
        <f>土方!E489</f>
        <v>建筑物回填土石（松填）</v>
      </c>
      <c r="C120" s="820" t="s">
        <v>521</v>
      </c>
      <c r="D120" s="821">
        <f t="shared" si="18"/>
        <v>654.106608522695</v>
      </c>
      <c r="E120" s="821">
        <f>土方!G496</f>
        <v>464.174</v>
      </c>
      <c r="F120" s="821">
        <f>土方!G499</f>
        <v>23.2087</v>
      </c>
      <c r="G120" s="827"/>
      <c r="H120" s="821"/>
      <c r="I120" s="821">
        <f>土方!G501</f>
        <v>31.1924928</v>
      </c>
      <c r="J120" s="821">
        <f>土方!G502</f>
        <v>25.92875964</v>
      </c>
      <c r="K120" s="821">
        <f>土方!G503</f>
        <v>38.1152766708</v>
      </c>
      <c r="L120" s="821"/>
      <c r="M120" s="821">
        <f>土方!G504</f>
        <v>52.435730619972</v>
      </c>
      <c r="N120" s="823">
        <f t="shared" si="16"/>
        <v>19.0516487919232</v>
      </c>
      <c r="O120" s="802">
        <f>土方!G506</f>
        <v>654.106608522695</v>
      </c>
      <c r="P120" s="817">
        <f t="shared" si="19"/>
        <v>0</v>
      </c>
      <c r="T120" s="818"/>
    </row>
    <row r="121" s="784" customFormat="1" ht="20.1" hidden="1" customHeight="1" spans="1:21">
      <c r="A121" s="813">
        <v>1273</v>
      </c>
      <c r="B121" s="819" t="str">
        <f>土方!E395</f>
        <v>人工平整场地</v>
      </c>
      <c r="C121" s="820" t="s">
        <v>521</v>
      </c>
      <c r="D121" s="821">
        <f t="shared" si="18"/>
        <v>183.447582797581</v>
      </c>
      <c r="E121" s="821">
        <f>土方!G402</f>
        <v>130.18</v>
      </c>
      <c r="F121" s="821">
        <f>土方!G405</f>
        <v>6.509</v>
      </c>
      <c r="G121" s="822"/>
      <c r="H121" s="821"/>
      <c r="I121" s="821">
        <f>土方!G409</f>
        <v>8.748096</v>
      </c>
      <c r="J121" s="821">
        <f>土方!G410</f>
        <v>7.2718548</v>
      </c>
      <c r="K121" s="821">
        <f>土方!G411</f>
        <v>10.689626556</v>
      </c>
      <c r="L121" s="821"/>
      <c r="M121" s="821">
        <f>土方!G414</f>
        <v>14.70587196204</v>
      </c>
      <c r="N121" s="823">
        <f t="shared" si="16"/>
        <v>5.3431334795412</v>
      </c>
      <c r="O121" s="802">
        <f>土方!G416</f>
        <v>183.447582797581</v>
      </c>
      <c r="P121" s="817">
        <f t="shared" si="19"/>
        <v>2.27373675443232e-13</v>
      </c>
      <c r="Q121" s="784">
        <v>44</v>
      </c>
      <c r="T121" s="818"/>
    </row>
    <row r="122" s="787" customFormat="1" ht="33.75" hidden="1" spans="1:21">
      <c r="A122" s="813"/>
      <c r="B122" s="847" t="str">
        <f>维修!E186</f>
        <v>0.5m3挖掘机挖装土自卸汽车运输（运距：0.5～1km）Ⅰ-Ⅱ类土</v>
      </c>
      <c r="C122" s="820" t="s">
        <v>521</v>
      </c>
      <c r="D122" s="822">
        <f t="shared" si="18"/>
        <v>1138.37061346067</v>
      </c>
      <c r="E122" s="822">
        <f>维修!G193</f>
        <v>42.53067</v>
      </c>
      <c r="F122" s="822">
        <f>维修!G196</f>
        <v>35.8173112321719</v>
      </c>
      <c r="G122" s="822">
        <f>维修!G198</f>
        <v>673.815554643438</v>
      </c>
      <c r="H122" s="822"/>
      <c r="I122" s="822">
        <f>维修!G202</f>
        <v>36.1038497220293</v>
      </c>
      <c r="J122" s="822">
        <f>维修!G203</f>
        <v>35.4720323518938</v>
      </c>
      <c r="K122" s="822">
        <f>维修!G204</f>
        <v>57.6617592564673</v>
      </c>
      <c r="L122" s="822">
        <f>维修!G205</f>
        <v>132.556793276471</v>
      </c>
      <c r="M122" s="822">
        <f>维修!G208</f>
        <v>91.2562173434224</v>
      </c>
      <c r="N122" s="823">
        <f t="shared" si="16"/>
        <v>33.1564256347768</v>
      </c>
      <c r="O122" s="802"/>
      <c r="P122" s="817">
        <f t="shared" si="19"/>
        <v>1138.37061346067</v>
      </c>
      <c r="Q122" s="848"/>
      <c r="T122" s="849"/>
      <c r="U122" s="850"/>
    </row>
    <row r="123" s="785" customFormat="1" ht="26.1" hidden="1" customHeight="1" spans="1:21">
      <c r="A123" s="813">
        <v>2386</v>
      </c>
      <c r="B123" s="819" t="s">
        <v>641</v>
      </c>
      <c r="C123" s="820" t="s">
        <v>521</v>
      </c>
      <c r="D123" s="821">
        <f t="shared" si="18"/>
        <v>3827.71717944598</v>
      </c>
      <c r="E123" s="821">
        <f>土方!G538</f>
        <v>1213.431</v>
      </c>
      <c r="F123" s="821">
        <f>土方!G541</f>
        <v>45.2948318364579</v>
      </c>
      <c r="G123" s="822">
        <f>土方!G543</f>
        <v>1051.3105918229</v>
      </c>
      <c r="H123" s="821"/>
      <c r="I123" s="821">
        <f>土方!G545</f>
        <v>147.842331114199</v>
      </c>
      <c r="J123" s="821">
        <f>土方!G546</f>
        <v>208.919694155752</v>
      </c>
      <c r="K123" s="821">
        <f>土方!G547</f>
        <v>186.675891425051</v>
      </c>
      <c r="L123" s="821">
        <f>土方!G548</f>
        <v>555.91122965186</v>
      </c>
      <c r="M123" s="821">
        <f>土方!G550</f>
        <v>306.844701300559</v>
      </c>
      <c r="N123" s="823">
        <f t="shared" si="16"/>
        <v>111.486908139203</v>
      </c>
      <c r="O123" s="824">
        <f>土方!G552</f>
        <v>3827.71717944598</v>
      </c>
      <c r="P123" s="825">
        <f t="shared" si="19"/>
        <v>0</v>
      </c>
      <c r="Q123" s="785">
        <v>99</v>
      </c>
      <c r="T123" s="826"/>
    </row>
    <row r="124" s="787" customFormat="1" ht="20.1" hidden="1" customHeight="1" spans="1:21">
      <c r="A124" s="813">
        <v>2421</v>
      </c>
      <c r="B124" s="847" t="str">
        <f>堆砌石!E2</f>
        <v>1m3挖掘机装石渣汽车运输（运距：4～5km）</v>
      </c>
      <c r="C124" s="820" t="s">
        <v>521</v>
      </c>
      <c r="D124" s="822">
        <f t="shared" si="18"/>
        <v>5695.34166094212</v>
      </c>
      <c r="E124" s="822">
        <f>堆砌石!G9</f>
        <v>105.014</v>
      </c>
      <c r="F124" s="822">
        <f>堆砌石!G12</f>
        <v>113.156005156562</v>
      </c>
      <c r="G124" s="822">
        <f>堆砌石!G14</f>
        <v>2158.10610313123</v>
      </c>
      <c r="H124" s="822"/>
      <c r="I124" s="822">
        <f>堆砌石!G18</f>
        <v>152.081670930419</v>
      </c>
      <c r="J124" s="822">
        <f>堆砌石!G19</f>
        <v>214.910411233548</v>
      </c>
      <c r="K124" s="822">
        <f>堆砌石!G20</f>
        <v>192.028773331623</v>
      </c>
      <c r="L124" s="822">
        <f>堆砌石!G21</f>
        <v>2137.6002135054</v>
      </c>
      <c r="M124" s="822">
        <f>堆砌石!G23</f>
        <v>456.56074595599</v>
      </c>
      <c r="N124" s="823">
        <f t="shared" si="16"/>
        <v>165.883737697343</v>
      </c>
      <c r="O124" s="802">
        <f>堆砌石!G25</f>
        <v>5695.34166094212</v>
      </c>
      <c r="P124" s="817">
        <f t="shared" si="19"/>
        <v>0</v>
      </c>
      <c r="Q124" s="848">
        <v>103</v>
      </c>
      <c r="T124" s="849"/>
      <c r="U124" s="850"/>
    </row>
    <row r="125" s="785" customFormat="1" ht="20.1" hidden="1" customHeight="1" spans="1:21">
      <c r="A125" s="813">
        <v>3007</v>
      </c>
      <c r="B125" s="819" t="str">
        <f>堆砌石!E28</f>
        <v>人工铺筑碎石垫层</v>
      </c>
      <c r="C125" s="820" t="s">
        <v>521</v>
      </c>
      <c r="D125" s="821">
        <f t="shared" ref="D125:D170" si="20">SUM(E125:N125)</f>
        <v>17044.3336488088</v>
      </c>
      <c r="E125" s="821">
        <f>堆砌石!G35</f>
        <v>2866.523</v>
      </c>
      <c r="F125" s="821">
        <f>堆砌石!G38</f>
        <v>7211.4</v>
      </c>
      <c r="G125" s="822"/>
      <c r="H125" s="821"/>
      <c r="I125" s="821">
        <f>堆砌石!G42</f>
        <v>644.987072</v>
      </c>
      <c r="J125" s="821">
        <f>堆砌石!G43</f>
        <v>911.44735612</v>
      </c>
      <c r="K125" s="821">
        <f>堆砌石!G44</f>
        <v>814.4050199684</v>
      </c>
      <c r="L125" s="821">
        <f>堆砌石!G45</f>
        <v>2732.7942</v>
      </c>
      <c r="M125" s="821">
        <f>堆砌石!G48</f>
        <v>1366.34009832796</v>
      </c>
      <c r="N125" s="823">
        <f t="shared" si="16"/>
        <v>496.436902392491</v>
      </c>
      <c r="O125" s="824">
        <f>堆砌石!G50</f>
        <v>17044.3336488088</v>
      </c>
      <c r="P125" s="825">
        <f t="shared" si="19"/>
        <v>0</v>
      </c>
      <c r="Q125" s="785">
        <f>116</f>
        <v>116</v>
      </c>
      <c r="T125" s="826"/>
    </row>
    <row r="126" s="788" customFormat="1" ht="20.1" hidden="1" customHeight="1" spans="1:21">
      <c r="A126" s="813">
        <v>3009</v>
      </c>
      <c r="B126" s="840" t="str">
        <f>堆砌石!E53</f>
        <v>干砌石护坡（平面）</v>
      </c>
      <c r="C126" s="820" t="s">
        <v>521</v>
      </c>
      <c r="D126" s="822">
        <f t="shared" si="20"/>
        <v>22868.9310306468</v>
      </c>
      <c r="E126" s="822">
        <f>堆砌石!G60</f>
        <v>3707.145</v>
      </c>
      <c r="F126" s="822">
        <f>堆砌石!G63</f>
        <v>8201.2</v>
      </c>
      <c r="G126" s="822">
        <f>堆砌石!G66</f>
        <v>63.6769206222577</v>
      </c>
      <c r="H126" s="822"/>
      <c r="I126" s="822">
        <f>堆砌石!G68</f>
        <v>766.209402919825</v>
      </c>
      <c r="J126" s="822">
        <f>堆砌石!G69</f>
        <v>1082.74966250108</v>
      </c>
      <c r="K126" s="822">
        <f>堆砌石!G70</f>
        <v>967.468669023021</v>
      </c>
      <c r="L126" s="822">
        <f>堆砌石!G71</f>
        <v>5581.13352</v>
      </c>
      <c r="M126" s="822">
        <f>堆砌石!G73</f>
        <v>1833.26248575596</v>
      </c>
      <c r="N126" s="823">
        <f t="shared" si="16"/>
        <v>666.085369824664</v>
      </c>
      <c r="O126" s="851">
        <f>堆砌石!G75</f>
        <v>22868.9310306468</v>
      </c>
      <c r="P126" s="817">
        <f t="shared" si="19"/>
        <v>0</v>
      </c>
      <c r="Q126" s="852"/>
      <c r="T126" s="853"/>
      <c r="U126" s="784"/>
    </row>
    <row r="127" s="788" customFormat="1" ht="20.1" hidden="1" customHeight="1" spans="1:21">
      <c r="A127" s="813">
        <v>3011</v>
      </c>
      <c r="B127" s="840" t="str">
        <f>堆砌石!E78</f>
        <v>干砌石护底</v>
      </c>
      <c r="C127" s="820" t="s">
        <v>521</v>
      </c>
      <c r="D127" s="822">
        <f t="shared" si="20"/>
        <v>22157.2308900618</v>
      </c>
      <c r="E127" s="822">
        <f>堆砌石!G85</f>
        <v>3193.955</v>
      </c>
      <c r="F127" s="822">
        <f>堆砌石!G88</f>
        <v>8201.2</v>
      </c>
      <c r="G127" s="822">
        <f>堆砌石!G91</f>
        <v>63.6769206222577</v>
      </c>
      <c r="H127" s="822"/>
      <c r="I127" s="822">
        <f>堆砌石!G93</f>
        <v>733.365242919825</v>
      </c>
      <c r="J127" s="822">
        <f>堆砌石!G94</f>
        <v>1036.33675890108</v>
      </c>
      <c r="K127" s="822">
        <f>堆砌石!G95</f>
        <v>925.997374571021</v>
      </c>
      <c r="L127" s="822">
        <f>堆砌石!G96</f>
        <v>5581.13352</v>
      </c>
      <c r="M127" s="822">
        <f>堆砌石!G98</f>
        <v>1776.20983353128</v>
      </c>
      <c r="N127" s="823">
        <f t="shared" si="16"/>
        <v>645.356239516364</v>
      </c>
      <c r="O127" s="851">
        <f>堆砌石!G100</f>
        <v>22157.2308900618</v>
      </c>
      <c r="P127" s="817">
        <f t="shared" ref="P127:P132" si="21">D127-O127</f>
        <v>0</v>
      </c>
      <c r="Q127" s="852"/>
      <c r="T127" s="853"/>
      <c r="U127" s="784"/>
    </row>
    <row r="128" s="785" customFormat="1" ht="20.1" hidden="1" customHeight="1" spans="1:21">
      <c r="A128" s="813">
        <v>3011</v>
      </c>
      <c r="B128" s="819" t="str">
        <f>堆砌石!E103</f>
        <v>干砌卵石护底</v>
      </c>
      <c r="C128" s="820" t="s">
        <v>521</v>
      </c>
      <c r="D128" s="821">
        <f t="shared" si="20"/>
        <v>22688.7622657758</v>
      </c>
      <c r="E128" s="821">
        <f>堆砌石!G110</f>
        <v>3577.2296</v>
      </c>
      <c r="F128" s="821">
        <f>堆砌石!G113</f>
        <v>8201.2</v>
      </c>
      <c r="G128" s="822">
        <f>堆砌石!G116</f>
        <v>63.6769206222577</v>
      </c>
      <c r="H128" s="821"/>
      <c r="I128" s="821">
        <f>堆砌石!G118</f>
        <v>757.894817319824</v>
      </c>
      <c r="J128" s="821">
        <f>堆砌石!G119</f>
        <v>1071.00011372508</v>
      </c>
      <c r="K128" s="821">
        <f>堆砌石!G120</f>
        <v>956.970101616701</v>
      </c>
      <c r="L128" s="821">
        <f>堆砌石!G121</f>
        <v>5581.13352</v>
      </c>
      <c r="M128" s="821">
        <f>堆砌石!G123</f>
        <v>1818.81945659555</v>
      </c>
      <c r="N128" s="823">
        <f t="shared" si="16"/>
        <v>660.837735896382</v>
      </c>
      <c r="O128" s="824">
        <f>堆砌石!G125</f>
        <v>22688.7622657758</v>
      </c>
      <c r="P128" s="825">
        <f t="shared" si="21"/>
        <v>0</v>
      </c>
      <c r="T128" s="826"/>
    </row>
    <row r="129" s="789" customFormat="1" ht="20.1" hidden="1" customHeight="1" spans="1:21">
      <c r="A129" s="854">
        <v>3017</v>
      </c>
      <c r="B129" s="855" t="str">
        <f>堆砌石!E129</f>
        <v>M7.5浆砌石护坡（平）</v>
      </c>
      <c r="C129" s="856" t="s">
        <v>521</v>
      </c>
      <c r="D129" s="857">
        <f t="shared" si="20"/>
        <v>33429.7079269755</v>
      </c>
      <c r="E129" s="857">
        <f>堆砌石!G136</f>
        <v>5684.856</v>
      </c>
      <c r="F129" s="857">
        <f>堆砌石!G139</f>
        <v>12759.767837025</v>
      </c>
      <c r="G129" s="857">
        <f>堆砌石!G143</f>
        <v>366.662082568807</v>
      </c>
      <c r="H129" s="857"/>
      <c r="I129" s="857">
        <f>堆砌石!G146</f>
        <v>1203.922298854</v>
      </c>
      <c r="J129" s="857">
        <f>堆砌石!G147</f>
        <v>1701.29269856806</v>
      </c>
      <c r="K129" s="857">
        <f>堆砌石!G148</f>
        <v>1520.15506419111</v>
      </c>
      <c r="L129" s="857">
        <f>堆砌石!G149</f>
        <v>6539.51568261732</v>
      </c>
      <c r="M129" s="857">
        <f>堆砌石!G153</f>
        <v>2679.85544974419</v>
      </c>
      <c r="N129" s="823">
        <f t="shared" si="16"/>
        <v>973.680813407054</v>
      </c>
      <c r="O129" s="858"/>
      <c r="P129" s="859">
        <f t="shared" si="21"/>
        <v>33429.7079269755</v>
      </c>
      <c r="Q129" s="860"/>
      <c r="T129" s="861"/>
      <c r="U129" s="862"/>
    </row>
    <row r="130" s="790" customFormat="1" ht="20.1" hidden="1" customHeight="1" spans="1:21">
      <c r="A130" s="854">
        <v>3018</v>
      </c>
      <c r="B130" s="855" t="str">
        <f>堆砌石!E158</f>
        <v>M7.5浆砌石护坡（曲）</v>
      </c>
      <c r="C130" s="856" t="s">
        <v>521</v>
      </c>
      <c r="D130" s="857">
        <f t="shared" si="20"/>
        <v>34645.3950571558</v>
      </c>
      <c r="E130" s="857">
        <f>堆砌石!G165</f>
        <v>6561.459</v>
      </c>
      <c r="F130" s="857">
        <f>堆砌石!G168</f>
        <v>12759.767837025</v>
      </c>
      <c r="G130" s="857">
        <f>堆砌石!G172</f>
        <v>366.662082568807</v>
      </c>
      <c r="H130" s="857"/>
      <c r="I130" s="857">
        <f>堆砌石!G175</f>
        <v>1260.024890854</v>
      </c>
      <c r="J130" s="857">
        <f>堆砌石!G176</f>
        <v>1780.57267388806</v>
      </c>
      <c r="K130" s="857">
        <f>堆砌石!G177</f>
        <v>1590.99405390351</v>
      </c>
      <c r="L130" s="857">
        <f>堆砌石!G178</f>
        <v>6539.51568261732</v>
      </c>
      <c r="M130" s="857">
        <f>堆砌石!G182</f>
        <v>2777.3096598771</v>
      </c>
      <c r="N130" s="823">
        <f t="shared" si="16"/>
        <v>1009.08917642201</v>
      </c>
      <c r="O130" s="863"/>
      <c r="P130" s="859">
        <f t="shared" si="21"/>
        <v>34645.3950571558</v>
      </c>
      <c r="Q130" s="864"/>
      <c r="T130" s="865"/>
      <c r="U130" s="866"/>
    </row>
    <row r="131" s="789" customFormat="1" ht="20.1" hidden="1" customHeight="1" spans="1:21">
      <c r="A131" s="854">
        <v>3019</v>
      </c>
      <c r="B131" s="855" t="str">
        <f>堆砌石!E187</f>
        <v>M7.5浆砌石护底</v>
      </c>
      <c r="C131" s="856" t="s">
        <v>521</v>
      </c>
      <c r="D131" s="857">
        <f t="shared" si="20"/>
        <v>32456.6442687946</v>
      </c>
      <c r="E131" s="857">
        <f>堆砌石!G194</f>
        <v>4983.203</v>
      </c>
      <c r="F131" s="857">
        <f>堆砌石!G197</f>
        <v>12759.767837025</v>
      </c>
      <c r="G131" s="857">
        <f>堆砌石!G201</f>
        <v>366.662082568807</v>
      </c>
      <c r="H131" s="857"/>
      <c r="I131" s="857">
        <f>堆砌石!G204</f>
        <v>1159.016506854</v>
      </c>
      <c r="J131" s="857">
        <f>堆砌石!G205</f>
        <v>1637.83520124806</v>
      </c>
      <c r="K131" s="857">
        <f>堆砌石!G206</f>
        <v>1463.45392393871</v>
      </c>
      <c r="L131" s="857">
        <f>堆砌石!G207</f>
        <v>6539.51568261732</v>
      </c>
      <c r="M131" s="857">
        <f>堆砌石!G211</f>
        <v>2601.85088108267</v>
      </c>
      <c r="N131" s="823">
        <f t="shared" si="16"/>
        <v>945.339153460037</v>
      </c>
      <c r="O131" s="858"/>
      <c r="P131" s="859">
        <f t="shared" si="21"/>
        <v>32456.6442687946</v>
      </c>
      <c r="Q131" s="860"/>
      <c r="T131" s="861"/>
      <c r="U131" s="862"/>
    </row>
    <row r="132" s="790" customFormat="1" ht="20.1" hidden="1" customHeight="1" spans="1:21">
      <c r="A132" s="854">
        <v>3020</v>
      </c>
      <c r="B132" s="855" t="str">
        <f>堆砌石!E216</f>
        <v>M7.5浆砌石基础</v>
      </c>
      <c r="C132" s="856" t="s">
        <v>521</v>
      </c>
      <c r="D132" s="857">
        <f t="shared" si="20"/>
        <v>31362.5818692453</v>
      </c>
      <c r="E132" s="857">
        <f>堆砌石!G223</f>
        <v>4415.5</v>
      </c>
      <c r="F132" s="857">
        <f>堆砌石!G226</f>
        <v>12582.6210045</v>
      </c>
      <c r="G132" s="857">
        <f>堆砌石!G230</f>
        <v>355.485645951336</v>
      </c>
      <c r="H132" s="857"/>
      <c r="I132" s="857">
        <f>堆砌石!G233</f>
        <v>1110.63082562889</v>
      </c>
      <c r="J132" s="857">
        <f>堆砌石!G234</f>
        <v>1569.46018546682</v>
      </c>
      <c r="K132" s="857">
        <f>堆砌石!G235</f>
        <v>1402.35883630829</v>
      </c>
      <c r="L132" s="857">
        <f>堆砌石!G236</f>
        <v>6498.9055305096</v>
      </c>
      <c r="M132" s="857">
        <f>堆砌石!G240</f>
        <v>2514.14658255284</v>
      </c>
      <c r="N132" s="823">
        <f t="shared" si="16"/>
        <v>913.473258327533</v>
      </c>
      <c r="O132" s="863"/>
      <c r="P132" s="859">
        <f t="shared" si="21"/>
        <v>31362.5818692453</v>
      </c>
      <c r="Q132" s="864"/>
      <c r="T132" s="865"/>
      <c r="U132" s="866"/>
    </row>
    <row r="133" s="790" customFormat="1" ht="20.1" hidden="1" customHeight="1" spans="1:21">
      <c r="A133" s="854">
        <v>3021</v>
      </c>
      <c r="B133" s="855" t="str">
        <f>堆砌石!E245</f>
        <v>M7.5浆砌石墙</v>
      </c>
      <c r="C133" s="856" t="s">
        <v>521</v>
      </c>
      <c r="D133" s="857">
        <f t="shared" si="20"/>
        <v>32937.4911262868</v>
      </c>
      <c r="E133" s="857">
        <f>堆砌石!G252</f>
        <v>5482.31</v>
      </c>
      <c r="F133" s="857">
        <f>堆砌石!G255</f>
        <v>12637.1277222</v>
      </c>
      <c r="G133" s="857">
        <f>堆砌石!G259</f>
        <v>359.682733865178</v>
      </c>
      <c r="H133" s="857"/>
      <c r="I133" s="857">
        <f>堆砌石!G262</f>
        <v>1182.66370918817</v>
      </c>
      <c r="J133" s="857">
        <f>堆砌石!G263</f>
        <v>1671.25165404653</v>
      </c>
      <c r="K133" s="857">
        <f>堆砌石!G264</f>
        <v>1493.31250735099</v>
      </c>
      <c r="L133" s="857">
        <f>堆砌石!G265</f>
        <v>6511.40096192736</v>
      </c>
      <c r="M133" s="857">
        <f>堆砌石!G269</f>
        <v>2640.39743597204</v>
      </c>
      <c r="N133" s="823">
        <f t="shared" si="16"/>
        <v>959.344401736508</v>
      </c>
      <c r="O133" s="863"/>
      <c r="P133" s="859">
        <f t="shared" ref="P133:P153" si="22">D133-O133</f>
        <v>32937.4911262868</v>
      </c>
      <c r="Q133" s="864"/>
      <c r="T133" s="865"/>
      <c r="U133" s="862"/>
    </row>
    <row r="134" s="787" customFormat="1" ht="20.1" hidden="1" customHeight="1" spans="1:21">
      <c r="A134" s="813">
        <v>3067</v>
      </c>
      <c r="B134" s="840" t="str">
        <f>堆砌石!E274</f>
        <v>M7.5水泥砂浆砌MU10机红砖</v>
      </c>
      <c r="C134" s="820" t="s">
        <v>521</v>
      </c>
      <c r="D134" s="822">
        <f t="shared" si="20"/>
        <v>51755.5682080166</v>
      </c>
      <c r="E134" s="822">
        <f>堆砌石!G281</f>
        <v>8660.604</v>
      </c>
      <c r="F134" s="822">
        <f>堆砌石!G284</f>
        <v>28080.457714725</v>
      </c>
      <c r="G134" s="822">
        <f>堆砌石!G288</f>
        <v>272.208052413243</v>
      </c>
      <c r="H134" s="822"/>
      <c r="I134" s="822">
        <f>堆砌石!G291</f>
        <v>2368.84926509685</v>
      </c>
      <c r="J134" s="822">
        <f>堆砌石!G292</f>
        <v>2914.2768083854</v>
      </c>
      <c r="K134" s="822">
        <f>堆砌石!G293</f>
        <v>2960.74770884343</v>
      </c>
      <c r="L134" s="822">
        <f>堆砌石!G294</f>
        <v>842.053215492552</v>
      </c>
      <c r="M134" s="822">
        <f>堆砌石!G297</f>
        <v>4148.92770884608</v>
      </c>
      <c r="N134" s="823">
        <f t="shared" si="16"/>
        <v>1507.44373421408</v>
      </c>
      <c r="O134" s="851">
        <f>堆砌石!G299</f>
        <v>51755.5682080166</v>
      </c>
      <c r="P134" s="817">
        <f t="shared" si="22"/>
        <v>0</v>
      </c>
      <c r="Q134" s="848">
        <v>124</v>
      </c>
      <c r="T134" s="849"/>
      <c r="U134" s="850"/>
    </row>
    <row r="135" s="787" customFormat="1" ht="20.1" customHeight="1" spans="1:21">
      <c r="A135" s="813"/>
      <c r="B135" s="867" t="str">
        <f>混凝土!E2</f>
        <v>现浇C25混凝土溢流面</v>
      </c>
      <c r="C135" s="820" t="s">
        <v>521</v>
      </c>
      <c r="D135" s="822">
        <f t="shared" si="20"/>
        <v>50575.8877707031</v>
      </c>
      <c r="E135" s="822">
        <f>混凝土!G9</f>
        <v>5431.128</v>
      </c>
      <c r="F135" s="822">
        <f>混凝土!G12</f>
        <v>22122.578733</v>
      </c>
      <c r="G135" s="822">
        <f>混凝土!G24</f>
        <v>1013.60510767052</v>
      </c>
      <c r="H135" s="822">
        <f>混凝土!G32</f>
        <v>2405.69714865489</v>
      </c>
      <c r="I135" s="822">
        <f>混凝土!G35</f>
        <v>1982.27257531683</v>
      </c>
      <c r="J135" s="822">
        <f>混凝土!G36</f>
        <v>2801.19893299459</v>
      </c>
      <c r="K135" s="822">
        <f>混凝土!G37</f>
        <v>2502.95363483458</v>
      </c>
      <c r="L135" s="822">
        <f>混凝土!G38</f>
        <v>6789.00959310362</v>
      </c>
      <c r="M135" s="822">
        <f>混凝土!G43</f>
        <v>4054.35993530175</v>
      </c>
      <c r="N135" s="823">
        <f t="shared" ref="N135:N166" si="23">SUM(E135:M135)*3%</f>
        <v>1473.0841098263</v>
      </c>
      <c r="O135" s="851"/>
      <c r="P135" s="868">
        <f t="shared" si="22"/>
        <v>50575.8877707031</v>
      </c>
      <c r="Q135" s="848"/>
      <c r="T135" s="849"/>
      <c r="U135" s="784"/>
    </row>
    <row r="136" s="787" customFormat="1" ht="20.1" hidden="1" customHeight="1" spans="1:21">
      <c r="A136" s="813">
        <v>4047</v>
      </c>
      <c r="B136" s="867" t="str">
        <f>混凝土!E48</f>
        <v>现浇C25混凝土闸墩</v>
      </c>
      <c r="C136" s="820" t="s">
        <v>521</v>
      </c>
      <c r="D136" s="822">
        <f t="shared" si="20"/>
        <v>59662.618323976</v>
      </c>
      <c r="E136" s="822">
        <f>混凝土!G55</f>
        <v>8086.096</v>
      </c>
      <c r="F136" s="822">
        <f>混凝土!G58</f>
        <v>24649.259106</v>
      </c>
      <c r="G136" s="822">
        <f>混凝土!G69</f>
        <v>1959.64120245712</v>
      </c>
      <c r="H136" s="822">
        <f>混凝土!G78</f>
        <v>2405.69714865489</v>
      </c>
      <c r="I136" s="822">
        <f>混凝土!G81</f>
        <v>2374.44438125517</v>
      </c>
      <c r="J136" s="822">
        <f>混凝土!G82</f>
        <v>3355.38671626121</v>
      </c>
      <c r="K136" s="822">
        <f>混凝土!G83</f>
        <v>2998.13671882399</v>
      </c>
      <c r="L136" s="822">
        <f>混凝土!G84</f>
        <v>7313.42327627242</v>
      </c>
      <c r="M136" s="822">
        <f>混凝土!G89</f>
        <v>4782.78760947523</v>
      </c>
      <c r="N136" s="823">
        <f t="shared" si="23"/>
        <v>1737.746164776</v>
      </c>
      <c r="O136" s="851">
        <f>混凝土!G91</f>
        <v>59662.618323976</v>
      </c>
      <c r="P136" s="868">
        <f t="shared" si="22"/>
        <v>0</v>
      </c>
      <c r="Q136" s="848"/>
      <c r="T136" s="849"/>
      <c r="U136" s="784"/>
    </row>
    <row r="137" s="787" customFormat="1" ht="20.1" hidden="1" customHeight="1" spans="1:21">
      <c r="A137" s="813"/>
      <c r="B137" s="867" t="str">
        <f>混凝土!E95</f>
        <v>现浇C15混凝土镇墩</v>
      </c>
      <c r="C137" s="820" t="s">
        <v>521</v>
      </c>
      <c r="D137" s="822">
        <f t="shared" si="20"/>
        <v>55643.9444323339</v>
      </c>
      <c r="E137" s="822">
        <f>混凝土!G102</f>
        <v>10315.646</v>
      </c>
      <c r="F137" s="822">
        <f>混凝土!G105</f>
        <v>21305.405558772</v>
      </c>
      <c r="G137" s="822">
        <f>混凝土!G115</f>
        <v>1362.09805014759</v>
      </c>
      <c r="H137" s="822">
        <f>混凝土!G122</f>
        <v>2405.69714865489</v>
      </c>
      <c r="I137" s="822">
        <f>混凝土!G125</f>
        <v>2264.88619248477</v>
      </c>
      <c r="J137" s="822">
        <f>混凝土!G126</f>
        <v>3200.56730075504</v>
      </c>
      <c r="K137" s="822">
        <f>混凝土!G127</f>
        <v>2859.801017557</v>
      </c>
      <c r="L137" s="822">
        <f>混凝土!G128</f>
        <v>5848.51067812724</v>
      </c>
      <c r="M137" s="822">
        <f>混凝土!G133</f>
        <v>4460.63507518487</v>
      </c>
      <c r="N137" s="823">
        <f t="shared" si="23"/>
        <v>1620.6974106505</v>
      </c>
      <c r="O137" s="851"/>
      <c r="P137" s="868">
        <f t="shared" si="22"/>
        <v>55643.9444323339</v>
      </c>
      <c r="Q137" s="848"/>
      <c r="T137" s="849"/>
      <c r="U137" s="850"/>
    </row>
    <row r="138" s="787" customFormat="1" ht="20.1" hidden="1" customHeight="1" spans="1:21">
      <c r="A138" s="813">
        <v>4052</v>
      </c>
      <c r="B138" s="867" t="str">
        <f>混凝土!E138</f>
        <v>现浇C20混凝土支墩</v>
      </c>
      <c r="C138" s="820" t="s">
        <v>521</v>
      </c>
      <c r="D138" s="822">
        <f t="shared" si="20"/>
        <v>64705.6107904086</v>
      </c>
      <c r="E138" s="822">
        <f>混凝土!G145</f>
        <v>13059.396</v>
      </c>
      <c r="F138" s="822">
        <f>混凝土!G148</f>
        <v>24290.1960897</v>
      </c>
      <c r="G138" s="822">
        <f>混凝土!G158</f>
        <v>1436.74171222976</v>
      </c>
      <c r="H138" s="822">
        <f>混凝土!G165</f>
        <v>2405.69714865489</v>
      </c>
      <c r="I138" s="822">
        <f>混凝土!G168</f>
        <v>2636.28998083742</v>
      </c>
      <c r="J138" s="822">
        <f>混凝土!G169</f>
        <v>3725.40727917088</v>
      </c>
      <c r="K138" s="822">
        <f>混凝土!G170</f>
        <v>3328.76097474151</v>
      </c>
      <c r="L138" s="822">
        <f>混凝土!G171</f>
        <v>6751.43865862086</v>
      </c>
      <c r="M138" s="822">
        <f>混凝土!G176</f>
        <v>5187.05350595598</v>
      </c>
      <c r="N138" s="823">
        <f t="shared" si="23"/>
        <v>1884.62944049734</v>
      </c>
      <c r="O138" s="851">
        <f>混凝土!G178</f>
        <v>64705.6107904086</v>
      </c>
      <c r="P138" s="868">
        <f t="shared" si="22"/>
        <v>0</v>
      </c>
      <c r="Q138" s="848">
        <v>152</v>
      </c>
      <c r="T138" s="849"/>
      <c r="U138" s="784"/>
    </row>
    <row r="139" s="787" customFormat="1" ht="20.1" hidden="1" customHeight="1" spans="1:21">
      <c r="A139" s="813">
        <v>4053</v>
      </c>
      <c r="B139" s="867" t="str">
        <f>混凝土!E181</f>
        <v>现浇C20混凝土截水墙、齿墙</v>
      </c>
      <c r="C139" s="820" t="s">
        <v>521</v>
      </c>
      <c r="D139" s="822">
        <f t="shared" si="20"/>
        <v>53335.0001396735</v>
      </c>
      <c r="E139" s="822">
        <f>混凝土!G188</f>
        <v>8850.076</v>
      </c>
      <c r="F139" s="822">
        <f>混凝土!G191</f>
        <v>20514.3942597</v>
      </c>
      <c r="G139" s="822">
        <f>混凝土!G202</f>
        <v>1185.77281293578</v>
      </c>
      <c r="H139" s="822">
        <f>混凝土!G210</f>
        <v>2405.69714865489</v>
      </c>
      <c r="I139" s="822">
        <f>混凝土!G213</f>
        <v>2109.1801741626</v>
      </c>
      <c r="J139" s="822">
        <f>混凝土!G214</f>
        <v>2980.53523361353</v>
      </c>
      <c r="K139" s="822">
        <f>混凝土!G215</f>
        <v>2663.19589403468</v>
      </c>
      <c r="L139" s="822">
        <f>混凝土!G216</f>
        <v>6797.16089310362</v>
      </c>
      <c r="M139" s="822">
        <f>混凝土!G221</f>
        <v>4275.54111745846</v>
      </c>
      <c r="N139" s="823">
        <f t="shared" si="23"/>
        <v>1553.44660600991</v>
      </c>
      <c r="O139" s="851">
        <f>混凝土!G223</f>
        <v>53335.0001396735</v>
      </c>
      <c r="P139" s="868">
        <f t="shared" si="22"/>
        <v>0</v>
      </c>
      <c r="Q139" s="848">
        <v>153</v>
      </c>
      <c r="T139" s="849"/>
      <c r="U139" s="784"/>
    </row>
    <row r="140" s="785" customFormat="1" ht="20.1" hidden="1" customHeight="1" spans="1:21">
      <c r="A140" s="813">
        <v>4059</v>
      </c>
      <c r="B140" s="819" t="str">
        <f>混凝土!E228</f>
        <v>现浇C20混凝土直墙（墙厚0.2—0.4m）</v>
      </c>
      <c r="C140" s="820" t="s">
        <v>521</v>
      </c>
      <c r="D140" s="821">
        <f t="shared" si="20"/>
        <v>67248.3887809692</v>
      </c>
      <c r="E140" s="821">
        <f>混凝土!G235</f>
        <v>15609.106</v>
      </c>
      <c r="F140" s="821">
        <f>混凝土!G238</f>
        <v>23813.7055377</v>
      </c>
      <c r="G140" s="822">
        <f>混凝土!G248</f>
        <v>1164.74696848624</v>
      </c>
      <c r="H140" s="821">
        <f>混凝土!G255</f>
        <v>2405.69714865489</v>
      </c>
      <c r="I140" s="821">
        <f>混凝土!G258</f>
        <v>2751.56836190983</v>
      </c>
      <c r="J140" s="821">
        <f>混凝土!G259</f>
        <v>3888.31004142383</v>
      </c>
      <c r="K140" s="821">
        <f>混凝土!G260</f>
        <v>3474.31938407224</v>
      </c>
      <c r="L140" s="821">
        <f>混凝土!G261</f>
        <v>6791.35192068983</v>
      </c>
      <c r="M140" s="821">
        <f>混凝土!G266</f>
        <v>5390.89248266432</v>
      </c>
      <c r="N140" s="823">
        <f t="shared" si="23"/>
        <v>1958.69093536804</v>
      </c>
      <c r="O140" s="824">
        <f>混凝土!G268</f>
        <v>67248.3887809692</v>
      </c>
      <c r="P140" s="825">
        <f t="shared" si="22"/>
        <v>0</v>
      </c>
      <c r="T140" s="826"/>
    </row>
    <row r="141" s="787" customFormat="1" ht="20.1" hidden="1" customHeight="1" spans="1:21">
      <c r="A141" s="813">
        <v>4060</v>
      </c>
      <c r="B141" s="867" t="str">
        <f>混凝土!E271</f>
        <v>现浇C25混凝土直墙（墙厚0.4—0.6m）</v>
      </c>
      <c r="C141" s="820" t="s">
        <v>521</v>
      </c>
      <c r="D141" s="822">
        <f t="shared" si="20"/>
        <v>60001.0906300046</v>
      </c>
      <c r="E141" s="822">
        <f>混凝土!G278</f>
        <v>11341.06</v>
      </c>
      <c r="F141" s="822">
        <f>混凝土!G281</f>
        <v>22569.567438</v>
      </c>
      <c r="G141" s="822">
        <f>混凝土!G291</f>
        <v>1092.29842252294</v>
      </c>
      <c r="H141" s="822">
        <f>混凝土!G298</f>
        <v>2405.69714865489</v>
      </c>
      <c r="I141" s="822">
        <f>混凝土!G301</f>
        <v>2394.15187258738</v>
      </c>
      <c r="J141" s="822">
        <f>混凝土!G302</f>
        <v>3383.23586495004</v>
      </c>
      <c r="K141" s="822">
        <f>混凝土!G303</f>
        <v>3023.02075227007</v>
      </c>
      <c r="L141" s="822">
        <f>混凝土!G304</f>
        <v>7234.53368316897</v>
      </c>
      <c r="M141" s="822">
        <f>混凝土!G309</f>
        <v>4809.92086639389</v>
      </c>
      <c r="N141" s="823">
        <f t="shared" si="23"/>
        <v>1747.60458145644</v>
      </c>
      <c r="O141" s="851">
        <f>混凝土!G311</f>
        <v>60001.0906300046</v>
      </c>
      <c r="P141" s="868">
        <f t="shared" si="22"/>
        <v>0</v>
      </c>
      <c r="Q141" s="848"/>
      <c r="T141" s="849"/>
      <c r="U141" s="850"/>
    </row>
    <row r="142" s="788" customFormat="1" ht="20.1" hidden="1" customHeight="1" spans="1:21">
      <c r="A142" s="813">
        <v>4067</v>
      </c>
      <c r="B142" s="840" t="str">
        <f>混凝土!E315</f>
        <v>现浇C20混凝土垫层</v>
      </c>
      <c r="C142" s="820" t="s">
        <v>521</v>
      </c>
      <c r="D142" s="822">
        <f t="shared" si="20"/>
        <v>48417.443207404</v>
      </c>
      <c r="E142" s="822">
        <f>混凝土!G322</f>
        <v>7221.657</v>
      </c>
      <c r="F142" s="822">
        <f>混凝土!G325</f>
        <v>18887.894207925</v>
      </c>
      <c r="G142" s="822">
        <f>混凝土!G335</f>
        <v>944.667769361787</v>
      </c>
      <c r="H142" s="822">
        <f>混凝土!G343</f>
        <v>2405.69714865489</v>
      </c>
      <c r="I142" s="822">
        <f>混凝土!G346</f>
        <v>1885.43463206027</v>
      </c>
      <c r="J142" s="822">
        <f>混凝土!G347</f>
        <v>2664.35481443017</v>
      </c>
      <c r="K142" s="822">
        <f>混凝土!G348</f>
        <v>2380.67939007025</v>
      </c>
      <c r="L142" s="822">
        <f>混凝土!G349</f>
        <v>6735.51083103466</v>
      </c>
      <c r="M142" s="822">
        <f>混凝土!G354</f>
        <v>3881.33062141833</v>
      </c>
      <c r="N142" s="823">
        <f t="shared" si="23"/>
        <v>1410.21679244866</v>
      </c>
      <c r="O142" s="851">
        <f>混凝土!G356</f>
        <v>48417.443207404</v>
      </c>
      <c r="P142" s="868">
        <f t="shared" si="22"/>
        <v>0</v>
      </c>
      <c r="Q142" s="852"/>
      <c r="T142" s="853"/>
      <c r="U142" s="784"/>
    </row>
    <row r="143" s="788" customFormat="1" ht="20.1" hidden="1" customHeight="1" spans="1:21">
      <c r="A143" s="813">
        <v>4070</v>
      </c>
      <c r="B143" s="840" t="str">
        <f>混凝土!E359</f>
        <v>现浇C25混凝土闸底板</v>
      </c>
      <c r="C143" s="820" t="s">
        <v>521</v>
      </c>
      <c r="D143" s="822">
        <f t="shared" si="20"/>
        <v>57443.4769514981</v>
      </c>
      <c r="E143" s="822">
        <f>混凝土!G366</f>
        <v>10790.86</v>
      </c>
      <c r="F143" s="822">
        <f>混凝土!G369</f>
        <v>21180.20299425</v>
      </c>
      <c r="G143" s="822">
        <f>混凝土!G379</f>
        <v>1138.84478923115</v>
      </c>
      <c r="H143" s="822">
        <f>混凝土!G387</f>
        <v>2405.69714865489</v>
      </c>
      <c r="I143" s="822">
        <f>混凝土!G390</f>
        <v>2272.99871565671</v>
      </c>
      <c r="J143" s="822">
        <f>混凝土!G391</f>
        <v>3212.03131006238</v>
      </c>
      <c r="K143" s="822">
        <f>混凝土!G392</f>
        <v>2870.04444704986</v>
      </c>
      <c r="L143" s="822">
        <f>混凝土!G393</f>
        <v>7294.79396420345</v>
      </c>
      <c r="M143" s="822">
        <f>混凝土!G398</f>
        <v>4604.89260321976</v>
      </c>
      <c r="N143" s="823">
        <f t="shared" si="23"/>
        <v>1673.11097916985</v>
      </c>
      <c r="O143" s="851">
        <f>混凝土!G400</f>
        <v>57443.4769514981</v>
      </c>
      <c r="P143" s="868">
        <f t="shared" si="22"/>
        <v>0</v>
      </c>
      <c r="Q143" s="852">
        <v>159</v>
      </c>
      <c r="T143" s="853"/>
      <c r="U143" s="784"/>
    </row>
    <row r="144" s="785" customFormat="1" ht="20.1" hidden="1" customHeight="1" spans="1:21">
      <c r="A144" s="813">
        <v>4079</v>
      </c>
      <c r="B144" s="819" t="str">
        <f>混凝土!E404</f>
        <v>明渠混凝土无模浇筑（现浇C20底板厚15—25cm）</v>
      </c>
      <c r="C144" s="820" t="s">
        <v>521</v>
      </c>
      <c r="D144" s="821">
        <f t="shared" si="20"/>
        <v>47453.4737173262</v>
      </c>
      <c r="E144" s="821">
        <f>混凝土!G411</f>
        <v>6278.856</v>
      </c>
      <c r="F144" s="821">
        <f>混凝土!G414</f>
        <v>19146.797535</v>
      </c>
      <c r="G144" s="822">
        <f>混凝土!G418</f>
        <v>941.510072572796</v>
      </c>
      <c r="H144" s="821">
        <f>混凝土!G423</f>
        <v>2405.69714865489</v>
      </c>
      <c r="I144" s="821">
        <f>混凝土!G426</f>
        <v>1841.46308839857</v>
      </c>
      <c r="J144" s="821">
        <f>混凝土!G427</f>
        <v>2602.21752679323</v>
      </c>
      <c r="K144" s="821">
        <f>混凝土!G428</f>
        <v>2325.15789599936</v>
      </c>
      <c r="L144" s="821">
        <f>混凝土!G429</f>
        <v>6725.57936206914</v>
      </c>
      <c r="M144" s="821">
        <f>混凝土!G433</f>
        <v>3804.05507665392</v>
      </c>
      <c r="N144" s="823">
        <f t="shared" si="23"/>
        <v>1382.14001118426</v>
      </c>
      <c r="O144" s="824">
        <f>混凝土!G435</f>
        <v>47453.4737173262</v>
      </c>
      <c r="P144" s="825">
        <f t="shared" si="22"/>
        <v>0</v>
      </c>
      <c r="Q144" s="785">
        <v>161</v>
      </c>
      <c r="T144" s="826"/>
    </row>
    <row r="145" s="785" customFormat="1" ht="20.1" hidden="1" customHeight="1" spans="1:21">
      <c r="A145" s="813">
        <v>4079</v>
      </c>
      <c r="B145" s="819" t="str">
        <f>混凝土!E437</f>
        <v>明渠混凝土无模浇筑（现浇C25底板厚15—25cm）</v>
      </c>
      <c r="C145" s="815" t="s">
        <v>521</v>
      </c>
      <c r="D145" s="820">
        <f t="shared" si="20"/>
        <v>48952.8497951181</v>
      </c>
      <c r="E145" s="821">
        <f>混凝土!G444</f>
        <v>6278.856</v>
      </c>
      <c r="F145" s="821">
        <f>混凝土!G447</f>
        <v>19848.24865</v>
      </c>
      <c r="G145" s="821">
        <f>混凝土!G451</f>
        <v>941.510072572796</v>
      </c>
      <c r="H145" s="822">
        <f>混凝土!G456</f>
        <v>2405.69714865489</v>
      </c>
      <c r="I145" s="821">
        <f>混凝土!G459</f>
        <v>1886.35595975857</v>
      </c>
      <c r="J145" s="821">
        <f>混凝土!G460</f>
        <v>2665.65676563383</v>
      </c>
      <c r="K145" s="821">
        <f>混凝土!G461</f>
        <v>2381.84272176341</v>
      </c>
      <c r="L145" s="821">
        <f>混凝土!G462</f>
        <v>7194.6204211</v>
      </c>
      <c r="M145" s="821">
        <f>混凝土!G466</f>
        <v>3924.25089655352</v>
      </c>
      <c r="N145" s="823">
        <f t="shared" si="23"/>
        <v>1425.81115908111</v>
      </c>
      <c r="O145" s="869">
        <f>混凝土!G468</f>
        <v>48952.8497951182</v>
      </c>
      <c r="P145" s="824">
        <f t="shared" si="22"/>
        <v>0</v>
      </c>
      <c r="Q145" s="825"/>
      <c r="U145" s="826"/>
    </row>
    <row r="146" s="787" customFormat="1" ht="20.1" hidden="1" customHeight="1" spans="1:21">
      <c r="A146" s="813">
        <v>4081</v>
      </c>
      <c r="B146" s="867" t="str">
        <f>混凝土!E472</f>
        <v>明渠混凝土无模浇筑（现浇C20边坡厚15—25cm）</v>
      </c>
      <c r="C146" s="820" t="s">
        <v>521</v>
      </c>
      <c r="D146" s="822">
        <f t="shared" si="20"/>
        <v>50102.1925321195</v>
      </c>
      <c r="E146" s="822">
        <f>混凝土!G479</f>
        <v>7770.066</v>
      </c>
      <c r="F146" s="822">
        <f>混凝土!G482</f>
        <v>19565.51551035</v>
      </c>
      <c r="G146" s="822">
        <f>混凝土!G487</f>
        <v>941.510072572796</v>
      </c>
      <c r="H146" s="822">
        <f>混凝土!G492</f>
        <v>2405.69714865489</v>
      </c>
      <c r="I146" s="822">
        <f>混凝土!G495</f>
        <v>1963.69847882097</v>
      </c>
      <c r="J146" s="822">
        <f>混凝土!G496</f>
        <v>2774.95141288389</v>
      </c>
      <c r="K146" s="822">
        <f>混凝土!G497</f>
        <v>2479.50070362978</v>
      </c>
      <c r="L146" s="822">
        <f>混凝土!G498</f>
        <v>6725.57936206914</v>
      </c>
      <c r="M146" s="822">
        <f>混凝土!G502</f>
        <v>4016.38668200834</v>
      </c>
      <c r="N146" s="823">
        <f t="shared" si="23"/>
        <v>1459.28716112969</v>
      </c>
      <c r="O146" s="851"/>
      <c r="P146" s="868">
        <f t="shared" si="22"/>
        <v>50102.1925321195</v>
      </c>
      <c r="Q146" s="848"/>
      <c r="T146" s="849"/>
      <c r="U146" s="784"/>
    </row>
    <row r="147" s="787" customFormat="1" ht="20.1" hidden="1" customHeight="1" spans="1:21">
      <c r="A147" s="813">
        <v>4081</v>
      </c>
      <c r="B147" s="867" t="str">
        <f>混凝土!E507</f>
        <v>明渠混凝土无模浇筑（现浇C25边坡厚15—25cm）</v>
      </c>
      <c r="C147" s="820" t="s">
        <v>521</v>
      </c>
      <c r="D147" s="822">
        <f t="shared" si="20"/>
        <v>51611.2964467196</v>
      </c>
      <c r="E147" s="822">
        <f>混凝土!G514</f>
        <v>7770.066</v>
      </c>
      <c r="F147" s="822">
        <f>混凝土!G517</f>
        <v>20273.9811365</v>
      </c>
      <c r="G147" s="822">
        <f>混凝土!G522</f>
        <v>941.510072572796</v>
      </c>
      <c r="H147" s="822">
        <f>混凝土!G527</f>
        <v>2405.69714865489</v>
      </c>
      <c r="I147" s="822">
        <f>混凝土!G530</f>
        <v>2009.04027889457</v>
      </c>
      <c r="J147" s="822">
        <f>混凝土!G531</f>
        <v>2839.02504411289</v>
      </c>
      <c r="K147" s="822">
        <f>混凝土!G532</f>
        <v>2536.75237765146</v>
      </c>
      <c r="L147" s="822">
        <f>混凝土!G533</f>
        <v>7194.6204211</v>
      </c>
      <c r="M147" s="822">
        <f>混凝土!G537</f>
        <v>4137.3623231538</v>
      </c>
      <c r="N147" s="823">
        <f t="shared" si="23"/>
        <v>1503.24164407921</v>
      </c>
      <c r="O147" s="851">
        <f>混凝土!G539</f>
        <v>51611.2964467197</v>
      </c>
      <c r="P147" s="868">
        <f t="shared" si="22"/>
        <v>0</v>
      </c>
      <c r="Q147" s="848">
        <v>161</v>
      </c>
      <c r="T147" s="849"/>
      <c r="U147" s="784"/>
    </row>
    <row r="148" s="787" customFormat="1" ht="20.1" hidden="1" customHeight="1" spans="1:21">
      <c r="A148" s="813">
        <v>4087</v>
      </c>
      <c r="B148" s="867" t="str">
        <f>混凝土!E542</f>
        <v>现浇C25混凝箱涵</v>
      </c>
      <c r="C148" s="820" t="s">
        <v>521</v>
      </c>
      <c r="D148" s="822">
        <f t="shared" si="20"/>
        <v>57625.868464042</v>
      </c>
      <c r="E148" s="822">
        <f>混凝土!G549</f>
        <v>9795.572</v>
      </c>
      <c r="F148" s="822">
        <f>混凝土!G552</f>
        <v>22235.996247</v>
      </c>
      <c r="G148" s="822">
        <f>混凝土!G563</f>
        <v>1183.23514640415</v>
      </c>
      <c r="H148" s="822">
        <f>混凝土!G572</f>
        <v>2405.69714865489</v>
      </c>
      <c r="I148" s="822">
        <f>混凝土!G575</f>
        <v>2279.71203469178</v>
      </c>
      <c r="J148" s="822">
        <f>混凝土!G576</f>
        <v>3221.51806902382</v>
      </c>
      <c r="K148" s="822">
        <f>混凝土!G577</f>
        <v>2878.52114520423</v>
      </c>
      <c r="L148" s="822">
        <f>混凝土!G578</f>
        <v>7327.67950326004</v>
      </c>
      <c r="M148" s="822">
        <f>混凝土!G584</f>
        <v>4619.5138164815</v>
      </c>
      <c r="N148" s="823">
        <f t="shared" si="23"/>
        <v>1678.42335332161</v>
      </c>
      <c r="O148" s="851">
        <f>混凝土!G586</f>
        <v>57625.868464042</v>
      </c>
      <c r="P148" s="868">
        <f t="shared" si="22"/>
        <v>0</v>
      </c>
      <c r="Q148" s="848"/>
      <c r="T148" s="849"/>
      <c r="U148" s="784"/>
    </row>
    <row r="149" s="787" customFormat="1" ht="20.1" hidden="1" customHeight="1" spans="1:21">
      <c r="A149" s="813">
        <v>4100</v>
      </c>
      <c r="B149" s="867" t="str">
        <f>混凝土!E593</f>
        <v>现浇C25混凝土矩形梁</v>
      </c>
      <c r="C149" s="820" t="s">
        <v>521</v>
      </c>
      <c r="D149" s="822">
        <f t="shared" si="20"/>
        <v>85525.6997695611</v>
      </c>
      <c r="E149" s="822">
        <f>混凝土!G600</f>
        <v>23058.067</v>
      </c>
      <c r="F149" s="822">
        <f>混凝土!G603</f>
        <v>27939.342036</v>
      </c>
      <c r="G149" s="822">
        <f>混凝土!G612</f>
        <v>1853.09651983406</v>
      </c>
      <c r="H149" s="822">
        <f>混凝土!G620</f>
        <v>2405.69714865489</v>
      </c>
      <c r="I149" s="822">
        <f>混凝土!G623</f>
        <v>3536.39697308729</v>
      </c>
      <c r="J149" s="822">
        <f>混凝土!G624</f>
        <v>4997.37097259398</v>
      </c>
      <c r="K149" s="822">
        <f>混凝土!G625</f>
        <v>4465.29794551191</v>
      </c>
      <c r="L149" s="822">
        <f>混凝土!G626</f>
        <v>7923.31853316897</v>
      </c>
      <c r="M149" s="822">
        <f>混凝土!G631</f>
        <v>6856.0728415966</v>
      </c>
      <c r="N149" s="823">
        <f t="shared" si="23"/>
        <v>2491.03979911343</v>
      </c>
      <c r="O149" s="851">
        <f>混凝土!G633</f>
        <v>85525.6997695611</v>
      </c>
      <c r="P149" s="868">
        <f t="shared" si="22"/>
        <v>0</v>
      </c>
      <c r="Q149" s="848"/>
      <c r="T149" s="849"/>
      <c r="U149" s="784"/>
    </row>
    <row r="150" s="787" customFormat="1" ht="20.1" hidden="1" customHeight="1" spans="1:21">
      <c r="A150" s="813">
        <v>4108</v>
      </c>
      <c r="B150" s="867" t="str">
        <f>混凝土!E636</f>
        <v>现浇C25混凝土矩形柱</v>
      </c>
      <c r="C150" s="820" t="s">
        <v>521</v>
      </c>
      <c r="D150" s="822">
        <f t="shared" si="20"/>
        <v>78412.0177017033</v>
      </c>
      <c r="E150" s="822">
        <f>混凝土!G643</f>
        <v>21991.916</v>
      </c>
      <c r="F150" s="822">
        <f>混凝土!G646</f>
        <v>24523.3973595</v>
      </c>
      <c r="G150" s="822">
        <f>混凝土!G654</f>
        <v>1732.80149890706</v>
      </c>
      <c r="H150" s="822">
        <f>混凝土!G661</f>
        <v>2405.69714865489</v>
      </c>
      <c r="I150" s="822">
        <f>混凝土!G664</f>
        <v>3241.84396845196</v>
      </c>
      <c r="J150" s="822">
        <f>混凝土!G665</f>
        <v>4581.13075791868</v>
      </c>
      <c r="K150" s="822">
        <f>混凝土!G666</f>
        <v>4093.37507134028</v>
      </c>
      <c r="L150" s="822">
        <f>混凝土!G667</f>
        <v>7272.19831075517</v>
      </c>
      <c r="M150" s="822">
        <f>混凝土!G672</f>
        <v>6285.81241039752</v>
      </c>
      <c r="N150" s="823">
        <f t="shared" si="23"/>
        <v>2283.84517577777</v>
      </c>
      <c r="O150" s="851">
        <f>混凝土!G674</f>
        <v>78412.0177017033</v>
      </c>
      <c r="P150" s="868">
        <f t="shared" si="22"/>
        <v>0</v>
      </c>
      <c r="Q150" s="848"/>
      <c r="T150" s="849"/>
      <c r="U150" s="784"/>
    </row>
    <row r="151" s="787" customFormat="1" ht="20.1" hidden="1" customHeight="1" spans="1:21">
      <c r="A151" s="813">
        <v>4121</v>
      </c>
      <c r="B151" s="867" t="str">
        <f>混凝土!E677</f>
        <v>现浇C20圬工砌体外包混凝土</v>
      </c>
      <c r="C151" s="820" t="s">
        <v>521</v>
      </c>
      <c r="D151" s="822">
        <f t="shared" si="20"/>
        <v>58966.3443293493</v>
      </c>
      <c r="E151" s="822">
        <f>混凝土!G684</f>
        <v>9260.796</v>
      </c>
      <c r="F151" s="822">
        <f>混凝土!G687</f>
        <v>23834.7693027</v>
      </c>
      <c r="G151" s="822">
        <f>混凝土!G697</f>
        <v>1554.14070110092</v>
      </c>
      <c r="H151" s="822">
        <f>混凝土!G704</f>
        <v>2405.69714865489</v>
      </c>
      <c r="I151" s="822">
        <f>混凝土!G707</f>
        <v>2371.54580175717</v>
      </c>
      <c r="J151" s="822">
        <f>混凝土!G708</f>
        <v>3351.2906611081</v>
      </c>
      <c r="K151" s="822">
        <f>混凝土!G709</f>
        <v>2994.47677307248</v>
      </c>
      <c r="L151" s="822">
        <f>混凝土!G710</f>
        <v>6749.19002413811</v>
      </c>
      <c r="M151" s="822">
        <f>混凝土!G715</f>
        <v>4726.97157712785</v>
      </c>
      <c r="N151" s="823">
        <f t="shared" si="23"/>
        <v>1717.46633968979</v>
      </c>
      <c r="O151" s="851">
        <f>混凝土!G717</f>
        <v>58966.3443293493</v>
      </c>
      <c r="P151" s="868">
        <f t="shared" si="22"/>
        <v>0</v>
      </c>
      <c r="Q151" s="848"/>
      <c r="T151" s="849"/>
      <c r="U151" s="784"/>
    </row>
    <row r="152" s="787" customFormat="1" ht="20.1" customHeight="1" spans="1:21">
      <c r="A152" s="813">
        <v>4124</v>
      </c>
      <c r="B152" s="867" t="str">
        <f>混凝土!E719</f>
        <v>现浇C20工混凝土台帽</v>
      </c>
      <c r="C152" s="820" t="s">
        <v>521</v>
      </c>
      <c r="D152" s="822">
        <f t="shared" si="20"/>
        <v>53485.5209563699</v>
      </c>
      <c r="E152" s="822">
        <f>混凝土!G726</f>
        <v>7794.277</v>
      </c>
      <c r="F152" s="822">
        <f>混凝土!G729</f>
        <v>21618.0410937</v>
      </c>
      <c r="G152" s="822">
        <f>混凝土!G739</f>
        <v>1289.39274362385</v>
      </c>
      <c r="H152" s="822">
        <f>混凝土!G746</f>
        <v>2405.69714865489</v>
      </c>
      <c r="I152" s="822">
        <f>混凝土!G749</f>
        <v>2118.87411110264</v>
      </c>
      <c r="J152" s="822">
        <f>混凝土!G750</f>
        <v>2994.23397825192</v>
      </c>
      <c r="K152" s="822">
        <f>混凝土!G751</f>
        <v>2675.43612527333</v>
      </c>
      <c r="L152" s="822">
        <f>混凝土!G752</f>
        <v>6744.1305965519</v>
      </c>
      <c r="M152" s="822">
        <f>混凝土!G757</f>
        <v>4287.60745174427</v>
      </c>
      <c r="N152" s="823">
        <f t="shared" si="23"/>
        <v>1557.83070746708</v>
      </c>
      <c r="O152" s="851">
        <f>混凝土!G759</f>
        <v>53485.5209563699</v>
      </c>
      <c r="P152" s="868">
        <f t="shared" si="22"/>
        <v>0</v>
      </c>
      <c r="Q152" s="848"/>
      <c r="T152" s="849"/>
      <c r="U152" s="850"/>
    </row>
    <row r="153" s="787" customFormat="1" ht="20.1" hidden="1" customHeight="1" spans="1:21">
      <c r="A153" s="813">
        <v>4132</v>
      </c>
      <c r="B153" s="867" t="str">
        <f>混凝土!E924</f>
        <v>现浇C15混凝土小型构筑物</v>
      </c>
      <c r="C153" s="820" t="s">
        <v>521</v>
      </c>
      <c r="D153" s="822">
        <f t="shared" si="20"/>
        <v>98016.6090778959</v>
      </c>
      <c r="E153" s="822">
        <f>混凝土!G931</f>
        <v>32722.018</v>
      </c>
      <c r="F153" s="822">
        <f>混凝土!G934</f>
        <v>32210.512841772</v>
      </c>
      <c r="G153" s="822">
        <f>混凝土!G944</f>
        <v>1023.43176844037</v>
      </c>
      <c r="H153" s="822"/>
      <c r="I153" s="822">
        <f>混凝土!G949</f>
        <v>4221.18160705359</v>
      </c>
      <c r="J153" s="822">
        <f>混凝土!G950</f>
        <v>5965.05725846761</v>
      </c>
      <c r="K153" s="822">
        <f>混凝土!G951</f>
        <v>5329.95410330135</v>
      </c>
      <c r="L153" s="822">
        <f>混凝土!G952</f>
        <v>5832.20807812724</v>
      </c>
      <c r="M153" s="822">
        <f>混凝土!G956</f>
        <v>7857.39272914459</v>
      </c>
      <c r="N153" s="823">
        <f t="shared" si="23"/>
        <v>2854.8526915892</v>
      </c>
      <c r="O153" s="851">
        <f>混凝土!G958</f>
        <v>98016.6090778959</v>
      </c>
      <c r="P153" s="868">
        <f t="shared" si="22"/>
        <v>0</v>
      </c>
      <c r="Q153" s="848"/>
      <c r="T153" s="849"/>
      <c r="U153" s="850"/>
    </row>
    <row r="154" s="787" customFormat="1" ht="20.1" hidden="1" customHeight="1" spans="1:21">
      <c r="A154" s="813">
        <v>4191</v>
      </c>
      <c r="B154" s="867" t="str">
        <f>混凝土!E886</f>
        <v>预制C25混凝土板安装（包含预制、运输）</v>
      </c>
      <c r="C154" s="820" t="s">
        <v>521</v>
      </c>
      <c r="D154" s="822">
        <f t="shared" si="20"/>
        <v>94812.9477871514</v>
      </c>
      <c r="E154" s="822">
        <f>混凝土!G893</f>
        <v>3650.67</v>
      </c>
      <c r="F154" s="822">
        <f>混凝土!G896</f>
        <v>52701.4555513649</v>
      </c>
      <c r="G154" s="822">
        <f>混凝土!G903</f>
        <v>2181.66994063622</v>
      </c>
      <c r="H154" s="822">
        <f>混凝土!G908</f>
        <v>2382.34086565824</v>
      </c>
      <c r="I154" s="822">
        <f>混凝土!G911</f>
        <v>3898.6327268902</v>
      </c>
      <c r="J154" s="822">
        <f>混凝土!G912</f>
        <v>5509.25537218671</v>
      </c>
      <c r="K154" s="822">
        <f>混凝土!G913</f>
        <v>4922.68171197154</v>
      </c>
      <c r="L154" s="822">
        <f>混凝土!G914</f>
        <v>9204.12467403866</v>
      </c>
      <c r="M154" s="822">
        <f>混凝土!G919</f>
        <v>7600.57477584718</v>
      </c>
      <c r="N154" s="823">
        <f t="shared" si="23"/>
        <v>2761.54216855781</v>
      </c>
      <c r="O154" s="851">
        <f>混凝土!G921</f>
        <v>94812.9477871514</v>
      </c>
      <c r="P154" s="868"/>
      <c r="Q154" s="848">
        <v>191</v>
      </c>
      <c r="T154" s="849"/>
      <c r="U154" s="850"/>
    </row>
    <row r="155" s="787" customFormat="1" ht="20.1" hidden="1" customHeight="1" spans="1:21">
      <c r="A155" s="813">
        <v>4182</v>
      </c>
      <c r="B155" s="867" t="str">
        <f>混凝土!E961</f>
        <v>小型构件（预制C20）</v>
      </c>
      <c r="C155" s="820" t="s">
        <v>521</v>
      </c>
      <c r="D155" s="822">
        <f t="shared" si="20"/>
        <v>66842.0513206986</v>
      </c>
      <c r="E155" s="822">
        <f>混凝土!G968</f>
        <v>18598.395</v>
      </c>
      <c r="F155" s="822">
        <f>混凝土!G971</f>
        <v>23184.5361912</v>
      </c>
      <c r="G155" s="822">
        <f>混凝土!G980</f>
        <v>1023.43176844037</v>
      </c>
      <c r="H155" s="822"/>
      <c r="I155" s="822">
        <f>混凝土!G985</f>
        <v>2739.60722941698</v>
      </c>
      <c r="J155" s="822">
        <f>混凝土!G986</f>
        <v>3871.40746606988</v>
      </c>
      <c r="K155" s="822">
        <f>混凝土!G987</f>
        <v>3459.21643585891</v>
      </c>
      <c r="L155" s="822">
        <f>混凝土!G988</f>
        <v>6660.28247505876</v>
      </c>
      <c r="M155" s="822">
        <f>混凝土!G992</f>
        <v>5358.31889094404</v>
      </c>
      <c r="N155" s="823">
        <f t="shared" si="23"/>
        <v>1946.85586370967</v>
      </c>
      <c r="O155" s="851"/>
      <c r="P155" s="868">
        <f t="shared" ref="P155:P168" si="24">D155-O155</f>
        <v>66842.0513206986</v>
      </c>
      <c r="Q155" s="848">
        <v>188</v>
      </c>
      <c r="T155" s="849"/>
      <c r="U155" s="784"/>
    </row>
    <row r="156" s="787" customFormat="1" ht="20.1" hidden="1" customHeight="1" spans="1:21">
      <c r="A156" s="813"/>
      <c r="B156" s="867" t="str">
        <f>混凝土!E997</f>
        <v>小型预制构件安装</v>
      </c>
      <c r="C156" s="820" t="s">
        <v>521</v>
      </c>
      <c r="D156" s="822">
        <f t="shared" si="20"/>
        <v>25180.9267301474</v>
      </c>
      <c r="E156" s="822">
        <f>混凝土!G1004</f>
        <v>9130.32</v>
      </c>
      <c r="F156" s="822">
        <f>混凝土!G1006</f>
        <v>5277.0542217834</v>
      </c>
      <c r="G156" s="822">
        <f>混凝土!G1015</f>
        <v>2654.92655446111</v>
      </c>
      <c r="H156" s="822"/>
      <c r="I156" s="822">
        <f>混凝土!G1022</f>
        <v>1279.70746514626</v>
      </c>
      <c r="J156" s="822">
        <f>混凝土!G1023</f>
        <v>1808.38661168481</v>
      </c>
      <c r="K156" s="822">
        <f>混凝土!G1024</f>
        <v>1615.8466253819</v>
      </c>
      <c r="L156" s="822">
        <f>混凝土!G1025</f>
        <v>420.474234161599</v>
      </c>
      <c r="M156" s="822">
        <f>混凝土!G1029</f>
        <v>2260.78596713565</v>
      </c>
      <c r="N156" s="823">
        <f t="shared" si="23"/>
        <v>733.425050392642</v>
      </c>
      <c r="O156" s="851"/>
      <c r="P156" s="868">
        <f t="shared" si="24"/>
        <v>25180.9267301474</v>
      </c>
      <c r="Q156" s="848"/>
      <c r="T156" s="849"/>
      <c r="U156" s="850"/>
    </row>
    <row r="157" s="787" customFormat="1" ht="20.1" hidden="1" customHeight="1" spans="1:21">
      <c r="A157" s="813">
        <v>4219</v>
      </c>
      <c r="B157" s="867" t="str">
        <f>混凝土!E1034</f>
        <v>人工装、卸手扶拖拉机运混凝土预制件（运距：2km）</v>
      </c>
      <c r="C157" s="820" t="s">
        <v>521</v>
      </c>
      <c r="D157" s="822">
        <f t="shared" si="20"/>
        <v>5028.07781735994</v>
      </c>
      <c r="E157" s="822">
        <f>混凝土!G1041</f>
        <v>1018.982</v>
      </c>
      <c r="F157" s="822">
        <f>混凝土!G1043</f>
        <v>80.292221147507</v>
      </c>
      <c r="G157" s="822">
        <f>混凝土!G1045</f>
        <v>1657.42537158357</v>
      </c>
      <c r="H157" s="822"/>
      <c r="I157" s="822">
        <f>混凝土!G1047</f>
        <v>176.428773934789</v>
      </c>
      <c r="J157" s="822">
        <f>混凝土!G1048</f>
        <v>249.315911166598</v>
      </c>
      <c r="K157" s="822">
        <f>混凝土!G1049</f>
        <v>222.771099448272</v>
      </c>
      <c r="L157" s="822">
        <f>混凝土!G1050</f>
        <v>1073.34329142857</v>
      </c>
      <c r="M157" s="822">
        <f>混凝土!G1052</f>
        <v>403.070280183837</v>
      </c>
      <c r="N157" s="823">
        <f t="shared" si="23"/>
        <v>146.448868466794</v>
      </c>
      <c r="O157" s="851"/>
      <c r="P157" s="868">
        <f t="shared" si="24"/>
        <v>5028.07781735994</v>
      </c>
      <c r="Q157" s="848"/>
      <c r="T157" s="849"/>
      <c r="U157" s="784"/>
    </row>
    <row r="158" s="787" customFormat="1" ht="20.1" hidden="1" customHeight="1" spans="1:21">
      <c r="A158" s="813">
        <v>4220</v>
      </c>
      <c r="B158" s="867" t="str">
        <f>混凝土!E1057</f>
        <v>人工装、卸手扶拖拉机运混凝土预制件（运距：5km）</v>
      </c>
      <c r="C158" s="820" t="s">
        <v>521</v>
      </c>
      <c r="D158" s="822">
        <f t="shared" si="20"/>
        <v>7621.05256310272</v>
      </c>
      <c r="E158" s="822">
        <f>混凝土!G1064</f>
        <v>1018.982</v>
      </c>
      <c r="F158" s="822">
        <f>混凝土!G1066</f>
        <v>116.381321980375</v>
      </c>
      <c r="G158" s="822">
        <f>混凝土!G1068</f>
        <v>2860.39539934583</v>
      </c>
      <c r="H158" s="822"/>
      <c r="I158" s="822">
        <f>混凝土!G1070</f>
        <v>255.728558164877</v>
      </c>
      <c r="J158" s="822">
        <f>混凝土!G1071</f>
        <v>361.376418756742</v>
      </c>
      <c r="K158" s="822">
        <f>混凝土!G1072</f>
        <v>322.900458877348</v>
      </c>
      <c r="L158" s="822">
        <f>混凝土!G1073</f>
        <v>1852.38277714286</v>
      </c>
      <c r="M158" s="822">
        <f>混凝土!G1075</f>
        <v>610.933224084122</v>
      </c>
      <c r="N158" s="823">
        <f t="shared" si="23"/>
        <v>221.972404750565</v>
      </c>
      <c r="O158" s="851">
        <f>混凝土!G1077</f>
        <v>7621.05256310271</v>
      </c>
      <c r="P158" s="868">
        <f t="shared" si="24"/>
        <v>8.18545231595635e-12</v>
      </c>
      <c r="Q158" s="848">
        <v>198</v>
      </c>
      <c r="T158" s="849"/>
      <c r="U158" s="784"/>
    </row>
    <row r="159" s="787" customFormat="1" ht="20.1" hidden="1" customHeight="1" spans="1:21">
      <c r="A159" s="813">
        <v>4223</v>
      </c>
      <c r="B159" s="867" t="str">
        <f>混凝土!E1085</f>
        <v>机械装车、汽车运输混凝土构件（运距：5km）</v>
      </c>
      <c r="C159" s="820" t="s">
        <v>521</v>
      </c>
      <c r="D159" s="822">
        <f t="shared" si="20"/>
        <v>8798.29392155968</v>
      </c>
      <c r="E159" s="822">
        <f>混凝土!G1092</f>
        <v>599.761</v>
      </c>
      <c r="F159" s="822">
        <f>混凝土!G1095</f>
        <v>319.621875</v>
      </c>
      <c r="G159" s="822">
        <f>混凝土!G1099</f>
        <v>3431.03261975022</v>
      </c>
      <c r="H159" s="822"/>
      <c r="I159" s="822">
        <f>混凝土!G1103</f>
        <v>278.426591664014</v>
      </c>
      <c r="J159" s="822">
        <f>混凝土!G1104</f>
        <v>393.45157734521</v>
      </c>
      <c r="K159" s="822">
        <f>混凝土!G1105</f>
        <v>351.560556463161</v>
      </c>
      <c r="L159" s="822">
        <f>混凝土!G1106</f>
        <v>2462.8732417527</v>
      </c>
      <c r="M159" s="822">
        <f>混凝土!G1109</f>
        <v>705.305471577778</v>
      </c>
      <c r="N159" s="823">
        <f t="shared" si="23"/>
        <v>256.260988006593</v>
      </c>
      <c r="O159" s="851">
        <f>混凝土!G1111</f>
        <v>8798.29392155968</v>
      </c>
      <c r="P159" s="868">
        <f t="shared" si="24"/>
        <v>0</v>
      </c>
      <c r="Q159" s="848">
        <v>199</v>
      </c>
      <c r="T159" s="849"/>
      <c r="U159" s="850"/>
    </row>
    <row r="160" s="787" customFormat="1" ht="18.95" customHeight="1" spans="1:21">
      <c r="A160" s="813">
        <v>4267</v>
      </c>
      <c r="B160" s="867" t="str">
        <f>混凝土!E1114</f>
        <v>钢筋制作安装</v>
      </c>
      <c r="C160" s="820" t="s">
        <v>204</v>
      </c>
      <c r="D160" s="822">
        <f t="shared" si="20"/>
        <v>7391.99292253031</v>
      </c>
      <c r="E160" s="822">
        <f>混凝土!G1121</f>
        <v>814.076</v>
      </c>
      <c r="F160" s="822">
        <f>混凝土!G1124</f>
        <v>2709.247634</v>
      </c>
      <c r="G160" s="822">
        <f>混凝土!G1129</f>
        <v>569.336246804946</v>
      </c>
      <c r="H160" s="822"/>
      <c r="I160" s="822">
        <f>混凝土!G1139</f>
        <v>261.930232371517</v>
      </c>
      <c r="J160" s="822">
        <f>混凝土!G1140</f>
        <v>217.729505658823</v>
      </c>
      <c r="K160" s="822">
        <f>混凝土!G1141</f>
        <v>320.06237331847</v>
      </c>
      <c r="L160" s="822">
        <f>混凝土!G1142</f>
        <v>1691.73925353103</v>
      </c>
      <c r="M160" s="822">
        <f>混凝土!G1145</f>
        <v>592.570912111631</v>
      </c>
      <c r="N160" s="823">
        <f t="shared" si="23"/>
        <v>215.300764733893</v>
      </c>
      <c r="O160" s="851"/>
      <c r="P160" s="868">
        <f t="shared" si="24"/>
        <v>7391.99292253031</v>
      </c>
      <c r="Q160" s="848"/>
      <c r="T160" s="849"/>
      <c r="U160" s="784"/>
    </row>
    <row r="161" s="787" customFormat="1" ht="20.1" hidden="1" customHeight="1" spans="1:21">
      <c r="A161" s="813">
        <v>8104</v>
      </c>
      <c r="B161" s="867" t="str">
        <f>混凝土!E1175</f>
        <v>钢栏杆制作安装</v>
      </c>
      <c r="C161" s="820" t="s">
        <v>204</v>
      </c>
      <c r="D161" s="822">
        <f t="shared" si="20"/>
        <v>8661.36491475608</v>
      </c>
      <c r="E161" s="822">
        <f>混凝土!G1182</f>
        <v>1640.569</v>
      </c>
      <c r="F161" s="822">
        <f>混凝土!G1185</f>
        <v>2882.624234</v>
      </c>
      <c r="G161" s="822">
        <f>混凝土!G1191</f>
        <v>481.784709686877</v>
      </c>
      <c r="H161" s="822"/>
      <c r="I161" s="822">
        <f>混凝土!G1195</f>
        <v>320.31858839596</v>
      </c>
      <c r="J161" s="822">
        <f>混凝土!G1196</f>
        <v>266.264826604142</v>
      </c>
      <c r="K161" s="822">
        <f>混凝土!G1197</f>
        <v>391.409295108089</v>
      </c>
      <c r="L161" s="822">
        <f>混凝土!G1198</f>
        <v>1731.7927868</v>
      </c>
      <c r="M161" s="822">
        <f>混凝土!G1200</f>
        <v>694.328709653556</v>
      </c>
      <c r="N161" s="823">
        <f t="shared" si="23"/>
        <v>252.272764507459</v>
      </c>
      <c r="O161" s="851">
        <f>混凝土!G1202</f>
        <v>8661.36491475609</v>
      </c>
      <c r="P161" s="868">
        <f t="shared" si="24"/>
        <v>0</v>
      </c>
      <c r="Q161" s="848">
        <v>365</v>
      </c>
      <c r="T161" s="849"/>
      <c r="U161" s="784"/>
    </row>
    <row r="162" s="787" customFormat="1" ht="20.1" hidden="1" customHeight="1" spans="1:21">
      <c r="A162" s="813">
        <v>4273</v>
      </c>
      <c r="B162" s="867" t="str">
        <f>混凝土!E1206</f>
        <v> 651止水带</v>
      </c>
      <c r="C162" s="820" t="s">
        <v>642</v>
      </c>
      <c r="D162" s="822">
        <f t="shared" si="20"/>
        <v>17644.6550530649</v>
      </c>
      <c r="E162" s="822">
        <f>混凝土!G1213</f>
        <v>1279.84</v>
      </c>
      <c r="F162" s="822">
        <f>混凝土!G1216</f>
        <v>11443.3</v>
      </c>
      <c r="G162" s="822"/>
      <c r="H162" s="822"/>
      <c r="I162" s="822">
        <f>混凝土!G1219</f>
        <v>814.28096</v>
      </c>
      <c r="J162" s="822">
        <f>混凝土!G1220</f>
        <v>1150.6807816</v>
      </c>
      <c r="K162" s="822">
        <f>混凝土!G1221</f>
        <v>1028.167121912</v>
      </c>
      <c r="L162" s="822">
        <f>混凝土!G1222</f>
        <v>0</v>
      </c>
      <c r="M162" s="822">
        <f>混凝土!G1225</f>
        <v>1414.46419771608</v>
      </c>
      <c r="N162" s="823">
        <f t="shared" si="23"/>
        <v>513.921991836842</v>
      </c>
      <c r="O162" s="851">
        <f>混凝土!G1227</f>
        <v>17644.6550530649</v>
      </c>
      <c r="P162" s="868">
        <f t="shared" si="24"/>
        <v>0</v>
      </c>
      <c r="Q162" s="848"/>
      <c r="T162" s="849"/>
      <c r="U162" s="784"/>
    </row>
    <row r="163" s="787" customFormat="1" ht="20.1" hidden="1" customHeight="1" spans="1:21">
      <c r="A163" s="813">
        <v>6008</v>
      </c>
      <c r="B163" s="867" t="str">
        <f>堆砌石!E302</f>
        <v>风钻钻灌浆孔</v>
      </c>
      <c r="C163" s="820" t="s">
        <v>456</v>
      </c>
      <c r="D163" s="822">
        <f t="shared" si="20"/>
        <v>2602.43566601597</v>
      </c>
      <c r="E163" s="822">
        <f>堆砌石!G309</f>
        <v>708.97</v>
      </c>
      <c r="F163" s="822">
        <f>堆砌石!G312</f>
        <v>296.128139</v>
      </c>
      <c r="G163" s="822">
        <f>堆砌石!G317</f>
        <v>854.3186792501</v>
      </c>
      <c r="H163" s="822"/>
      <c r="I163" s="822">
        <f>堆砌石!G320</f>
        <v>119.002676368006</v>
      </c>
      <c r="J163" s="822">
        <f>堆砌石!G321</f>
        <v>187.94985198872</v>
      </c>
      <c r="K163" s="822">
        <f>堆砌石!G322</f>
        <v>151.645854262478</v>
      </c>
      <c r="L163" s="822"/>
      <c r="M163" s="822">
        <f>堆砌石!G323</f>
        <v>208.621368078237</v>
      </c>
      <c r="N163" s="823">
        <f t="shared" si="23"/>
        <v>75.7990970684262</v>
      </c>
      <c r="O163" s="851">
        <f>堆砌石!G325</f>
        <v>2602.43566601597</v>
      </c>
      <c r="P163" s="868">
        <f t="shared" si="24"/>
        <v>0</v>
      </c>
      <c r="Q163" s="848"/>
      <c r="T163" s="849"/>
      <c r="U163" s="784"/>
    </row>
    <row r="164" s="787" customFormat="1" ht="20.1" hidden="1" customHeight="1" spans="1:21">
      <c r="A164" s="813"/>
      <c r="B164" s="867" t="str">
        <f>混凝土!E1150</f>
        <v>铁件加工</v>
      </c>
      <c r="C164" s="870" t="s">
        <v>204</v>
      </c>
      <c r="D164" s="822">
        <f t="shared" si="20"/>
        <v>2667.62245932019</v>
      </c>
      <c r="E164" s="822">
        <f>混凝土!G1157</f>
        <v>1046.181</v>
      </c>
      <c r="F164" s="822">
        <f>混凝土!G1160</f>
        <v>224.668945</v>
      </c>
      <c r="G164" s="822">
        <f>混凝土!G1164</f>
        <v>716.827629058636</v>
      </c>
      <c r="H164" s="822"/>
      <c r="I164" s="822">
        <f>混凝土!G1167</f>
        <v>127.211364739753</v>
      </c>
      <c r="J164" s="822">
        <f>混凝土!G1168</f>
        <v>105.744446939919</v>
      </c>
      <c r="K164" s="822">
        <f>混凝土!G1169</f>
        <v>155.444337001682</v>
      </c>
      <c r="L164" s="822"/>
      <c r="M164" s="822">
        <f>混凝土!G1170</f>
        <v>213.846995046599</v>
      </c>
      <c r="N164" s="823">
        <f t="shared" si="23"/>
        <v>77.6977415335977</v>
      </c>
      <c r="O164" s="851"/>
      <c r="P164" s="868">
        <f t="shared" si="24"/>
        <v>2667.62245932019</v>
      </c>
      <c r="Q164" s="848"/>
      <c r="T164" s="849"/>
      <c r="U164" s="850"/>
    </row>
    <row r="165" s="787" customFormat="1" ht="20.1" hidden="1" customHeight="1" spans="1:21">
      <c r="A165" s="813"/>
      <c r="B165" s="867" t="str">
        <f>混凝土!E1229</f>
        <v>沥青砂浆伸缩缝</v>
      </c>
      <c r="C165" s="820" t="s">
        <v>558</v>
      </c>
      <c r="D165" s="822">
        <f t="shared" si="20"/>
        <v>7137.06957058554</v>
      </c>
      <c r="E165" s="822">
        <f>混凝土!G1236</f>
        <v>1773.09</v>
      </c>
      <c r="F165" s="822">
        <f>混凝土!G1239</f>
        <v>3277.51363</v>
      </c>
      <c r="G165" s="822"/>
      <c r="H165" s="822"/>
      <c r="I165" s="822">
        <f>混凝土!G1245</f>
        <v>323.23863232</v>
      </c>
      <c r="J165" s="822">
        <f>混凝土!G1246</f>
        <v>456.7765922972</v>
      </c>
      <c r="K165" s="822">
        <f>混凝土!G1247</f>
        <v>408.143319823204</v>
      </c>
      <c r="L165" s="822">
        <f>混凝土!G1248</f>
        <v>118.296319</v>
      </c>
      <c r="M165" s="822">
        <f>混凝土!G1251</f>
        <v>572.135264409636</v>
      </c>
      <c r="N165" s="823">
        <f t="shared" si="23"/>
        <v>207.875812735501</v>
      </c>
      <c r="O165" s="851"/>
      <c r="P165" s="868">
        <f t="shared" si="24"/>
        <v>7137.06957058554</v>
      </c>
      <c r="Q165" s="848"/>
      <c r="T165" s="849"/>
      <c r="U165" s="784"/>
    </row>
    <row r="166" s="787" customFormat="1" ht="20.1" hidden="1" customHeight="1" spans="1:21">
      <c r="A166" s="813">
        <v>8026</v>
      </c>
      <c r="B166" s="867" t="str">
        <f>混凝土!E1256</f>
        <v>φ75塑料管安装（粘接）</v>
      </c>
      <c r="C166" s="820" t="s">
        <v>269</v>
      </c>
      <c r="D166" s="822">
        <f t="shared" si="20"/>
        <v>65.712424355955</v>
      </c>
      <c r="E166" s="822">
        <f>混凝土!G1263</f>
        <v>31.169</v>
      </c>
      <c r="F166" s="822">
        <f>混凝土!G1266</f>
        <v>0</v>
      </c>
      <c r="G166" s="822"/>
      <c r="H166" s="822"/>
      <c r="I166" s="822">
        <f>混凝土!G1269</f>
        <v>1.714295</v>
      </c>
      <c r="J166" s="822">
        <f>混凝土!G1270</f>
        <v>21.8183</v>
      </c>
      <c r="K166" s="822">
        <f>混凝土!G1271</f>
        <v>3.82911165</v>
      </c>
      <c r="L166" s="822">
        <f>混凝土!G1272</f>
        <v>0</v>
      </c>
      <c r="M166" s="822">
        <f>混凝土!G1274</f>
        <v>5.2677635985</v>
      </c>
      <c r="N166" s="823">
        <f t="shared" si="23"/>
        <v>1.913954107455</v>
      </c>
      <c r="O166" s="851">
        <f>混凝土!G1276</f>
        <v>65.712424355955</v>
      </c>
      <c r="P166" s="868">
        <f t="shared" si="24"/>
        <v>0</v>
      </c>
      <c r="Q166" s="848"/>
      <c r="T166" s="849"/>
      <c r="U166" s="784"/>
    </row>
    <row r="167" s="787" customFormat="1" ht="20.1" hidden="1" customHeight="1" spans="1:21">
      <c r="A167" s="813">
        <v>8060</v>
      </c>
      <c r="B167" s="867" t="str">
        <f>混凝土!E1279</f>
        <v>φ600混凝土管安装（橡胶圈接口）</v>
      </c>
      <c r="C167" s="820" t="s">
        <v>456</v>
      </c>
      <c r="D167" s="822">
        <f t="shared" si="20"/>
        <v>33925.0853785611</v>
      </c>
      <c r="E167" s="822">
        <f>混凝土!G1286</f>
        <v>2064.069</v>
      </c>
      <c r="F167" s="822">
        <f>混凝土!G1289</f>
        <v>2759.5264055</v>
      </c>
      <c r="G167" s="822">
        <f>混凝土!G1297</f>
        <v>867.300111687276</v>
      </c>
      <c r="H167" s="822"/>
      <c r="I167" s="822">
        <f>混凝土!G1301</f>
        <v>312.9992534453</v>
      </c>
      <c r="J167" s="822">
        <f>混凝土!G1302</f>
        <v>1444.8483</v>
      </c>
      <c r="K167" s="822">
        <f>混凝土!G1303</f>
        <v>521.41201494428</v>
      </c>
      <c r="L167" s="822">
        <f>混凝土!G1304</f>
        <v>22247.2541765244</v>
      </c>
      <c r="M167" s="822">
        <f>混凝土!G1308</f>
        <v>2719.56683358911</v>
      </c>
      <c r="N167" s="823">
        <f t="shared" ref="N167:N199" si="25">SUM(E167:M167)*3%</f>
        <v>988.109282870711</v>
      </c>
      <c r="O167" s="851">
        <f>混凝土!G1310</f>
        <v>33925.0853785611</v>
      </c>
      <c r="P167" s="868">
        <f t="shared" si="24"/>
        <v>0</v>
      </c>
      <c r="Q167" s="848"/>
      <c r="T167" s="849"/>
      <c r="U167" s="850"/>
    </row>
    <row r="168" s="787" customFormat="1" ht="20.1" hidden="1" customHeight="1" spans="1:21">
      <c r="A168" s="813">
        <v>8061</v>
      </c>
      <c r="B168" s="867" t="str">
        <f>混凝土!E1313</f>
        <v>φ800混凝土管安装（橡胶圈接口）</v>
      </c>
      <c r="C168" s="820" t="s">
        <v>456</v>
      </c>
      <c r="D168" s="822">
        <f t="shared" si="20"/>
        <v>52306.4966288052</v>
      </c>
      <c r="E168" s="822">
        <f>混凝土!G1320</f>
        <v>2948.605</v>
      </c>
      <c r="F168" s="822">
        <f>混凝土!G1323</f>
        <v>3935.4593805</v>
      </c>
      <c r="G168" s="822">
        <f>混凝土!G1331</f>
        <v>1328.93281611488</v>
      </c>
      <c r="H168" s="822"/>
      <c r="I168" s="822">
        <f>混凝土!G1335</f>
        <v>451.714845813818</v>
      </c>
      <c r="J168" s="822">
        <f>混凝土!G1336</f>
        <v>2064.0235</v>
      </c>
      <c r="K168" s="822">
        <f>混凝土!G1337</f>
        <v>751.011487970009</v>
      </c>
      <c r="L168" s="822">
        <f>混凝土!G1338</f>
        <v>35110.1671308244</v>
      </c>
      <c r="M168" s="822">
        <f>混凝土!G1342</f>
        <v>4193.09227451008</v>
      </c>
      <c r="N168" s="823">
        <f t="shared" si="25"/>
        <v>1523.490193072</v>
      </c>
      <c r="O168" s="851">
        <f>混凝土!G1344</f>
        <v>52306.4966288052</v>
      </c>
      <c r="P168" s="868">
        <f t="shared" si="24"/>
        <v>0</v>
      </c>
      <c r="Q168" s="848"/>
      <c r="T168" s="849"/>
      <c r="U168" s="850"/>
    </row>
    <row r="169" s="787" customFormat="1" ht="20.1" hidden="1" customHeight="1" spans="1:21">
      <c r="A169" s="813">
        <v>9010</v>
      </c>
      <c r="B169" s="840" t="str">
        <f>堆砌石!E328</f>
        <v>铅丝笼块石护坡</v>
      </c>
      <c r="C169" s="820" t="s">
        <v>521</v>
      </c>
      <c r="D169" s="822">
        <f t="shared" si="20"/>
        <v>31999.7047637533</v>
      </c>
      <c r="E169" s="822">
        <f>堆砌石!G335</f>
        <v>3799.485</v>
      </c>
      <c r="F169" s="822">
        <f>堆砌石!G338</f>
        <v>16275.975</v>
      </c>
      <c r="G169" s="822">
        <f>堆砌石!G342</f>
        <v>63.6769206222576</v>
      </c>
      <c r="H169" s="822"/>
      <c r="I169" s="822">
        <f>堆砌石!G344</f>
        <v>966.678572189868</v>
      </c>
      <c r="J169" s="822">
        <f>堆砌石!G345</f>
        <v>1793.99431688903</v>
      </c>
      <c r="K169" s="822">
        <f>堆砌石!G346</f>
        <v>1602.98668667908</v>
      </c>
      <c r="L169" s="822">
        <f>堆砌石!G347</f>
        <v>5581.13352</v>
      </c>
      <c r="M169" s="822">
        <f>堆砌石!G350</f>
        <v>983.744511535633</v>
      </c>
      <c r="N169" s="823">
        <f t="shared" si="25"/>
        <v>932.030235837476</v>
      </c>
      <c r="O169" s="851" t="e">
        <f>堆砌石!#REF!</f>
        <v>#REF!</v>
      </c>
      <c r="P169" s="817" t="e">
        <f t="shared" ref="P169:P180" si="26">D169-O169</f>
        <v>#REF!</v>
      </c>
      <c r="Q169" s="848">
        <v>373</v>
      </c>
      <c r="T169" s="849"/>
      <c r="U169" s="784"/>
    </row>
    <row r="170" s="787" customFormat="1" ht="20.1" hidden="1" customHeight="1" spans="1:21">
      <c r="A170" s="813">
        <v>9011</v>
      </c>
      <c r="B170" s="840" t="str">
        <f>堆砌石!E354</f>
        <v>铅丝笼块石基础</v>
      </c>
      <c r="C170" s="820" t="s">
        <v>521</v>
      </c>
      <c r="D170" s="822">
        <f t="shared" si="20"/>
        <v>26737.8718624081</v>
      </c>
      <c r="E170" s="822">
        <f>堆砌石!G361</f>
        <v>2696.186</v>
      </c>
      <c r="F170" s="822">
        <f>堆砌石!G364</f>
        <v>12004.725</v>
      </c>
      <c r="G170" s="822">
        <f>堆砌石!G368</f>
        <v>60.9118946948544</v>
      </c>
      <c r="H170" s="822"/>
      <c r="I170" s="822">
        <f>堆砌石!G370</f>
        <v>944.756665260471</v>
      </c>
      <c r="J170" s="822">
        <f>堆砌石!G371</f>
        <v>1335.0592625962</v>
      </c>
      <c r="K170" s="822">
        <f>堆砌石!G372</f>
        <v>1192.91471757861</v>
      </c>
      <c r="L170" s="822">
        <f>堆砌石!G373</f>
        <v>5581.13352</v>
      </c>
      <c r="M170" s="822">
        <f>堆砌石!G375</f>
        <v>2143.41183541171</v>
      </c>
      <c r="N170" s="823">
        <f t="shared" si="25"/>
        <v>778.772966866255</v>
      </c>
      <c r="O170" s="851">
        <f>堆砌石!G377</f>
        <v>26737.8718624081</v>
      </c>
      <c r="P170" s="817">
        <f t="shared" si="26"/>
        <v>0</v>
      </c>
      <c r="Q170" s="848">
        <v>373</v>
      </c>
      <c r="T170" s="849"/>
      <c r="U170" s="784"/>
    </row>
    <row r="171" s="787" customFormat="1" ht="20.1" hidden="1" customHeight="1" spans="1:21">
      <c r="A171" s="813">
        <v>9012</v>
      </c>
      <c r="B171" s="840" t="str">
        <f>堆砌石!E381</f>
        <v>铅丝笼块石护脚</v>
      </c>
      <c r="C171" s="820" t="s">
        <v>521</v>
      </c>
      <c r="D171" s="822">
        <f t="shared" ref="D171:D180" si="27">SUM(E171:N171)</f>
        <v>28106.5307929531</v>
      </c>
      <c r="E171" s="822">
        <f>堆砌石!G388</f>
        <v>1754.657</v>
      </c>
      <c r="F171" s="822">
        <f>堆砌石!G391</f>
        <v>14449.435</v>
      </c>
      <c r="G171" s="822">
        <f>堆砌石!G395</f>
        <v>50.9903310729956</v>
      </c>
      <c r="H171" s="822"/>
      <c r="I171" s="822">
        <f>堆砌石!G397</f>
        <v>1040.32526918867</v>
      </c>
      <c r="J171" s="822">
        <f>堆砌石!G398</f>
        <v>1470.10964602224</v>
      </c>
      <c r="K171" s="822">
        <f>堆砌石!G399</f>
        <v>1313.58620723987</v>
      </c>
      <c r="L171" s="822">
        <f>堆砌石!G400</f>
        <v>4955.66166</v>
      </c>
      <c r="M171" s="822">
        <f>堆砌石!G403</f>
        <v>2253.12886021714</v>
      </c>
      <c r="N171" s="823">
        <f t="shared" si="25"/>
        <v>818.636819212227</v>
      </c>
      <c r="O171" s="851">
        <f>堆砌石!G405</f>
        <v>28106.5307929531</v>
      </c>
      <c r="P171" s="817">
        <f t="shared" si="26"/>
        <v>0</v>
      </c>
      <c r="Q171" s="848">
        <v>374</v>
      </c>
      <c r="T171" s="849"/>
      <c r="U171" s="850"/>
    </row>
    <row r="172" s="787" customFormat="1" ht="20.1" hidden="1" customHeight="1" spans="1:21">
      <c r="A172" s="813">
        <v>9015</v>
      </c>
      <c r="B172" s="840" t="str">
        <f>堆砌石!E408</f>
        <v>散抛石护脚</v>
      </c>
      <c r="C172" s="820" t="s">
        <v>521</v>
      </c>
      <c r="D172" s="822">
        <f t="shared" si="27"/>
        <v>17385.5706881901</v>
      </c>
      <c r="E172" s="822">
        <f>堆砌石!G415</f>
        <v>1245.953</v>
      </c>
      <c r="F172" s="822">
        <f>堆砌石!G418</f>
        <v>7224.42</v>
      </c>
      <c r="G172" s="822">
        <f>堆砌石!G421</f>
        <v>54.0806541683287</v>
      </c>
      <c r="H172" s="822"/>
      <c r="I172" s="822">
        <f>堆砌石!G423</f>
        <v>545.565033866773</v>
      </c>
      <c r="J172" s="822">
        <f>堆砌石!G424</f>
        <v>770.951588482984</v>
      </c>
      <c r="K172" s="822">
        <f>堆砌石!G425</f>
        <v>688.867919356266</v>
      </c>
      <c r="L172" s="822">
        <f>堆砌石!G426</f>
        <v>4955.66166</v>
      </c>
      <c r="M172" s="822">
        <f>堆砌石!G429</f>
        <v>1393.69498702869</v>
      </c>
      <c r="N172" s="823">
        <f t="shared" si="25"/>
        <v>506.375845287091</v>
      </c>
      <c r="O172" s="851">
        <f>堆砌石!G431</f>
        <v>17385.5706881901</v>
      </c>
      <c r="P172" s="817">
        <f t="shared" si="26"/>
        <v>0</v>
      </c>
      <c r="Q172" s="848">
        <v>375</v>
      </c>
      <c r="T172" s="849"/>
      <c r="U172" s="850"/>
    </row>
    <row r="173" s="787" customFormat="1" ht="20.1" hidden="1" customHeight="1" spans="1:21">
      <c r="A173" s="813">
        <v>9019</v>
      </c>
      <c r="B173" s="840" t="str">
        <f>土方!E145</f>
        <v>1m3挖掘机挖沟道淤泥</v>
      </c>
      <c r="C173" s="820" t="s">
        <v>521</v>
      </c>
      <c r="D173" s="822">
        <f t="shared" si="27"/>
        <v>619.96192348273</v>
      </c>
      <c r="E173" s="822">
        <f>土方!G152</f>
        <v>24.811</v>
      </c>
      <c r="F173" s="822">
        <f>土方!G155</f>
        <v>14.3338098306741</v>
      </c>
      <c r="G173" s="822">
        <f>土方!G157</f>
        <v>261.865196613482</v>
      </c>
      <c r="H173" s="822"/>
      <c r="I173" s="822">
        <f>土方!G159</f>
        <v>19.264640412426</v>
      </c>
      <c r="J173" s="822">
        <f>土方!G160</f>
        <v>16.0137323428291</v>
      </c>
      <c r="K173" s="822">
        <f>土方!G161</f>
        <v>23.5401865439588</v>
      </c>
      <c r="L173" s="822">
        <f>土方!G162</f>
        <v>192.377654513805</v>
      </c>
      <c r="M173" s="822">
        <f>土方!G164</f>
        <v>49.6985598231458</v>
      </c>
      <c r="N173" s="823">
        <f t="shared" si="25"/>
        <v>18.0571434024096</v>
      </c>
      <c r="O173" s="851">
        <f>土方!G166</f>
        <v>619.961923482731</v>
      </c>
      <c r="P173" s="817">
        <f t="shared" si="26"/>
        <v>0</v>
      </c>
      <c r="Q173" s="848"/>
      <c r="T173" s="849"/>
      <c r="U173" s="850"/>
    </row>
    <row r="174" s="787" customFormat="1" ht="20.1" hidden="1" customHeight="1" spans="1:21">
      <c r="A174" s="813">
        <v>10017</v>
      </c>
      <c r="B174" s="867" t="str">
        <f>混凝土!E1347</f>
        <v>碎石路面（12cm）</v>
      </c>
      <c r="C174" s="820" t="s">
        <v>643</v>
      </c>
      <c r="D174" s="822">
        <f t="shared" si="27"/>
        <v>21720.1118332066</v>
      </c>
      <c r="E174" s="822">
        <f>混凝土!G1354</f>
        <v>1190.526</v>
      </c>
      <c r="F174" s="822">
        <f>混凝土!G1357</f>
        <v>12717.27</v>
      </c>
      <c r="G174" s="822">
        <f>混凝土!G1362</f>
        <v>347.969422981651</v>
      </c>
      <c r="H174" s="822"/>
      <c r="I174" s="822">
        <f>混凝土!G1365</f>
        <v>912.368987070826</v>
      </c>
      <c r="J174" s="822">
        <f>混凝土!G1366</f>
        <v>88.098924</v>
      </c>
      <c r="K174" s="822">
        <f>混凝土!G1367</f>
        <v>1067.93633338367</v>
      </c>
      <c r="L174" s="822">
        <f>混凝土!G1368</f>
        <v>3022.14888</v>
      </c>
      <c r="M174" s="822">
        <f>混凝土!G1371</f>
        <v>1741.16866926926</v>
      </c>
      <c r="N174" s="823">
        <f t="shared" si="25"/>
        <v>632.624616501162</v>
      </c>
      <c r="O174" s="851">
        <f>混凝土!G1373</f>
        <v>21720.1118332066</v>
      </c>
      <c r="P174" s="868">
        <f t="shared" si="26"/>
        <v>0</v>
      </c>
      <c r="Q174" s="848">
        <v>389</v>
      </c>
      <c r="T174" s="849"/>
      <c r="U174" s="784"/>
    </row>
    <row r="175" s="787" customFormat="1" ht="20.1" hidden="1" customHeight="1" spans="1:21">
      <c r="A175" s="813">
        <v>10019</v>
      </c>
      <c r="B175" s="867" t="str">
        <f>混凝土!E1376</f>
        <v>水泥混凝土路面（18cm）</v>
      </c>
      <c r="C175" s="820" t="s">
        <v>643</v>
      </c>
      <c r="D175" s="822">
        <f t="shared" si="27"/>
        <v>77390.343137975</v>
      </c>
      <c r="E175" s="822">
        <f>混凝土!G1383</f>
        <v>12205.74</v>
      </c>
      <c r="F175" s="822">
        <f>混凝土!G1386</f>
        <v>33630.81804684</v>
      </c>
      <c r="G175" s="822">
        <f>混凝土!G1390</f>
        <v>3331.96974726765</v>
      </c>
      <c r="H175" s="822"/>
      <c r="I175" s="822">
        <f>混凝土!G1394</f>
        <v>3146.78577882289</v>
      </c>
      <c r="J175" s="822">
        <f>混凝土!G1395</f>
        <v>903.22476</v>
      </c>
      <c r="K175" s="822">
        <f>混凝土!G1396</f>
        <v>3725.29768330514</v>
      </c>
      <c r="L175" s="822">
        <f>混凝土!G1397</f>
        <v>11988.5084551058</v>
      </c>
      <c r="M175" s="822">
        <f>混凝土!G1402</f>
        <v>6203.91100242073</v>
      </c>
      <c r="N175" s="823">
        <f t="shared" si="25"/>
        <v>2254.08766421287</v>
      </c>
      <c r="O175" s="851">
        <f>混凝土!G1404</f>
        <v>77390.343137975</v>
      </c>
      <c r="P175" s="868">
        <f t="shared" si="26"/>
        <v>0</v>
      </c>
      <c r="Q175" s="848">
        <v>389</v>
      </c>
      <c r="T175" s="849"/>
      <c r="U175" s="784"/>
    </row>
    <row r="176" s="787" customFormat="1" ht="20.1" hidden="1" customHeight="1" spans="1:21">
      <c r="A176" s="813">
        <v>10181</v>
      </c>
      <c r="B176" s="840" t="str">
        <f>堆砌石!E434</f>
        <v>液压岩石破碎机拆除混凝土</v>
      </c>
      <c r="C176" s="820" t="s">
        <v>521</v>
      </c>
      <c r="D176" s="822">
        <f t="shared" si="27"/>
        <v>9391.35190980678</v>
      </c>
      <c r="E176" s="822">
        <f>堆砌石!G441</f>
        <v>69.24</v>
      </c>
      <c r="F176" s="822">
        <f>堆砌石!G444</f>
        <v>208.466795940367</v>
      </c>
      <c r="G176" s="822">
        <f>堆砌石!G446</f>
        <v>4100.09591880734</v>
      </c>
      <c r="H176" s="822"/>
      <c r="I176" s="822">
        <f>堆砌石!G448</f>
        <v>280.179373743853</v>
      </c>
      <c r="J176" s="822">
        <f>堆砌石!G449</f>
        <v>344.690674548375</v>
      </c>
      <c r="K176" s="822">
        <f>堆砌石!G450</f>
        <v>350.187093412795</v>
      </c>
      <c r="L176" s="822">
        <f>堆砌石!G451</f>
        <v>3012.11022442977</v>
      </c>
      <c r="M176" s="822">
        <f>堆砌石!G453</f>
        <v>752.847307279425</v>
      </c>
      <c r="N176" s="823">
        <f t="shared" si="25"/>
        <v>273.534521644858</v>
      </c>
      <c r="O176" s="851"/>
      <c r="P176" s="817">
        <f t="shared" si="26"/>
        <v>9391.35190980678</v>
      </c>
      <c r="Q176" s="848"/>
      <c r="T176" s="849"/>
      <c r="U176" s="784"/>
    </row>
    <row r="177" s="788" customFormat="1" ht="20.1" hidden="1" customHeight="1" spans="1:22">
      <c r="A177" s="813">
        <v>10184</v>
      </c>
      <c r="B177" s="840" t="str">
        <f>堆砌石!E458</f>
        <v>挖掘机拆除砌体（水泥浆砌石）</v>
      </c>
      <c r="C177" s="820" t="s">
        <v>521</v>
      </c>
      <c r="D177" s="822">
        <f t="shared" si="27"/>
        <v>1954.51424002306</v>
      </c>
      <c r="E177" s="822">
        <f>堆砌石!G465</f>
        <v>623.16</v>
      </c>
      <c r="F177" s="822">
        <f>堆砌石!G468</f>
        <v>33.0789446027124</v>
      </c>
      <c r="G177" s="822">
        <f>堆砌石!G470</f>
        <v>479.47148675708</v>
      </c>
      <c r="H177" s="822"/>
      <c r="I177" s="822">
        <f>堆砌石!G472</f>
        <v>72.6854676070267</v>
      </c>
      <c r="J177" s="822">
        <f>堆砌石!G473</f>
        <v>89.4212965235446</v>
      </c>
      <c r="K177" s="822">
        <f>堆砌石!G474</f>
        <v>90.8472036843255</v>
      </c>
      <c r="L177" s="822">
        <f>堆砌石!G475</f>
        <v>352.240775870348</v>
      </c>
      <c r="M177" s="822">
        <f>堆砌石!G477</f>
        <v>156.681465754053</v>
      </c>
      <c r="N177" s="823">
        <f t="shared" si="25"/>
        <v>56.9275992239727</v>
      </c>
      <c r="O177" s="871"/>
      <c r="P177" s="817">
        <f t="shared" si="26"/>
        <v>1954.51424002306</v>
      </c>
      <c r="Q177" s="852">
        <v>418</v>
      </c>
      <c r="T177" s="853"/>
      <c r="U177" s="850"/>
    </row>
    <row r="178" s="788" customFormat="1" ht="20.1" hidden="1" customHeight="1" spans="1:22">
      <c r="A178" s="813">
        <v>10186</v>
      </c>
      <c r="B178" s="840" t="str">
        <f>堆砌石!E482</f>
        <v>挖掘机拆除干砌石</v>
      </c>
      <c r="C178" s="820" t="s">
        <v>521</v>
      </c>
      <c r="D178" s="822">
        <f t="shared" si="27"/>
        <v>1048.74372717626</v>
      </c>
      <c r="E178" s="822">
        <f>堆砌石!G489</f>
        <v>186.948</v>
      </c>
      <c r="F178" s="822">
        <f>堆砌石!G492</f>
        <v>16.1199302865975</v>
      </c>
      <c r="G178" s="822">
        <f>堆砌石!G494</f>
        <v>350.383009553251</v>
      </c>
      <c r="H178" s="822"/>
      <c r="I178" s="822">
        <f>堆砌石!G496</f>
        <v>35.4208601497503</v>
      </c>
      <c r="J178" s="822">
        <f>堆砌石!G497</f>
        <v>43.5765131992303</v>
      </c>
      <c r="K178" s="822">
        <f>堆砌石!G498</f>
        <v>44.271381923218</v>
      </c>
      <c r="L178" s="822">
        <f>堆砌石!G499</f>
        <v>257.406720828331</v>
      </c>
      <c r="M178" s="822">
        <f>堆砌石!G501</f>
        <v>84.071377434634</v>
      </c>
      <c r="N178" s="823">
        <f t="shared" si="25"/>
        <v>30.5459338012504</v>
      </c>
      <c r="O178" s="871">
        <f>堆砌石!G503</f>
        <v>1048.74372717626</v>
      </c>
      <c r="P178" s="817">
        <f t="shared" si="26"/>
        <v>2.27373675443232e-12</v>
      </c>
      <c r="Q178" s="852">
        <v>418</v>
      </c>
      <c r="T178" s="853"/>
      <c r="U178" s="850"/>
    </row>
    <row r="179" s="788" customFormat="1" ht="20.1" hidden="1" customHeight="1" spans="1:22">
      <c r="A179" s="813">
        <v>10187</v>
      </c>
      <c r="B179" s="840" t="str">
        <f>堆砌石!E507</f>
        <v>渠道衬砌旧混凝土拆除（现浇板）</v>
      </c>
      <c r="C179" s="820" t="s">
        <v>521</v>
      </c>
      <c r="D179" s="822">
        <f t="shared" si="27"/>
        <v>4680.56017124892</v>
      </c>
      <c r="E179" s="822">
        <f>堆砌石!G514</f>
        <v>2215.68</v>
      </c>
      <c r="F179" s="822"/>
      <c r="G179" s="822">
        <f>堆砌石!G517</f>
        <v>455.628390993219</v>
      </c>
      <c r="H179" s="822"/>
      <c r="I179" s="822">
        <f>堆砌石!G521</f>
        <v>170.963737023566</v>
      </c>
      <c r="J179" s="822">
        <f>堆砌石!G522</f>
        <v>210.328137473242</v>
      </c>
      <c r="K179" s="822">
        <f>堆砌石!G523</f>
        <v>213.682018584302</v>
      </c>
      <c r="L179" s="822">
        <f>堆砌石!G524</f>
        <v>902.738978283313</v>
      </c>
      <c r="M179" s="822">
        <f>堆砌石!G526</f>
        <v>375.211913612187</v>
      </c>
      <c r="N179" s="823">
        <f t="shared" si="25"/>
        <v>136.326995279095</v>
      </c>
      <c r="O179" s="851">
        <f>堆砌石!G528</f>
        <v>4680.56017124892</v>
      </c>
      <c r="P179" s="817">
        <f t="shared" si="26"/>
        <v>0</v>
      </c>
      <c r="Q179" s="852">
        <v>419</v>
      </c>
      <c r="T179" s="853"/>
      <c r="U179" s="850"/>
    </row>
    <row r="180" s="786" customFormat="1" ht="20.1" hidden="1" customHeight="1" spans="1:22">
      <c r="A180" s="813">
        <v>10188</v>
      </c>
      <c r="B180" s="840" t="str">
        <f>堆砌石!E531</f>
        <v>渠道衬砌旧混凝土拆除（预制板）</v>
      </c>
      <c r="C180" s="820" t="s">
        <v>521</v>
      </c>
      <c r="D180" s="822">
        <f t="shared" si="27"/>
        <v>3862.69234130927</v>
      </c>
      <c r="E180" s="822">
        <f>堆砌石!G538</f>
        <v>1774.275</v>
      </c>
      <c r="F180" s="822"/>
      <c r="G180" s="822">
        <f>堆砌石!G541</f>
        <v>455.628390993219</v>
      </c>
      <c r="H180" s="822"/>
      <c r="I180" s="822">
        <f>堆砌石!G545</f>
        <v>142.713817023566</v>
      </c>
      <c r="J180" s="822">
        <f>堆砌石!G546</f>
        <v>175.573673393242</v>
      </c>
      <c r="K180" s="822">
        <f>堆砌石!G547</f>
        <v>178.373361698702</v>
      </c>
      <c r="L180" s="822">
        <f>堆砌石!G548</f>
        <v>713.97404967587</v>
      </c>
      <c r="M180" s="822">
        <f>堆砌石!G550</f>
        <v>309.648446350613</v>
      </c>
      <c r="N180" s="823">
        <f t="shared" si="25"/>
        <v>112.505602174056</v>
      </c>
      <c r="O180" s="841">
        <f>堆砌石!G552</f>
        <v>3862.69234130926</v>
      </c>
      <c r="P180" s="825">
        <f t="shared" si="26"/>
        <v>9.09494701772928e-12</v>
      </c>
      <c r="Q180" s="842">
        <v>419</v>
      </c>
      <c r="T180" s="843"/>
      <c r="U180" s="844"/>
      <c r="V180" s="845"/>
    </row>
    <row r="181" s="787" customFormat="1" ht="20.1" hidden="1" customHeight="1" spans="1:22">
      <c r="A181" s="813">
        <v>10190</v>
      </c>
      <c r="B181" s="840" t="str">
        <f>堆砌石!E556</f>
        <v>人工拆除砌体（浆砌混凝土预制块水泥砂浆）</v>
      </c>
      <c r="C181" s="820" t="s">
        <v>521</v>
      </c>
      <c r="D181" s="822">
        <f t="shared" ref="D181:D198" si="28">SUM(E181:N181)</f>
        <v>7815.32361823179</v>
      </c>
      <c r="E181" s="822">
        <f>堆砌石!G563</f>
        <v>5664.838</v>
      </c>
      <c r="F181" s="822">
        <f>堆砌石!G566</f>
        <v>28.32419</v>
      </c>
      <c r="G181" s="822"/>
      <c r="H181" s="822"/>
      <c r="I181" s="822">
        <f>堆砌石!G568</f>
        <v>364.36238016</v>
      </c>
      <c r="J181" s="822">
        <f>堆砌石!G569</f>
        <v>448.25681819184</v>
      </c>
      <c r="K181" s="822">
        <f>堆砌石!G570</f>
        <v>455.404697184629</v>
      </c>
      <c r="L181" s="822"/>
      <c r="M181" s="822">
        <f>堆砌石!G571</f>
        <v>626.506747698282</v>
      </c>
      <c r="N181" s="823">
        <f t="shared" si="25"/>
        <v>227.630784997043</v>
      </c>
      <c r="O181" s="851">
        <f>堆砌石!G573</f>
        <v>7815.32361823179</v>
      </c>
      <c r="P181" s="817">
        <f t="shared" ref="P181:P192" si="29">D181-O181</f>
        <v>0</v>
      </c>
      <c r="Q181" s="848">
        <v>419</v>
      </c>
      <c r="T181" s="849"/>
      <c r="U181" s="850"/>
    </row>
    <row r="182" s="787" customFormat="1" ht="20.1" hidden="1" customHeight="1" spans="1:22">
      <c r="A182" s="813">
        <v>10191</v>
      </c>
      <c r="B182" s="840" t="str">
        <f>堆砌石!E576</f>
        <v>人工拆除砌体（水泥浆砌石）</v>
      </c>
      <c r="C182" s="820" t="s">
        <v>521</v>
      </c>
      <c r="D182" s="822">
        <f t="shared" si="28"/>
        <v>7078.94042354552</v>
      </c>
      <c r="E182" s="822">
        <f>堆砌石!G583</f>
        <v>5131.08</v>
      </c>
      <c r="F182" s="822">
        <f>堆砌石!G586</f>
        <v>25.6554</v>
      </c>
      <c r="G182" s="822"/>
      <c r="H182" s="822"/>
      <c r="I182" s="822">
        <f>堆砌石!G588</f>
        <v>330.0310656</v>
      </c>
      <c r="J182" s="822">
        <f>堆砌石!G589</f>
        <v>406.0207184544</v>
      </c>
      <c r="K182" s="822">
        <f>堆砌石!G590</f>
        <v>412.495102883808</v>
      </c>
      <c r="L182" s="822"/>
      <c r="M182" s="822">
        <f>堆砌石!G591</f>
        <v>567.475405824439</v>
      </c>
      <c r="N182" s="823">
        <f t="shared" si="25"/>
        <v>206.182730782879</v>
      </c>
      <c r="O182" s="851"/>
      <c r="P182" s="817">
        <f t="shared" si="29"/>
        <v>7078.94042354552</v>
      </c>
      <c r="Q182" s="848">
        <v>419</v>
      </c>
      <c r="T182" s="849"/>
      <c r="U182" s="784"/>
    </row>
    <row r="183" s="788" customFormat="1" ht="20.1" hidden="1" customHeight="1" spans="1:22">
      <c r="A183" s="813">
        <v>10195</v>
      </c>
      <c r="B183" s="840" t="str">
        <f>堆砌石!E596</f>
        <v>土工膜（塑料薄膜）铺设（平铺）</v>
      </c>
      <c r="C183" s="820" t="s">
        <v>558</v>
      </c>
      <c r="D183" s="822">
        <f t="shared" si="28"/>
        <v>2680.02709865557</v>
      </c>
      <c r="E183" s="822">
        <f>堆砌石!G603</f>
        <v>50.82</v>
      </c>
      <c r="F183" s="822">
        <f>堆砌石!G606</f>
        <v>1901.4765</v>
      </c>
      <c r="G183" s="822"/>
      <c r="H183" s="822"/>
      <c r="I183" s="822">
        <f>堆砌石!G609</f>
        <v>124.946976</v>
      </c>
      <c r="J183" s="822">
        <f>堆砌石!G610</f>
        <v>153.716017224</v>
      </c>
      <c r="K183" s="822">
        <f>堆砌石!G611</f>
        <v>156.16716452568</v>
      </c>
      <c r="L183" s="822"/>
      <c r="M183" s="822">
        <f>堆砌石!G612</f>
        <v>214.841399197471</v>
      </c>
      <c r="N183" s="823">
        <f t="shared" si="25"/>
        <v>78.0590417084145</v>
      </c>
      <c r="O183" s="871"/>
      <c r="P183" s="817">
        <f t="shared" si="29"/>
        <v>2680.02709865557</v>
      </c>
      <c r="Q183" s="852"/>
      <c r="T183" s="853"/>
      <c r="U183" s="850"/>
    </row>
    <row r="184" s="787" customFormat="1" ht="20.1" hidden="1" customHeight="1" spans="1:22">
      <c r="A184" s="813"/>
      <c r="B184" s="840" t="str">
        <f>堆砌石!E659</f>
        <v>土工膜（塑料薄膜）铺设（斜铺）</v>
      </c>
      <c r="C184" s="820" t="s">
        <v>558</v>
      </c>
      <c r="D184" s="822">
        <f t="shared" si="28"/>
        <v>878.378637405355</v>
      </c>
      <c r="E184" s="822">
        <f>堆砌石!G666</f>
        <v>56.59</v>
      </c>
      <c r="F184" s="822">
        <f>堆砌石!G669</f>
        <v>583.275</v>
      </c>
      <c r="G184" s="822"/>
      <c r="H184" s="822"/>
      <c r="I184" s="822">
        <f>堆砌石!G672</f>
        <v>40.95136</v>
      </c>
      <c r="J184" s="822">
        <f>堆砌石!G673</f>
        <v>50.38041064</v>
      </c>
      <c r="K184" s="822">
        <f>堆砌石!G674</f>
        <v>51.1837739448</v>
      </c>
      <c r="L184" s="822"/>
      <c r="M184" s="822">
        <f>堆砌石!G675</f>
        <v>70.414249012632</v>
      </c>
      <c r="N184" s="823">
        <f t="shared" si="25"/>
        <v>25.583843807923</v>
      </c>
      <c r="O184" s="851"/>
      <c r="P184" s="817">
        <f t="shared" si="29"/>
        <v>878.378637405355</v>
      </c>
      <c r="Q184" s="848"/>
      <c r="T184" s="849"/>
      <c r="U184" s="784"/>
    </row>
    <row r="185" s="787" customFormat="1" ht="20.1" customHeight="1" spans="1:22">
      <c r="A185" s="813">
        <v>10199</v>
      </c>
      <c r="B185" s="840" t="str">
        <f>堆砌石!E617</f>
        <v>土工布铺设200g/m2（平铺）</v>
      </c>
      <c r="C185" s="820" t="s">
        <v>558</v>
      </c>
      <c r="D185" s="822">
        <f t="shared" si="28"/>
        <v>484.126080647577</v>
      </c>
      <c r="E185" s="822">
        <f>堆砌石!G624</f>
        <v>82</v>
      </c>
      <c r="F185" s="822">
        <f>堆砌石!G627</f>
        <v>270.6672</v>
      </c>
      <c r="G185" s="822"/>
      <c r="H185" s="822"/>
      <c r="I185" s="822">
        <f>堆砌石!G630</f>
        <v>22.5707008</v>
      </c>
      <c r="J185" s="822">
        <f>堆砌石!G631</f>
        <v>27.7676046592</v>
      </c>
      <c r="K185" s="822">
        <f>堆砌石!G632</f>
        <v>28.210385382144</v>
      </c>
      <c r="L185" s="822"/>
      <c r="M185" s="822">
        <f>堆砌石!G633</f>
        <v>38.809430175721</v>
      </c>
      <c r="N185" s="823">
        <f t="shared" si="25"/>
        <v>14.1007596305119</v>
      </c>
      <c r="O185" s="851">
        <f>堆砌石!G635</f>
        <v>484.126080647577</v>
      </c>
      <c r="P185" s="817">
        <f t="shared" si="29"/>
        <v>0</v>
      </c>
      <c r="Q185" s="848">
        <v>420</v>
      </c>
      <c r="T185" s="849"/>
      <c r="U185" s="784"/>
    </row>
    <row r="186" s="787" customFormat="1" ht="20.1" customHeight="1" spans="1:22">
      <c r="A186" s="813">
        <v>10200</v>
      </c>
      <c r="B186" s="840" t="str">
        <f>堆砌石!E638</f>
        <v>土工布铺设200g/m2（斜铺）</v>
      </c>
      <c r="C186" s="820" t="s">
        <v>558</v>
      </c>
      <c r="D186" s="822">
        <f t="shared" si="28"/>
        <v>499.967687042141</v>
      </c>
      <c r="E186" s="822">
        <f>堆砌石!G645</f>
        <v>93.54</v>
      </c>
      <c r="F186" s="822">
        <f>堆砌石!G648</f>
        <v>270.6672</v>
      </c>
      <c r="G186" s="822"/>
      <c r="H186" s="822"/>
      <c r="I186" s="822">
        <f>堆砌石!G651</f>
        <v>23.3092608</v>
      </c>
      <c r="J186" s="822">
        <f>堆砌石!G652</f>
        <v>28.6762180992</v>
      </c>
      <c r="K186" s="822">
        <f>堆砌石!G653</f>
        <v>29.133487522944</v>
      </c>
      <c r="L186" s="822"/>
      <c r="M186" s="822">
        <f>堆砌石!G654</f>
        <v>40.079354977993</v>
      </c>
      <c r="N186" s="823">
        <f t="shared" si="25"/>
        <v>14.5621656420041</v>
      </c>
      <c r="O186" s="851">
        <f>堆砌石!G656</f>
        <v>499.967687042141</v>
      </c>
      <c r="P186" s="817">
        <f t="shared" si="29"/>
        <v>0</v>
      </c>
      <c r="Q186" s="848">
        <v>420</v>
      </c>
      <c r="T186" s="849"/>
      <c r="U186" s="784"/>
    </row>
    <row r="187" s="786" customFormat="1" ht="20.1" hidden="1" customHeight="1" spans="1:22">
      <c r="A187" s="813">
        <v>10204</v>
      </c>
      <c r="B187" s="840" t="str">
        <f>堆砌石!E680</f>
        <v>复合土工膜铺设150g/0.3mm（斜铺）</v>
      </c>
      <c r="C187" s="820" t="s">
        <v>558</v>
      </c>
      <c r="D187" s="822">
        <f t="shared" si="28"/>
        <v>1091.92102064294</v>
      </c>
      <c r="E187" s="822">
        <f>堆砌石!G687</f>
        <v>219.48</v>
      </c>
      <c r="F187" s="822">
        <f>堆砌石!G690</f>
        <v>575.9424</v>
      </c>
      <c r="G187" s="822"/>
      <c r="H187" s="822"/>
      <c r="I187" s="822">
        <f>堆砌石!G694</f>
        <v>50.9070336</v>
      </c>
      <c r="J187" s="822">
        <f>堆砌石!G695</f>
        <v>62.6283780864</v>
      </c>
      <c r="K187" s="822">
        <f>堆砌石!G696</f>
        <v>63.627046818048</v>
      </c>
      <c r="L187" s="822"/>
      <c r="M187" s="822">
        <f>堆砌石!G697</f>
        <v>87.5326372654003</v>
      </c>
      <c r="N187" s="823">
        <f t="shared" si="25"/>
        <v>31.8035248730954</v>
      </c>
      <c r="O187" s="841">
        <f>堆砌石!G699</f>
        <v>1091.92102064294</v>
      </c>
      <c r="P187" s="825">
        <f t="shared" si="29"/>
        <v>3.86535248253495e-12</v>
      </c>
      <c r="Q187" s="842">
        <v>421</v>
      </c>
      <c r="T187" s="843"/>
      <c r="U187" s="844"/>
      <c r="V187" s="845"/>
    </row>
    <row r="188" s="787" customFormat="1" ht="20.1" hidden="1" customHeight="1" spans="1:22">
      <c r="A188" s="813">
        <v>10001</v>
      </c>
      <c r="B188" s="840" t="str">
        <f>堆砌石!E703</f>
        <v>土围堰</v>
      </c>
      <c r="C188" s="820" t="s">
        <v>521</v>
      </c>
      <c r="D188" s="822">
        <f t="shared" si="28"/>
        <v>3394.01680994693</v>
      </c>
      <c r="E188" s="822">
        <f>堆砌石!G710</f>
        <v>635.21</v>
      </c>
      <c r="F188" s="822">
        <f>堆砌石!G713</f>
        <v>1837.2005</v>
      </c>
      <c r="G188" s="822"/>
      <c r="H188" s="822"/>
      <c r="I188" s="822">
        <f>堆砌石!G716</f>
        <v>158.234272</v>
      </c>
      <c r="J188" s="822">
        <f>堆砌石!G717</f>
        <v>194.667713128</v>
      </c>
      <c r="K188" s="822">
        <f>堆砌石!G718</f>
        <v>197.77187395896</v>
      </c>
      <c r="L188" s="822"/>
      <c r="M188" s="822">
        <f>堆砌石!G719</f>
        <v>272.077592317826</v>
      </c>
      <c r="N188" s="823">
        <f t="shared" si="25"/>
        <v>98.8548585421436</v>
      </c>
      <c r="O188" s="851">
        <f>堆砌石!G721</f>
        <v>3394.01680994693</v>
      </c>
      <c r="P188" s="825">
        <f t="shared" si="29"/>
        <v>0</v>
      </c>
      <c r="Q188" s="848"/>
      <c r="T188" s="849"/>
      <c r="U188" s="850"/>
    </row>
    <row r="189" s="787" customFormat="1" ht="20.1" hidden="1" customHeight="1" spans="1:22">
      <c r="A189" s="813">
        <v>10005</v>
      </c>
      <c r="B189" s="840" t="str">
        <f>堆砌石!E724</f>
        <v>编织袋围堰</v>
      </c>
      <c r="C189" s="820" t="s">
        <v>521</v>
      </c>
      <c r="D189" s="822">
        <f t="shared" si="28"/>
        <v>15209.0551694978</v>
      </c>
      <c r="E189" s="822">
        <f>堆砌石!G731</f>
        <v>6677.55</v>
      </c>
      <c r="F189" s="822">
        <f>堆砌石!G734</f>
        <v>4401.6608</v>
      </c>
      <c r="G189" s="822"/>
      <c r="H189" s="822"/>
      <c r="I189" s="822">
        <f>堆砌石!G738</f>
        <v>709.0694912</v>
      </c>
      <c r="J189" s="822">
        <f>堆砌石!G739</f>
        <v>872.3327415488</v>
      </c>
      <c r="K189" s="822">
        <f>堆砌石!G740</f>
        <v>886.242912292416</v>
      </c>
      <c r="L189" s="822"/>
      <c r="M189" s="822">
        <f>堆砌石!G741</f>
        <v>1219.21703505371</v>
      </c>
      <c r="N189" s="823">
        <f t="shared" si="25"/>
        <v>442.982189402848</v>
      </c>
      <c r="O189" s="851">
        <f>堆砌石!G743</f>
        <v>15209.0551694978</v>
      </c>
      <c r="P189" s="825">
        <f t="shared" si="29"/>
        <v>-2.36468622460961e-11</v>
      </c>
      <c r="Q189" s="848"/>
      <c r="T189" s="849"/>
      <c r="U189" s="850"/>
    </row>
    <row r="190" s="787" customFormat="1" ht="20.1" hidden="1" customHeight="1" spans="1:22">
      <c r="A190" s="813">
        <v>10214</v>
      </c>
      <c r="B190" s="840" t="str">
        <f>土方!E555</f>
        <v>砍小树</v>
      </c>
      <c r="C190" s="820" t="s">
        <v>558</v>
      </c>
      <c r="D190" s="822">
        <f t="shared" si="28"/>
        <v>255.854641266938</v>
      </c>
      <c r="E190" s="822">
        <f>土方!G562</f>
        <v>177.505</v>
      </c>
      <c r="F190" s="822">
        <f>土方!G565</f>
        <v>8.87525</v>
      </c>
      <c r="G190" s="822"/>
      <c r="H190" s="822"/>
      <c r="I190" s="822">
        <f>土方!G567</f>
        <v>11.928336</v>
      </c>
      <c r="J190" s="822">
        <f>土方!G568</f>
        <v>14.674835364</v>
      </c>
      <c r="K190" s="822">
        <f>土方!G569</f>
        <v>14.90883949548</v>
      </c>
      <c r="L190" s="822"/>
      <c r="M190" s="822">
        <f>土方!G570</f>
        <v>20.5103034773532</v>
      </c>
      <c r="N190" s="823">
        <f t="shared" si="25"/>
        <v>7.452076930105</v>
      </c>
      <c r="O190" s="851">
        <f>土方!G572</f>
        <v>255.854641266938</v>
      </c>
      <c r="P190" s="825">
        <f t="shared" si="29"/>
        <v>0</v>
      </c>
      <c r="Q190" s="848">
        <v>423</v>
      </c>
      <c r="T190" s="849"/>
      <c r="U190" s="850"/>
    </row>
    <row r="191" s="786" customFormat="1" ht="20.1" hidden="1" customHeight="1" spans="1:22">
      <c r="A191" s="813">
        <v>10224</v>
      </c>
      <c r="B191" s="840" t="str">
        <f>混凝土!E1408</f>
        <v>M5砂浆垫层（3cm厚）</v>
      </c>
      <c r="C191" s="820" t="s">
        <v>558</v>
      </c>
      <c r="D191" s="822">
        <f t="shared" si="28"/>
        <v>1670.08150739307</v>
      </c>
      <c r="E191" s="822">
        <f>混凝土!G1415</f>
        <v>639.277</v>
      </c>
      <c r="F191" s="822">
        <f>混凝土!G1418</f>
        <v>515.5181658</v>
      </c>
      <c r="G191" s="822">
        <f>混凝土!G1421</f>
        <v>27.5506810530515</v>
      </c>
      <c r="H191" s="822"/>
      <c r="I191" s="822">
        <f>混凝土!G1424</f>
        <v>75.6701341985953</v>
      </c>
      <c r="J191" s="822">
        <f>混凝土!G1425</f>
        <v>54.338545</v>
      </c>
      <c r="K191" s="822">
        <f>混凝土!G1426</f>
        <v>91.8648168236153</v>
      </c>
      <c r="L191" s="822">
        <f>混凝土!G1427</f>
        <v>83.33878253052</v>
      </c>
      <c r="M191" s="822">
        <f>混凝土!G1430</f>
        <v>133.880231286521</v>
      </c>
      <c r="N191" s="823">
        <f t="shared" si="25"/>
        <v>48.6431507007691</v>
      </c>
      <c r="O191" s="841">
        <f>混凝土!G1432</f>
        <v>1670.08150739308</v>
      </c>
      <c r="P191" s="825">
        <f t="shared" si="29"/>
        <v>-2.72848410531878e-12</v>
      </c>
      <c r="Q191" s="842">
        <v>424</v>
      </c>
      <c r="T191" s="843"/>
      <c r="U191" s="844"/>
      <c r="V191" s="845"/>
    </row>
    <row r="192" s="787" customFormat="1" ht="20.1" hidden="1" customHeight="1" spans="1:22">
      <c r="A192" s="872">
        <v>10227</v>
      </c>
      <c r="B192" s="873" t="str">
        <f>堆砌石!E768</f>
        <v>3:7灰土垫层</v>
      </c>
      <c r="C192" s="831" t="s">
        <v>644</v>
      </c>
      <c r="D192" s="834">
        <f t="shared" si="28"/>
        <v>17212.2153424228</v>
      </c>
      <c r="E192" s="834">
        <f>堆砌石!G775</f>
        <v>3985.525</v>
      </c>
      <c r="F192" s="834">
        <f>堆砌石!G778</f>
        <v>8068.63554</v>
      </c>
      <c r="G192" s="834">
        <f>堆砌石!G782</f>
        <v>484.275279218189</v>
      </c>
      <c r="H192" s="834"/>
      <c r="I192" s="834">
        <f>堆砌石!G784</f>
        <v>802.459892429964</v>
      </c>
      <c r="J192" s="834">
        <f>堆砌石!G785</f>
        <v>987.226282661963</v>
      </c>
      <c r="K192" s="834">
        <f>堆砌石!G786</f>
        <v>1002.96853960171</v>
      </c>
      <c r="L192" s="834"/>
      <c r="M192" s="834">
        <f>堆砌石!G787</f>
        <v>1379.79814805206</v>
      </c>
      <c r="N192" s="823">
        <f t="shared" si="25"/>
        <v>501.326660458917</v>
      </c>
      <c r="O192" s="851">
        <f>堆砌石!G789</f>
        <v>17212.2153424228</v>
      </c>
      <c r="P192" s="868">
        <f t="shared" si="29"/>
        <v>0</v>
      </c>
      <c r="Q192" s="848"/>
      <c r="T192" s="849"/>
    </row>
    <row r="193" s="787" customFormat="1" ht="21" spans="1:20">
      <c r="A193" s="874" t="s">
        <v>645</v>
      </c>
      <c r="B193" s="873" t="str">
        <f>堆砌石!E792</f>
        <v>M7.5浆砌石护坡（平）</v>
      </c>
      <c r="C193" s="820" t="s">
        <v>521</v>
      </c>
      <c r="D193" s="834">
        <f t="shared" si="28"/>
        <v>52797.3775551444</v>
      </c>
      <c r="E193" s="834">
        <f>堆砌石!G799</f>
        <v>14683.8531</v>
      </c>
      <c r="F193" s="834">
        <f>堆砌石!G802</f>
        <v>18709.47249097</v>
      </c>
      <c r="G193" s="834">
        <f>堆砌石!G806</f>
        <v>1660.32585571775</v>
      </c>
      <c r="H193" s="834"/>
      <c r="I193" s="834">
        <f>堆砌石!G812</f>
        <v>2243.43369258802</v>
      </c>
      <c r="J193" s="834">
        <f>堆砌石!G813</f>
        <v>3170.25223683844</v>
      </c>
      <c r="K193" s="834">
        <f>堆砌石!G814</f>
        <v>2832.71361632799</v>
      </c>
      <c r="L193" s="834">
        <f>堆砌石!G815</f>
        <v>3727.09566752429</v>
      </c>
      <c r="M193" s="834">
        <f>堆砌石!G820</f>
        <v>4232.44319939698</v>
      </c>
      <c r="N193" s="823">
        <f t="shared" si="25"/>
        <v>1537.7876957809</v>
      </c>
      <c r="O193" s="851"/>
      <c r="P193" s="868"/>
      <c r="Q193" s="848"/>
      <c r="T193" s="849"/>
    </row>
    <row r="194" s="787" customFormat="1" ht="21" spans="1:20">
      <c r="A194" s="874" t="s">
        <v>646</v>
      </c>
      <c r="B194" s="873" t="str">
        <f>堆砌石!E825</f>
        <v>M7.5浆砌石护坡（曲）</v>
      </c>
      <c r="C194" s="820" t="s">
        <v>521</v>
      </c>
      <c r="D194" s="834">
        <f t="shared" si="28"/>
        <v>58336.5481118182</v>
      </c>
      <c r="E194" s="834">
        <f>堆砌石!G832</f>
        <v>18678.0169</v>
      </c>
      <c r="F194" s="834">
        <f>堆砌石!G835</f>
        <v>18709.47249097</v>
      </c>
      <c r="G194" s="834">
        <f>堆砌石!G839</f>
        <v>1660.32585571775</v>
      </c>
      <c r="H194" s="834"/>
      <c r="I194" s="834">
        <f>堆砌石!G845</f>
        <v>2499.06017578802</v>
      </c>
      <c r="J194" s="834">
        <f>堆砌石!G846</f>
        <v>3531.48441091044</v>
      </c>
      <c r="K194" s="834">
        <f>堆砌石!G847</f>
        <v>3155.48518833703</v>
      </c>
      <c r="L194" s="834">
        <f>堆砌石!G848</f>
        <v>3727.09566752429</v>
      </c>
      <c r="M194" s="834">
        <f>堆砌石!G853</f>
        <v>4676.48466203228</v>
      </c>
      <c r="N194" s="823">
        <f t="shared" si="25"/>
        <v>1699.12276053839</v>
      </c>
      <c r="O194" s="851"/>
      <c r="P194" s="868"/>
      <c r="Q194" s="848"/>
      <c r="T194" s="849"/>
    </row>
    <row r="195" s="787" customFormat="1" ht="21" spans="1:20">
      <c r="A195" s="874" t="s">
        <v>647</v>
      </c>
      <c r="B195" s="873" t="str">
        <f>堆砌石!E858</f>
        <v>M7.5浆砌石护底</v>
      </c>
      <c r="C195" s="820" t="s">
        <v>521</v>
      </c>
      <c r="D195" s="834">
        <f t="shared" si="28"/>
        <v>49639.113598342</v>
      </c>
      <c r="E195" s="834">
        <f>堆砌石!G865</f>
        <v>13190.8087</v>
      </c>
      <c r="F195" s="834">
        <f>堆砌石!G868</f>
        <v>18709.47249097</v>
      </c>
      <c r="G195" s="834">
        <f>堆砌石!G872</f>
        <v>1110.94864148656</v>
      </c>
      <c r="H195" s="834"/>
      <c r="I195" s="834">
        <f>堆砌石!G878</f>
        <v>2112.71870927722</v>
      </c>
      <c r="J195" s="834">
        <f>堆砌石!G879</f>
        <v>2985.53562604737</v>
      </c>
      <c r="K195" s="834">
        <f>堆砌石!G880</f>
        <v>2667.66389174468</v>
      </c>
      <c r="L195" s="834">
        <f>堆砌石!G881</f>
        <v>3436.90164060952</v>
      </c>
      <c r="M195" s="834">
        <f>堆砌石!G886</f>
        <v>3979.26447301218</v>
      </c>
      <c r="N195" s="823">
        <f t="shared" si="25"/>
        <v>1445.79942519443</v>
      </c>
      <c r="O195" s="851"/>
      <c r="P195" s="868"/>
      <c r="Q195" s="848"/>
      <c r="T195" s="849"/>
    </row>
    <row r="196" s="787" customFormat="1" ht="21" spans="1:20">
      <c r="A196" s="874" t="s">
        <v>648</v>
      </c>
      <c r="B196" s="873" t="str">
        <f>堆砌石!E891</f>
        <v>M7.5浆砌石基础</v>
      </c>
      <c r="C196" s="820" t="s">
        <v>521</v>
      </c>
      <c r="D196" s="834">
        <f t="shared" si="28"/>
        <v>45639.4761579724</v>
      </c>
      <c r="E196" s="834">
        <f>堆砌石!G898</f>
        <v>10768.5144</v>
      </c>
      <c r="F196" s="834">
        <f>堆砌石!G901</f>
        <v>18346.25379762</v>
      </c>
      <c r="G196" s="834">
        <f>堆砌石!G905</f>
        <v>1096.16883849705</v>
      </c>
      <c r="H196" s="834"/>
      <c r="I196" s="834">
        <f>堆砌石!G911</f>
        <v>1933.49997031149</v>
      </c>
      <c r="J196" s="834">
        <f>堆砌石!G912</f>
        <v>2732.27714554643</v>
      </c>
      <c r="K196" s="834">
        <f>堆砌石!G913</f>
        <v>2441.36999063825</v>
      </c>
      <c r="L196" s="834">
        <f>堆砌石!G914</f>
        <v>3333.44890982501</v>
      </c>
      <c r="M196" s="834">
        <f>堆砌石!G919</f>
        <v>3658.63797471944</v>
      </c>
      <c r="N196" s="823">
        <f t="shared" si="25"/>
        <v>1329.30513081473</v>
      </c>
      <c r="O196" s="851"/>
      <c r="P196" s="868"/>
      <c r="Q196" s="848"/>
      <c r="T196" s="849"/>
    </row>
    <row r="197" s="787" customFormat="1" ht="21" spans="1:20">
      <c r="A197" s="874" t="s">
        <v>649</v>
      </c>
      <c r="B197" s="873" t="str">
        <f>堆砌石!E924</f>
        <v>M7.5浆砌石挡墙</v>
      </c>
      <c r="C197" s="820" t="s">
        <v>94</v>
      </c>
      <c r="D197" s="834">
        <f t="shared" si="28"/>
        <v>51608.2889058436</v>
      </c>
      <c r="E197" s="834">
        <f>堆砌石!G931</f>
        <v>14032.2911</v>
      </c>
      <c r="F197" s="834">
        <f>堆砌石!G934</f>
        <v>18606.31296045</v>
      </c>
      <c r="G197" s="834">
        <f>堆砌石!G938</f>
        <v>1636.04880933387</v>
      </c>
      <c r="H197" s="834"/>
      <c r="I197" s="834">
        <f>堆砌石!G944</f>
        <v>2193.57778366617</v>
      </c>
      <c r="J197" s="834">
        <f>堆砌石!G945</f>
        <v>3099.79960554325</v>
      </c>
      <c r="K197" s="834">
        <f>堆砌石!G946</f>
        <v>2769.76211812953</v>
      </c>
      <c r="L197" s="834">
        <f>堆砌石!G947</f>
        <v>3630.22125594351</v>
      </c>
      <c r="M197" s="834">
        <f>堆砌石!G952</f>
        <v>4137.12122697597</v>
      </c>
      <c r="N197" s="823">
        <f t="shared" si="25"/>
        <v>1503.15404580127</v>
      </c>
      <c r="O197" s="851"/>
      <c r="P197" s="868"/>
      <c r="Q197" s="848"/>
      <c r="T197" s="849"/>
    </row>
    <row r="198" ht="18" customHeight="1" spans="1:20">
      <c r="A198" s="875"/>
      <c r="B198" s="876" t="str">
        <f>混凝土!E1481</f>
        <v>建筑物细部结构工程</v>
      </c>
      <c r="C198" s="877" t="s">
        <v>521</v>
      </c>
      <c r="D198" s="834">
        <f t="shared" ref="D198:D210" si="30">SUM(E198:N198)</f>
        <v>71443.5844198121</v>
      </c>
      <c r="E198" s="834">
        <f>堆砌石!G933</f>
        <v>4664.6411</v>
      </c>
      <c r="F198" s="834">
        <f>堆砌石!G936</f>
        <v>4894.757485</v>
      </c>
      <c r="G198" s="834">
        <f>堆砌石!G940</f>
        <v>667.319769836458</v>
      </c>
      <c r="H198" s="834"/>
      <c r="I198" s="834">
        <f>堆砌石!G946</f>
        <v>2769.76211812953</v>
      </c>
      <c r="J198" s="834">
        <f>堆砌石!G947</f>
        <v>3630.22125594351</v>
      </c>
      <c r="K198" s="834">
        <f>堆砌石!G948</f>
        <v>0</v>
      </c>
      <c r="L198" s="834">
        <f>堆砌石!G949</f>
        <v>1127.71268545284</v>
      </c>
      <c r="M198" s="834">
        <f>堆砌石!G954</f>
        <v>51608.2889058436</v>
      </c>
      <c r="N198" s="823">
        <f t="shared" si="25"/>
        <v>2080.88109960618</v>
      </c>
    </row>
    <row r="199" ht="21" spans="1:20">
      <c r="A199" s="878" t="str">
        <f>土方!C170</f>
        <v>P-24-1128</v>
      </c>
      <c r="B199" s="879" t="str">
        <f>土方!E169</f>
        <v>74kW推土机（推距：10m）（Ⅰ～Ⅱ类土）</v>
      </c>
      <c r="C199" s="880" t="str">
        <f>土方!G170</f>
        <v>100m3</v>
      </c>
      <c r="D199" s="834">
        <f t="shared" si="30"/>
        <v>168.6301749802</v>
      </c>
      <c r="E199" s="834">
        <f>土方!G176</f>
        <v>6.347</v>
      </c>
      <c r="F199" s="834">
        <f>土方!G179</f>
        <v>7.61120288153171</v>
      </c>
      <c r="G199" s="834">
        <f>土方!G181</f>
        <v>69.7650288153171</v>
      </c>
      <c r="H199" s="834"/>
      <c r="I199" s="834">
        <f>土方!G183</f>
        <v>5.35828682859832</v>
      </c>
      <c r="J199" s="834">
        <f>土方!G184</f>
        <v>4.45407592627236</v>
      </c>
      <c r="K199" s="834">
        <f>土方!G185</f>
        <v>6.54749161162036</v>
      </c>
      <c r="L199" s="834">
        <f>土方!G186</f>
        <v>50.1174795198079</v>
      </c>
      <c r="M199" s="834">
        <f>土方!G188</f>
        <v>13.5180509024833</v>
      </c>
      <c r="N199" s="823">
        <f>土方!G189</f>
        <v>4.91155849456893</v>
      </c>
    </row>
    <row r="200" ht="21" spans="1:20">
      <c r="A200" s="878" t="str">
        <f>土方!C194</f>
        <v>P-24-1129</v>
      </c>
      <c r="B200" s="879" t="str">
        <f>土方!E193</f>
        <v>74kW推土机（推距：20m）（Ⅰ～Ⅱ类土）</v>
      </c>
      <c r="C200" s="880" t="str">
        <f>土方!G194</f>
        <v>100m3</v>
      </c>
      <c r="D200" s="834">
        <f t="shared" si="30"/>
        <v>246.393962030989</v>
      </c>
      <c r="E200" s="834">
        <f>土方!G200</f>
        <v>9.232</v>
      </c>
      <c r="F200" s="834">
        <f>土方!G203</f>
        <v>11.1196272883925</v>
      </c>
      <c r="G200" s="834">
        <f>土方!G205</f>
        <v>101.964272883925</v>
      </c>
      <c r="H200" s="834"/>
      <c r="I200" s="834">
        <f>土方!G207</f>
        <v>7.82821761102832</v>
      </c>
      <c r="J200" s="834">
        <f>土方!G208</f>
        <v>6.50720588916729</v>
      </c>
      <c r="K200" s="834">
        <f>土方!G209</f>
        <v>9.56559265707592</v>
      </c>
      <c r="L200" s="834">
        <f>土方!G210</f>
        <v>73.2486239135654</v>
      </c>
      <c r="M200" s="834">
        <f>土方!G212</f>
        <v>19.7518986218839</v>
      </c>
      <c r="N200" s="823">
        <f>土方!G213</f>
        <v>7.17652316595115</v>
      </c>
    </row>
    <row r="201" ht="21" spans="1:20">
      <c r="A201" s="878" t="str">
        <f>土方!C218</f>
        <v>P-24-1131</v>
      </c>
      <c r="B201" s="879" t="str">
        <f>土方!E217</f>
        <v>74kW推土机（推距：30m）</v>
      </c>
      <c r="C201" s="880" t="str">
        <f>土方!G218</f>
        <v>100m3</v>
      </c>
      <c r="D201" s="834">
        <f t="shared" si="30"/>
        <v>354.784705725989</v>
      </c>
      <c r="E201" s="834">
        <f>土方!G224</f>
        <v>12.117</v>
      </c>
      <c r="F201" s="834">
        <f>土方!G227</f>
        <v>15.9696868647786</v>
      </c>
      <c r="G201" s="834">
        <f>土方!G229</f>
        <v>147.579868647786</v>
      </c>
      <c r="H201" s="834"/>
      <c r="I201" s="834">
        <f>土方!G231</f>
        <v>11.2426595528041</v>
      </c>
      <c r="J201" s="834">
        <f>土方!G232</f>
        <v>9.34546075326845</v>
      </c>
      <c r="K201" s="834">
        <f>土方!G233</f>
        <v>13.7378273073046</v>
      </c>
      <c r="L201" s="834">
        <f>土方!G234</f>
        <v>106.017745138055</v>
      </c>
      <c r="M201" s="834">
        <f>土方!G236</f>
        <v>28.4409223437597</v>
      </c>
      <c r="N201" s="823">
        <f>土方!G237</f>
        <v>10.3335351182327</v>
      </c>
    </row>
    <row r="202" ht="21" spans="1:20">
      <c r="A202" s="878" t="str">
        <f>维修!K161</f>
        <v>P-35-j2069</v>
      </c>
      <c r="B202" s="879" t="str">
        <f>维修!M160</f>
        <v>1m3挖掘机装石渣自卸汽车运输（运距：0.5km内）</v>
      </c>
      <c r="C202" s="880" t="str">
        <f>维修!O161</f>
        <v>100m3</v>
      </c>
      <c r="D202" s="834">
        <f t="shared" si="30"/>
        <v>1416.93480689711</v>
      </c>
      <c r="E202" s="834">
        <f>维修!O167</f>
        <v>105.014</v>
      </c>
      <c r="F202" s="834">
        <f>维修!O170</f>
        <v>16.2763022975221</v>
      </c>
      <c r="G202" s="834">
        <f>维修!O172</f>
        <v>708.801114876107</v>
      </c>
      <c r="H202" s="834"/>
      <c r="I202" s="834">
        <f>维修!O176</f>
        <v>39.8443880243342</v>
      </c>
      <c r="J202" s="834">
        <f>维修!O177</f>
        <v>78.2942224678167</v>
      </c>
      <c r="K202" s="834">
        <f>维修!O178</f>
        <v>66.3761019366046</v>
      </c>
      <c r="L202" s="834">
        <f>维修!O179</f>
        <v>247.471724585834</v>
      </c>
      <c r="M202" s="834">
        <f>维修!O182</f>
        <v>113.58700687694</v>
      </c>
      <c r="N202" s="823">
        <f>维修!O183</f>
        <v>41.2699458319547</v>
      </c>
    </row>
    <row r="203" ht="22.5" spans="1:20">
      <c r="A203" s="881" t="str">
        <f>堆砌石!C409</f>
        <v>P-374-9012</v>
      </c>
      <c r="B203" s="882" t="str">
        <f>堆砌石!E408</f>
        <v>散抛石护脚</v>
      </c>
      <c r="C203" s="883" t="str">
        <f>堆砌石!G409</f>
        <v>100m3</v>
      </c>
      <c r="D203" s="834">
        <f t="shared" si="30"/>
        <v>17385.5706881901</v>
      </c>
      <c r="E203" s="834">
        <f>堆砌石!G415</f>
        <v>1245.953</v>
      </c>
      <c r="F203" s="834">
        <f>堆砌石!G418</f>
        <v>7224.42</v>
      </c>
      <c r="G203" s="834">
        <f>堆砌石!G421</f>
        <v>54.0806541683287</v>
      </c>
      <c r="H203" s="834"/>
      <c r="I203" s="834">
        <f>堆砌石!G423</f>
        <v>545.565033866773</v>
      </c>
      <c r="J203" s="834">
        <f>堆砌石!G424</f>
        <v>770.951588482984</v>
      </c>
      <c r="K203" s="834">
        <f>堆砌石!G425</f>
        <v>688.867919356266</v>
      </c>
      <c r="L203" s="834">
        <f>堆砌石!G426</f>
        <v>4955.66166</v>
      </c>
      <c r="M203" s="834">
        <f>堆砌石!G429</f>
        <v>1393.69498702869</v>
      </c>
      <c r="N203" s="823">
        <f>堆砌石!G430</f>
        <v>506.375845287091</v>
      </c>
    </row>
    <row r="204" ht="22.5" spans="1:20">
      <c r="A204" s="881" t="str">
        <f>堆砌石!J409</f>
        <v>P-374-9012</v>
      </c>
      <c r="B204" s="882" t="str">
        <f>堆砌石!L408</f>
        <v>散抛石护脚（不计石材费）</v>
      </c>
      <c r="C204" s="883" t="str">
        <f>堆砌石!N409</f>
        <v>100m3</v>
      </c>
      <c r="D204" s="834">
        <f t="shared" si="30"/>
        <v>1806.36338254317</v>
      </c>
      <c r="E204" s="884">
        <f>堆砌石!N415</f>
        <v>1245.953</v>
      </c>
      <c r="F204" s="884">
        <f>堆砌石!N418</f>
        <v>2.491906</v>
      </c>
      <c r="G204" s="884">
        <f>堆砌石!N421</f>
        <v>54.0806541683287</v>
      </c>
      <c r="H204" s="884"/>
      <c r="I204" s="884">
        <f>堆砌石!N423</f>
        <v>83.361635850773</v>
      </c>
      <c r="J204" s="884">
        <f>堆砌石!N424</f>
        <v>117.800411661624</v>
      </c>
      <c r="K204" s="884">
        <f>堆砌石!N425</f>
        <v>105.258132537651</v>
      </c>
      <c r="L204" s="884">
        <f>堆砌石!N426</f>
        <v>0</v>
      </c>
      <c r="M204" s="884">
        <f>堆砌石!N429</f>
        <v>144.805116619654</v>
      </c>
      <c r="N204" s="823">
        <f>堆砌石!N430</f>
        <v>52.6125257051409</v>
      </c>
    </row>
    <row r="205" ht="22.5" spans="1:20">
      <c r="A205" s="881" t="str">
        <f>堆砌石!J382</f>
        <v>P-374-9012</v>
      </c>
      <c r="B205" s="882" t="str">
        <f>堆砌石!L381</f>
        <v>铅丝笼块石护脚（不计石材费）</v>
      </c>
      <c r="C205" s="883" t="str">
        <f>堆砌石!N382</f>
        <v>100m3</v>
      </c>
      <c r="D205" s="834">
        <f t="shared" si="30"/>
        <v>2504.10074119049</v>
      </c>
      <c r="E205" s="884">
        <f>堆砌石!N388</f>
        <v>1754.657</v>
      </c>
      <c r="F205" s="884">
        <f>堆砌石!N391</f>
        <v>0</v>
      </c>
      <c r="G205" s="884">
        <f>堆砌石!N395</f>
        <v>50.9903310729956</v>
      </c>
      <c r="H205" s="884"/>
      <c r="I205" s="884">
        <f>堆砌石!N397</f>
        <v>115.561429188672</v>
      </c>
      <c r="J205" s="884">
        <f>堆砌石!N398</f>
        <v>163.302744622242</v>
      </c>
      <c r="K205" s="884">
        <f>堆砌石!N399</f>
        <v>145.915805341874</v>
      </c>
      <c r="L205" s="884">
        <f>堆砌石!N400</f>
        <v>0</v>
      </c>
      <c r="M205" s="884">
        <f>堆砌石!N403</f>
        <v>200.73845792032</v>
      </c>
      <c r="N205" s="823">
        <f>堆砌石!N404</f>
        <v>72.9349730443831</v>
      </c>
    </row>
    <row r="206" ht="23" customHeight="1" spans="1:20">
      <c r="A206" s="881" t="str">
        <f>堆砌石!C382</f>
        <v>P-374-9012</v>
      </c>
      <c r="B206" s="882" t="str">
        <f>堆砌石!E381</f>
        <v>铅丝笼块石护脚</v>
      </c>
      <c r="C206" s="883" t="str">
        <f>堆砌石!G382</f>
        <v>100m3</v>
      </c>
      <c r="D206" s="834">
        <f t="shared" si="30"/>
        <v>28106.5307929531</v>
      </c>
      <c r="E206" s="884">
        <f>堆砌石!G388</f>
        <v>1754.657</v>
      </c>
      <c r="F206" s="884">
        <f>堆砌石!G391</f>
        <v>14449.435</v>
      </c>
      <c r="G206" s="884">
        <f>堆砌石!G395</f>
        <v>50.9903310729956</v>
      </c>
      <c r="H206" s="884"/>
      <c r="I206" s="884">
        <f>堆砌石!G397</f>
        <v>1040.32526918867</v>
      </c>
      <c r="J206" s="884">
        <f>堆砌石!G398</f>
        <v>1470.10964602224</v>
      </c>
      <c r="K206" s="884">
        <f>堆砌石!G399</f>
        <v>1313.58620723987</v>
      </c>
      <c r="L206" s="884">
        <f>堆砌石!G400</f>
        <v>4955.66166</v>
      </c>
      <c r="M206" s="884">
        <f>堆砌石!G403</f>
        <v>2253.12886021714</v>
      </c>
      <c r="N206" s="823">
        <f>堆砌石!G404</f>
        <v>818.636819212227</v>
      </c>
    </row>
    <row r="207" ht="22.5" spans="1:20">
      <c r="A207" s="885" t="str">
        <f>土方!C532</f>
        <v>P-99-2386</v>
      </c>
      <c r="B207" s="885" t="str">
        <f>土方!E531</f>
        <v>人工装机动翻斗车运石渣（二次倒运）</v>
      </c>
      <c r="C207" s="883" t="str">
        <f>土方!G532</f>
        <v>100m3</v>
      </c>
      <c r="D207" s="834">
        <f t="shared" si="30"/>
        <v>3827.71717944598</v>
      </c>
      <c r="E207" s="884">
        <f>土方!G538</f>
        <v>1213.431</v>
      </c>
      <c r="F207" s="884">
        <f>土方!G541</f>
        <v>45.2948318364579</v>
      </c>
      <c r="G207" s="884">
        <f>土方!G543</f>
        <v>1051.3105918229</v>
      </c>
      <c r="H207" s="884"/>
      <c r="I207" s="884">
        <f>土方!G545</f>
        <v>147.842331114199</v>
      </c>
      <c r="J207" s="884">
        <f>土方!G546</f>
        <v>208.919694155752</v>
      </c>
      <c r="K207" s="884">
        <f>土方!G547</f>
        <v>186.675891425051</v>
      </c>
      <c r="L207" s="884">
        <f>土方!G548</f>
        <v>555.91122965186</v>
      </c>
      <c r="M207" s="884">
        <f>土方!G550</f>
        <v>306.844701300559</v>
      </c>
      <c r="N207" s="823">
        <f>土方!G551</f>
        <v>111.486908139203</v>
      </c>
      <c r="O207" s="795"/>
      <c r="P207" s="795"/>
      <c r="T207" s="795"/>
    </row>
    <row r="208" ht="18" customHeight="1" spans="1:20">
      <c r="A208" s="886"/>
      <c r="B208" s="885" t="str">
        <f>土方!E575</f>
        <v>格栅土枕</v>
      </c>
      <c r="C208" s="883" t="str">
        <f>土方!G576</f>
        <v>100m3</v>
      </c>
      <c r="D208" s="834">
        <f t="shared" si="30"/>
        <v>10306.4113001837</v>
      </c>
      <c r="E208" s="884">
        <f>土方!G582</f>
        <v>4080.031</v>
      </c>
      <c r="F208" s="884">
        <f>土方!G585</f>
        <v>3599.4</v>
      </c>
      <c r="G208" s="884">
        <f>土方!G590</f>
        <v>0</v>
      </c>
      <c r="H208" s="884"/>
      <c r="I208" s="884">
        <f>土方!G592</f>
        <v>491.483584</v>
      </c>
      <c r="J208" s="884">
        <f>土方!G593</f>
        <v>408.5457292</v>
      </c>
      <c r="K208" s="884">
        <f>土方!G594</f>
        <v>600.562221924</v>
      </c>
      <c r="L208" s="884"/>
      <c r="M208" s="884">
        <f>土方!G595</f>
        <v>826.20202816116</v>
      </c>
      <c r="N208" s="823">
        <f>土方!G596</f>
        <v>300.186736898555</v>
      </c>
      <c r="O208" s="795"/>
      <c r="P208" s="795"/>
      <c r="T208" s="795"/>
    </row>
    <row r="209" ht="22.5" spans="1:20">
      <c r="A209" s="885" t="str">
        <f>堆砌石!J329</f>
        <v>P-36-j2077</v>
      </c>
      <c r="B209" s="885" t="str">
        <f>堆砌石!L328</f>
        <v>铅丝笼块石护坡（不计材料费）</v>
      </c>
      <c r="C209" s="883" t="str">
        <f>堆砌石!N329</f>
        <v>100m3</v>
      </c>
      <c r="D209" s="834">
        <f t="shared" si="30"/>
        <v>5385.55530997655</v>
      </c>
      <c r="E209" s="884">
        <f>堆砌石!N334</f>
        <v>3882.15934562226</v>
      </c>
      <c r="F209" s="884">
        <f>堆砌石!N338</f>
        <v>18.997425</v>
      </c>
      <c r="G209" s="884">
        <f>堆砌石!N342</f>
        <v>63.6769206222576</v>
      </c>
      <c r="H209" s="884"/>
      <c r="I209" s="884">
        <f>堆砌石!N344</f>
        <v>186.343648589868</v>
      </c>
      <c r="J209" s="884">
        <f>堆砌石!N345</f>
        <v>345.822754508031</v>
      </c>
      <c r="K209" s="884">
        <f>堆砌石!N346</f>
        <v>309.002802410411</v>
      </c>
      <c r="L209" s="884"/>
      <c r="M209" s="884">
        <f>堆砌石!N349</f>
        <v>425.099569601751</v>
      </c>
      <c r="N209" s="823">
        <f>堆砌石!N350</f>
        <v>154.45284362197</v>
      </c>
      <c r="O209" s="795"/>
      <c r="P209" s="795"/>
      <c r="T209" s="795"/>
    </row>
    <row r="210" ht="23" customHeight="1" spans="1:20">
      <c r="A210" s="885" t="str">
        <f>维修!K161</f>
        <v>P-35-j2069</v>
      </c>
      <c r="B210" s="885" t="str">
        <f>维修!M160</f>
        <v>1m3挖掘机装石渣自卸汽车运输（运距：0.5km内）</v>
      </c>
      <c r="C210" s="883" t="str">
        <f>维修!O161</f>
        <v>100m3</v>
      </c>
      <c r="D210" s="834">
        <f t="shared" si="30"/>
        <v>1416.93480689711</v>
      </c>
      <c r="E210" s="887">
        <f>维修!O167</f>
        <v>105.014</v>
      </c>
      <c r="F210" s="887">
        <f>维修!O170</f>
        <v>16.2763022975221</v>
      </c>
      <c r="G210" s="887">
        <f>维修!O172</f>
        <v>708.801114876107</v>
      </c>
      <c r="H210" s="887"/>
      <c r="I210" s="887">
        <f>维修!O176</f>
        <v>39.8443880243342</v>
      </c>
      <c r="J210" s="887">
        <f>维修!O177</f>
        <v>78.2942224678167</v>
      </c>
      <c r="K210" s="887">
        <f>维修!O178</f>
        <v>66.3761019366046</v>
      </c>
      <c r="L210" s="887">
        <f>维修!O179</f>
        <v>247.471724585834</v>
      </c>
      <c r="M210" s="887">
        <f>维修!O182</f>
        <v>113.58700687694</v>
      </c>
      <c r="N210" s="823">
        <f>维修!O183</f>
        <v>41.2699458319547</v>
      </c>
      <c r="O210" s="795"/>
      <c r="P210" s="795"/>
      <c r="T210" s="795"/>
    </row>
    <row r="211" ht="18" customHeight="1" spans="1:20">
      <c r="A211" s="886"/>
      <c r="B211" s="885"/>
      <c r="C211" s="883"/>
      <c r="D211" s="886"/>
      <c r="E211" s="887"/>
      <c r="F211" s="887"/>
      <c r="G211" s="887"/>
      <c r="H211" s="887"/>
      <c r="I211" s="887"/>
      <c r="J211" s="887"/>
      <c r="K211" s="887"/>
      <c r="L211" s="887"/>
      <c r="M211" s="887"/>
      <c r="N211" s="823"/>
      <c r="O211" s="795"/>
      <c r="P211" s="795"/>
      <c r="T211" s="795"/>
    </row>
    <row r="212" ht="18" customHeight="1" spans="1:20">
      <c r="A212" s="888"/>
      <c r="B212" s="889"/>
      <c r="C212" s="890"/>
      <c r="D212" s="888"/>
      <c r="E212" s="891"/>
      <c r="F212" s="891"/>
      <c r="G212" s="891"/>
      <c r="H212" s="891"/>
      <c r="I212" s="891"/>
      <c r="J212" s="891"/>
      <c r="K212" s="891"/>
      <c r="L212" s="891"/>
      <c r="M212" s="891"/>
      <c r="N212" s="891"/>
      <c r="O212" s="795"/>
      <c r="P212" s="795"/>
      <c r="T212" s="795"/>
    </row>
    <row r="213" ht="18" customHeight="1" spans="1:20">
      <c r="A213" s="795"/>
      <c r="B213" s="892"/>
      <c r="D213" s="795"/>
      <c r="E213" s="793"/>
      <c r="F213" s="793"/>
      <c r="G213" s="793"/>
      <c r="H213" s="793"/>
      <c r="I213" s="793"/>
      <c r="J213" s="793"/>
      <c r="K213" s="793"/>
      <c r="L213" s="793"/>
      <c r="M213" s="793"/>
      <c r="N213" s="793"/>
      <c r="O213" s="795"/>
      <c r="P213" s="795"/>
      <c r="T213" s="795"/>
    </row>
    <row r="214" ht="18" customHeight="1" spans="1:20">
      <c r="A214" s="795"/>
      <c r="B214" s="892"/>
      <c r="D214" s="795"/>
      <c r="E214" s="793"/>
      <c r="F214" s="793"/>
      <c r="G214" s="793"/>
      <c r="H214" s="793"/>
      <c r="I214" s="793"/>
      <c r="J214" s="793"/>
      <c r="K214" s="793"/>
      <c r="L214" s="793"/>
      <c r="M214" s="793"/>
      <c r="N214" s="793"/>
      <c r="O214" s="795"/>
      <c r="P214" s="795"/>
      <c r="T214" s="795"/>
    </row>
    <row r="215" ht="18" customHeight="1" spans="1:20">
      <c r="A215" s="795"/>
      <c r="B215" s="892"/>
      <c r="D215" s="795"/>
      <c r="E215" s="793"/>
      <c r="F215" s="793"/>
      <c r="G215" s="793"/>
      <c r="H215" s="793"/>
      <c r="I215" s="793"/>
      <c r="J215" s="793"/>
      <c r="K215" s="793"/>
      <c r="L215" s="793"/>
      <c r="M215" s="793"/>
      <c r="N215" s="793"/>
      <c r="O215" s="795"/>
      <c r="P215" s="795"/>
      <c r="T215" s="795"/>
    </row>
    <row r="216" ht="18" customHeight="1" spans="1:20">
      <c r="A216" s="795"/>
      <c r="B216" s="892"/>
      <c r="D216" s="795"/>
      <c r="E216" s="793"/>
      <c r="F216" s="793"/>
      <c r="G216" s="793"/>
      <c r="H216" s="793"/>
      <c r="I216" s="793"/>
      <c r="J216" s="793"/>
      <c r="K216" s="793"/>
      <c r="L216" s="793"/>
      <c r="M216" s="793"/>
      <c r="N216" s="793"/>
      <c r="O216" s="795"/>
      <c r="P216" s="795"/>
      <c r="T216" s="795"/>
    </row>
    <row r="217" ht="18" customHeight="1" spans="1:20">
      <c r="A217" s="795"/>
      <c r="B217" s="892"/>
      <c r="D217" s="795"/>
      <c r="E217" s="793"/>
      <c r="F217" s="793"/>
      <c r="G217" s="793"/>
      <c r="H217" s="793"/>
      <c r="I217" s="793"/>
      <c r="J217" s="793"/>
      <c r="K217" s="793"/>
      <c r="L217" s="793"/>
      <c r="M217" s="793"/>
      <c r="N217" s="793"/>
      <c r="O217" s="795"/>
      <c r="P217" s="795"/>
      <c r="T217" s="795"/>
    </row>
    <row r="218" ht="18" customHeight="1" spans="1:20">
      <c r="A218" s="795"/>
      <c r="B218" s="892"/>
      <c r="D218" s="795"/>
      <c r="E218" s="793"/>
      <c r="F218" s="793"/>
      <c r="G218" s="793"/>
      <c r="H218" s="793"/>
      <c r="I218" s="793"/>
      <c r="J218" s="793"/>
      <c r="K218" s="793"/>
      <c r="L218" s="793"/>
      <c r="M218" s="793"/>
      <c r="N218" s="793"/>
      <c r="O218" s="795"/>
      <c r="P218" s="795"/>
      <c r="T218" s="795"/>
    </row>
    <row r="219" ht="18" customHeight="1" spans="1:20">
      <c r="A219" s="795"/>
      <c r="B219" s="892"/>
      <c r="D219" s="795"/>
      <c r="E219" s="793"/>
      <c r="F219" s="793"/>
      <c r="G219" s="793"/>
      <c r="H219" s="793"/>
      <c r="I219" s="793"/>
      <c r="J219" s="793"/>
      <c r="K219" s="793"/>
      <c r="L219" s="793"/>
      <c r="M219" s="793"/>
      <c r="N219" s="793"/>
      <c r="O219" s="795"/>
      <c r="P219" s="795"/>
      <c r="T219" s="795"/>
    </row>
    <row r="220" ht="18" customHeight="1" spans="1:20">
      <c r="A220" s="795"/>
      <c r="B220" s="892"/>
      <c r="D220" s="795"/>
      <c r="E220" s="793"/>
      <c r="F220" s="793"/>
      <c r="G220" s="793"/>
      <c r="H220" s="793"/>
      <c r="I220" s="793"/>
      <c r="J220" s="793"/>
      <c r="K220" s="793"/>
      <c r="L220" s="793"/>
      <c r="M220" s="793"/>
      <c r="N220" s="793"/>
      <c r="O220" s="795"/>
      <c r="P220" s="795"/>
      <c r="T220" s="795"/>
    </row>
    <row r="221" ht="18" customHeight="1" spans="1:20">
      <c r="A221" s="795"/>
      <c r="B221" s="892"/>
      <c r="D221" s="795"/>
      <c r="E221" s="793"/>
      <c r="F221" s="793"/>
      <c r="G221" s="793"/>
      <c r="H221" s="793"/>
      <c r="I221" s="793"/>
      <c r="J221" s="793"/>
      <c r="K221" s="793"/>
      <c r="L221" s="793"/>
      <c r="M221" s="793"/>
      <c r="N221" s="793"/>
      <c r="O221" s="795"/>
      <c r="P221" s="795"/>
      <c r="T221" s="795"/>
    </row>
    <row r="222" ht="18" customHeight="1" spans="1:20">
      <c r="A222" s="795"/>
      <c r="B222" s="892"/>
      <c r="D222" s="795"/>
      <c r="E222" s="793"/>
      <c r="F222" s="793"/>
      <c r="G222" s="793"/>
      <c r="H222" s="793"/>
      <c r="I222" s="793"/>
      <c r="J222" s="793"/>
      <c r="K222" s="793"/>
      <c r="L222" s="793"/>
      <c r="M222" s="793"/>
      <c r="N222" s="793"/>
      <c r="O222" s="795"/>
      <c r="P222" s="795"/>
      <c r="T222" s="795"/>
    </row>
    <row r="223" ht="18" customHeight="1" spans="1:20">
      <c r="A223" s="795"/>
      <c r="B223" s="892"/>
      <c r="D223" s="795"/>
      <c r="E223" s="793"/>
      <c r="F223" s="793"/>
      <c r="G223" s="793"/>
      <c r="H223" s="793"/>
      <c r="I223" s="793"/>
      <c r="J223" s="793"/>
      <c r="K223" s="793"/>
      <c r="L223" s="793"/>
      <c r="M223" s="793"/>
      <c r="N223" s="793"/>
      <c r="O223" s="795"/>
      <c r="P223" s="795"/>
      <c r="T223" s="795"/>
    </row>
    <row r="224" ht="18" customHeight="1" spans="1:20">
      <c r="A224" s="795"/>
      <c r="B224" s="892"/>
      <c r="D224" s="795"/>
      <c r="E224" s="793"/>
      <c r="F224" s="793"/>
      <c r="G224" s="793"/>
      <c r="H224" s="793"/>
      <c r="I224" s="793"/>
      <c r="J224" s="793"/>
      <c r="K224" s="793"/>
      <c r="L224" s="793"/>
      <c r="M224" s="793"/>
      <c r="N224" s="793"/>
      <c r="O224" s="795"/>
      <c r="P224" s="795"/>
      <c r="T224" s="795"/>
    </row>
    <row r="225" ht="18" customHeight="1" spans="1:20">
      <c r="A225" s="795"/>
      <c r="B225" s="892"/>
      <c r="D225" s="795"/>
      <c r="E225" s="793"/>
      <c r="F225" s="793"/>
      <c r="G225" s="793"/>
      <c r="H225" s="793"/>
      <c r="I225" s="793"/>
      <c r="J225" s="793"/>
      <c r="K225" s="793"/>
      <c r="L225" s="793"/>
      <c r="M225" s="793"/>
      <c r="N225" s="793"/>
      <c r="O225" s="795"/>
      <c r="P225" s="795"/>
      <c r="T225" s="795"/>
    </row>
    <row r="226" ht="18" customHeight="1" spans="1:20">
      <c r="A226" s="795"/>
      <c r="B226" s="892"/>
      <c r="D226" s="795"/>
      <c r="E226" s="793"/>
      <c r="F226" s="793"/>
      <c r="G226" s="793"/>
      <c r="H226" s="793"/>
      <c r="I226" s="793"/>
      <c r="J226" s="793"/>
      <c r="K226" s="793"/>
      <c r="L226" s="793"/>
      <c r="M226" s="793"/>
      <c r="N226" s="793"/>
      <c r="O226" s="795"/>
      <c r="P226" s="795"/>
      <c r="T226" s="795"/>
    </row>
    <row r="227" ht="18" customHeight="1" spans="1:20">
      <c r="A227" s="795"/>
      <c r="B227" s="892"/>
      <c r="D227" s="795"/>
      <c r="E227" s="793"/>
      <c r="F227" s="793"/>
      <c r="G227" s="793"/>
      <c r="H227" s="793"/>
      <c r="I227" s="793"/>
      <c r="J227" s="793"/>
      <c r="K227" s="793"/>
      <c r="L227" s="793"/>
      <c r="M227" s="793"/>
      <c r="N227" s="793"/>
      <c r="O227" s="795"/>
      <c r="P227" s="795"/>
      <c r="T227" s="795"/>
    </row>
    <row r="228" ht="18" customHeight="1" spans="1:20">
      <c r="A228" s="795"/>
      <c r="B228" s="892"/>
      <c r="D228" s="795"/>
      <c r="O228" s="795"/>
      <c r="P228" s="795"/>
      <c r="T228" s="795"/>
    </row>
    <row r="229" ht="18" customHeight="1" spans="1:20">
      <c r="A229" s="795"/>
      <c r="B229" s="892"/>
      <c r="D229" s="795"/>
      <c r="O229" s="795"/>
      <c r="P229" s="795"/>
      <c r="T229" s="795"/>
    </row>
    <row r="230" ht="18" customHeight="1" spans="1:20">
      <c r="A230" s="795"/>
      <c r="B230" s="892"/>
      <c r="D230" s="795"/>
      <c r="O230" s="795"/>
      <c r="P230" s="795"/>
      <c r="T230" s="795"/>
    </row>
    <row r="231" ht="18" customHeight="1" spans="1:20">
      <c r="A231" s="795"/>
      <c r="B231" s="892"/>
      <c r="D231" s="795"/>
      <c r="O231" s="795"/>
      <c r="P231" s="795"/>
      <c r="T231" s="795"/>
    </row>
    <row r="232" ht="18" customHeight="1" spans="1:20">
      <c r="A232" s="795"/>
      <c r="B232" s="892"/>
      <c r="D232" s="795"/>
      <c r="O232" s="795"/>
      <c r="P232" s="795"/>
      <c r="T232" s="795"/>
    </row>
    <row r="233" ht="18" customHeight="1" spans="1:20">
      <c r="A233" s="795"/>
      <c r="B233" s="892"/>
      <c r="D233" s="795"/>
      <c r="O233" s="795"/>
      <c r="P233" s="795"/>
      <c r="T233" s="795"/>
    </row>
    <row r="234" ht="18" customHeight="1" spans="1:20">
      <c r="A234" s="795"/>
      <c r="B234" s="892"/>
      <c r="D234" s="795"/>
      <c r="O234" s="795"/>
      <c r="P234" s="795"/>
      <c r="T234" s="795"/>
    </row>
    <row r="235" ht="18" customHeight="1" spans="1:20">
      <c r="A235" s="795"/>
      <c r="B235" s="892"/>
      <c r="D235" s="795"/>
      <c r="O235" s="795"/>
      <c r="P235" s="795"/>
      <c r="T235" s="795"/>
    </row>
    <row r="236" ht="18" customHeight="1" spans="1:20">
      <c r="A236" s="795"/>
      <c r="B236" s="892"/>
      <c r="D236" s="795"/>
      <c r="O236" s="795"/>
      <c r="P236" s="795"/>
      <c r="T236" s="795"/>
    </row>
    <row r="237" ht="18" customHeight="1" spans="1:20">
      <c r="A237" s="795"/>
      <c r="B237" s="892"/>
      <c r="D237" s="795"/>
      <c r="O237" s="795"/>
      <c r="P237" s="795"/>
      <c r="T237" s="795"/>
    </row>
    <row r="238" ht="18" customHeight="1" spans="1:20">
      <c r="A238" s="795"/>
      <c r="B238" s="892"/>
      <c r="D238" s="795"/>
      <c r="O238" s="795"/>
      <c r="P238" s="795"/>
      <c r="T238" s="795"/>
    </row>
    <row r="239" ht="18" customHeight="1" spans="1:20">
      <c r="A239" s="795"/>
      <c r="B239" s="892"/>
      <c r="D239" s="795"/>
      <c r="E239" s="795"/>
      <c r="O239" s="795"/>
      <c r="P239" s="795"/>
      <c r="T239" s="795"/>
    </row>
    <row r="240" ht="18" customHeight="1" spans="1:20">
      <c r="A240" s="795"/>
      <c r="B240" s="892"/>
      <c r="D240" s="795"/>
      <c r="E240" s="795"/>
      <c r="O240" s="795"/>
      <c r="P240" s="795"/>
      <c r="T240" s="795"/>
    </row>
    <row r="241" ht="18" customHeight="1" spans="1:20">
      <c r="A241" s="795"/>
      <c r="B241" s="892"/>
      <c r="D241" s="795"/>
      <c r="E241" s="795"/>
      <c r="O241" s="795"/>
      <c r="P241" s="795"/>
      <c r="T241" s="795"/>
    </row>
    <row r="242" ht="18" customHeight="1" spans="1:20">
      <c r="A242" s="795"/>
      <c r="B242" s="892"/>
      <c r="D242" s="795"/>
      <c r="E242" s="795"/>
      <c r="O242" s="795"/>
      <c r="P242" s="795"/>
      <c r="T242" s="795"/>
    </row>
    <row r="243" ht="18" customHeight="1" spans="1:20">
      <c r="A243" s="795"/>
      <c r="B243" s="892"/>
      <c r="D243" s="795"/>
      <c r="E243" s="795"/>
      <c r="O243" s="795"/>
      <c r="P243" s="795"/>
      <c r="T243" s="795"/>
    </row>
    <row r="244" ht="18" customHeight="1" spans="1:20">
      <c r="A244" s="795"/>
      <c r="B244" s="892"/>
      <c r="D244" s="795"/>
      <c r="E244" s="795"/>
      <c r="O244" s="795"/>
      <c r="P244" s="795"/>
      <c r="T244" s="795"/>
    </row>
    <row r="245" ht="18" customHeight="1" spans="1:20">
      <c r="A245" s="795"/>
      <c r="B245" s="892"/>
      <c r="D245" s="795"/>
      <c r="E245" s="795"/>
      <c r="O245" s="795"/>
      <c r="P245" s="795"/>
      <c r="T245" s="795"/>
    </row>
    <row r="246" ht="18" customHeight="1" spans="1:20">
      <c r="A246" s="795"/>
      <c r="B246" s="892"/>
      <c r="D246" s="795"/>
      <c r="E246" s="795"/>
      <c r="O246" s="795"/>
      <c r="P246" s="795"/>
      <c r="T246" s="795"/>
    </row>
    <row r="247" ht="18" customHeight="1" spans="1:20">
      <c r="A247" s="795"/>
      <c r="B247" s="892"/>
      <c r="D247" s="795"/>
      <c r="E247" s="795"/>
      <c r="O247" s="795"/>
      <c r="P247" s="795"/>
      <c r="T247" s="795"/>
    </row>
    <row r="248" ht="18" customHeight="1" spans="1:20">
      <c r="A248" s="795"/>
      <c r="B248" s="892"/>
      <c r="D248" s="795"/>
      <c r="E248" s="795"/>
      <c r="O248" s="795"/>
      <c r="P248" s="795"/>
      <c r="T248" s="795"/>
    </row>
    <row r="249" ht="18" customHeight="1" spans="1:20">
      <c r="A249" s="795"/>
      <c r="B249" s="892"/>
      <c r="D249" s="795"/>
      <c r="E249" s="795"/>
      <c r="O249" s="795"/>
      <c r="P249" s="795"/>
      <c r="T249" s="795"/>
    </row>
    <row r="250" ht="18" customHeight="1" spans="1:20">
      <c r="A250" s="795"/>
      <c r="B250" s="892"/>
      <c r="D250" s="795"/>
      <c r="E250" s="795"/>
      <c r="O250" s="795"/>
      <c r="P250" s="795"/>
      <c r="T250" s="795"/>
    </row>
    <row r="251" ht="18" customHeight="1" spans="1:20">
      <c r="A251" s="795"/>
      <c r="B251" s="892"/>
      <c r="D251" s="795"/>
      <c r="E251" s="795"/>
      <c r="O251" s="795"/>
      <c r="P251" s="795"/>
      <c r="T251" s="795"/>
    </row>
    <row r="252" ht="18" customHeight="1" spans="1:20">
      <c r="A252" s="795"/>
      <c r="B252" s="892"/>
      <c r="D252" s="795"/>
      <c r="E252" s="795"/>
      <c r="O252" s="795"/>
      <c r="P252" s="795"/>
      <c r="T252" s="795"/>
    </row>
    <row r="253" ht="18" customHeight="1" spans="1:20">
      <c r="A253" s="795"/>
      <c r="B253" s="892"/>
      <c r="D253" s="795"/>
      <c r="E253" s="795"/>
      <c r="O253" s="795"/>
      <c r="P253" s="795"/>
      <c r="T253" s="795"/>
    </row>
    <row r="254" ht="18" customHeight="1" spans="1:20">
      <c r="A254" s="795"/>
      <c r="B254" s="892"/>
      <c r="D254" s="795"/>
      <c r="E254" s="795"/>
      <c r="O254" s="795"/>
      <c r="P254" s="795"/>
      <c r="T254" s="795"/>
    </row>
    <row r="255" ht="18" customHeight="1" spans="1:20">
      <c r="A255" s="795"/>
      <c r="B255" s="892"/>
      <c r="D255" s="795"/>
      <c r="E255" s="795"/>
      <c r="O255" s="795"/>
      <c r="P255" s="795"/>
      <c r="T255" s="795"/>
    </row>
    <row r="256" ht="18" customHeight="1" spans="1:20">
      <c r="A256" s="795"/>
      <c r="B256" s="892"/>
      <c r="D256" s="795"/>
      <c r="E256" s="795"/>
      <c r="O256" s="795"/>
      <c r="P256" s="795"/>
      <c r="T256" s="795"/>
    </row>
    <row r="257" ht="18" customHeight="1" spans="1:20">
      <c r="A257" s="795"/>
      <c r="B257" s="892"/>
      <c r="D257" s="795"/>
      <c r="E257" s="795"/>
      <c r="O257" s="795"/>
      <c r="P257" s="795"/>
      <c r="T257" s="795"/>
    </row>
    <row r="258" ht="18" customHeight="1" spans="1:20">
      <c r="A258" s="795"/>
      <c r="B258" s="892"/>
      <c r="D258" s="795"/>
      <c r="E258" s="795"/>
      <c r="O258" s="795"/>
      <c r="P258" s="795"/>
      <c r="T258" s="795"/>
    </row>
    <row r="259" ht="18" customHeight="1" spans="1:20">
      <c r="A259" s="795"/>
      <c r="B259" s="892"/>
      <c r="D259" s="795"/>
      <c r="E259" s="795"/>
      <c r="O259" s="795"/>
      <c r="P259" s="795"/>
      <c r="T259" s="795"/>
    </row>
    <row r="260" ht="18" customHeight="1" spans="1:20">
      <c r="A260" s="795"/>
      <c r="B260" s="892"/>
      <c r="D260" s="795"/>
      <c r="E260" s="795"/>
      <c r="O260" s="795"/>
      <c r="P260" s="795"/>
      <c r="T260" s="795"/>
    </row>
    <row r="261" ht="18" customHeight="1" spans="1:20">
      <c r="A261" s="795"/>
      <c r="B261" s="892"/>
      <c r="D261" s="795"/>
      <c r="E261" s="795"/>
      <c r="O261" s="795"/>
      <c r="P261" s="795"/>
      <c r="T261" s="795"/>
    </row>
    <row r="262" ht="18" customHeight="1" spans="1:20">
      <c r="A262" s="795"/>
      <c r="B262" s="892"/>
      <c r="D262" s="795"/>
      <c r="E262" s="795"/>
      <c r="O262" s="795"/>
      <c r="P262" s="795"/>
      <c r="T262" s="795"/>
    </row>
    <row r="263" ht="18" customHeight="1" spans="1:20">
      <c r="A263" s="795"/>
      <c r="B263" s="892"/>
      <c r="D263" s="795"/>
      <c r="E263" s="795"/>
      <c r="O263" s="795"/>
      <c r="P263" s="795"/>
      <c r="T263" s="795"/>
    </row>
  </sheetData>
  <mergeCells count="16">
    <mergeCell ref="A1:N1"/>
    <mergeCell ref="E2:N2"/>
    <mergeCell ref="A2:A4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pageMargins left="1.18055555555556" right="0.979166666666667" top="0.979166666666667" bottom="0.790277777777778" header="0.511805555555556" footer="0.511805555555556"/>
  <pageSetup paperSize="9" firstPageNumber="142" orientation="landscape" useFirstPageNumber="1"/>
  <headerFooter alignWithMargins="0" scaleWithDoc="0"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AF83"/>
  <sheetViews>
    <sheetView zoomScale="85" zoomScaleNormal="85" topLeftCell="C1" workbookViewId="0">
      <selection activeCell="W11" sqref="W11"/>
    </sheetView>
  </sheetViews>
  <sheetFormatPr defaultColWidth="9" defaultRowHeight="14.25"/>
  <cols>
    <col min="1" max="1" width="6.75" style="658" customWidth="1"/>
    <col min="2" max="2" width="12" style="658" customWidth="1"/>
    <col min="3" max="4" width="7.875" style="658" customWidth="1"/>
    <col min="5" max="5" width="9.75" style="658" customWidth="1"/>
    <col min="6" max="6" width="7.625" style="658" customWidth="1"/>
    <col min="7" max="7" width="9.875" style="658" customWidth="1"/>
    <col min="8" max="8" width="12" style="658" customWidth="1"/>
    <col min="9" max="9" width="6.25" style="658" customWidth="1"/>
    <col min="10" max="10" width="10.25" style="658" customWidth="1"/>
    <col min="11" max="11" width="5.25" style="658" customWidth="1"/>
    <col min="12" max="12" width="9.25" style="658" customWidth="1"/>
    <col min="13" max="13" width="12.25" style="658" customWidth="1"/>
    <col min="14" max="14" width="9.125" style="658" customWidth="1"/>
    <col min="15" max="15" width="19.125" style="658" customWidth="1"/>
    <col min="16" max="16" width="7.625" style="658" customWidth="1"/>
    <col min="17" max="17" width="3.625" style="658" customWidth="1"/>
    <col min="18" max="18" width="14" style="658" customWidth="1"/>
    <col min="19" max="19" width="8.875" style="658" customWidth="1"/>
    <col min="20" max="20" width="6" style="658" customWidth="1"/>
    <col min="21" max="21" width="8.875" style="658" customWidth="1"/>
    <col min="22" max="22" width="4.5" style="658" customWidth="1"/>
    <col min="23" max="23" width="5.875" style="658" customWidth="1"/>
    <col min="24" max="24" width="7.375" style="658" customWidth="1"/>
    <col min="25" max="25" width="9" style="658" customWidth="1"/>
    <col min="26" max="26" width="7.875" style="658" customWidth="1"/>
    <col min="27" max="28" width="9" style="658"/>
    <col min="29" max="29" width="8.25" style="658" customWidth="1"/>
    <col min="30" max="30" width="7.25" style="658" customWidth="1"/>
    <col min="31" max="31" width="8.25" style="659" customWidth="1"/>
    <col min="32" max="16384" width="9" style="658"/>
  </cols>
  <sheetData>
    <row r="1" ht="21.95" customHeight="1" spans="1:32">
      <c r="A1" s="660" t="s">
        <v>650</v>
      </c>
      <c r="B1" s="661"/>
      <c r="C1" s="661"/>
      <c r="D1" s="661"/>
      <c r="E1" s="661"/>
      <c r="F1" s="661"/>
      <c r="G1" s="661"/>
      <c r="H1" s="661"/>
      <c r="I1" s="662" t="s">
        <v>651</v>
      </c>
      <c r="J1" s="662"/>
      <c r="K1" s="662"/>
      <c r="L1" s="662"/>
      <c r="M1" s="662"/>
      <c r="N1" s="662"/>
      <c r="O1" s="662"/>
      <c r="P1" s="663"/>
      <c r="Q1" s="664" t="s">
        <v>652</v>
      </c>
      <c r="R1" s="665"/>
      <c r="S1" s="665"/>
      <c r="T1" s="665"/>
      <c r="U1" s="665"/>
      <c r="V1" s="665"/>
      <c r="W1" s="665"/>
      <c r="X1" s="665"/>
      <c r="Y1" s="665"/>
      <c r="Z1" s="665"/>
      <c r="AA1" s="665"/>
      <c r="AB1" s="665"/>
      <c r="AC1" s="665"/>
      <c r="AD1" s="665"/>
      <c r="AE1" s="665"/>
    </row>
    <row r="2" ht="15" customHeight="1" spans="1:32">
      <c r="A2" s="666" t="s">
        <v>1</v>
      </c>
      <c r="B2" s="667" t="s">
        <v>653</v>
      </c>
      <c r="C2" s="667" t="s">
        <v>60</v>
      </c>
      <c r="D2" s="668" t="s">
        <v>654</v>
      </c>
      <c r="E2" s="667" t="s">
        <v>655</v>
      </c>
      <c r="F2" s="667"/>
      <c r="G2" s="667"/>
      <c r="H2" s="669"/>
      <c r="I2" s="666" t="s">
        <v>1</v>
      </c>
      <c r="J2" s="667" t="s">
        <v>653</v>
      </c>
      <c r="K2" s="667" t="s">
        <v>60</v>
      </c>
      <c r="L2" s="670" t="s">
        <v>656</v>
      </c>
      <c r="M2" s="671" t="s">
        <v>657</v>
      </c>
      <c r="N2" s="670" t="s">
        <v>658</v>
      </c>
      <c r="O2" s="672" t="s">
        <v>659</v>
      </c>
      <c r="P2" s="673"/>
      <c r="Q2" s="674" t="s">
        <v>1</v>
      </c>
      <c r="R2" s="675" t="s">
        <v>660</v>
      </c>
      <c r="S2" s="675" t="s">
        <v>661</v>
      </c>
      <c r="T2" s="675" t="s">
        <v>60</v>
      </c>
      <c r="U2" s="675" t="s">
        <v>662</v>
      </c>
      <c r="V2" s="675" t="s">
        <v>663</v>
      </c>
      <c r="W2" s="675" t="s">
        <v>664</v>
      </c>
      <c r="X2" s="675" t="s">
        <v>665</v>
      </c>
      <c r="Y2" s="675" t="s">
        <v>666</v>
      </c>
      <c r="Z2" s="675" t="s">
        <v>667</v>
      </c>
      <c r="AA2" s="675" t="s">
        <v>668</v>
      </c>
      <c r="AB2" s="675" t="s">
        <v>669</v>
      </c>
      <c r="AC2" s="675" t="s">
        <v>670</v>
      </c>
      <c r="AD2" s="675" t="s">
        <v>657</v>
      </c>
      <c r="AE2" s="676" t="s">
        <v>658</v>
      </c>
    </row>
    <row r="3" ht="15" customHeight="1" spans="1:32">
      <c r="A3" s="677"/>
      <c r="B3" s="678"/>
      <c r="C3" s="678"/>
      <c r="D3" s="679"/>
      <c r="E3" s="680" t="s">
        <v>671</v>
      </c>
      <c r="F3" s="680" t="s">
        <v>668</v>
      </c>
      <c r="G3" s="680" t="s">
        <v>672</v>
      </c>
      <c r="H3" s="681" t="s">
        <v>669</v>
      </c>
      <c r="I3" s="677"/>
      <c r="J3" s="678"/>
      <c r="K3" s="678"/>
      <c r="L3" s="680"/>
      <c r="M3" s="682"/>
      <c r="N3" s="680"/>
      <c r="O3" s="681"/>
      <c r="P3" s="673"/>
      <c r="Q3" s="683"/>
      <c r="R3" s="684"/>
      <c r="S3" s="684"/>
      <c r="T3" s="684"/>
      <c r="U3" s="684"/>
      <c r="V3" s="684"/>
      <c r="W3" s="684"/>
      <c r="X3" s="684"/>
      <c r="Y3" s="684"/>
      <c r="Z3" s="684"/>
      <c r="AA3" s="684"/>
      <c r="AB3" s="684"/>
      <c r="AC3" s="684"/>
      <c r="AD3" s="684"/>
      <c r="AE3" s="685"/>
    </row>
    <row r="4" ht="15" customHeight="1" spans="1:32">
      <c r="A4" s="677"/>
      <c r="B4" s="678"/>
      <c r="C4" s="678"/>
      <c r="D4" s="686"/>
      <c r="E4" s="680"/>
      <c r="F4" s="680"/>
      <c r="G4" s="680"/>
      <c r="H4" s="681"/>
      <c r="I4" s="687">
        <v>1</v>
      </c>
      <c r="J4" s="688" t="s">
        <v>673</v>
      </c>
      <c r="K4" s="689" t="s">
        <v>204</v>
      </c>
      <c r="L4" s="690">
        <f t="shared" ref="L4:L11" si="0">D5</f>
        <v>4193.76678</v>
      </c>
      <c r="M4" s="691">
        <f>AD4</f>
        <v>2560</v>
      </c>
      <c r="N4" s="678">
        <f>L4-M4</f>
        <v>1633.76678</v>
      </c>
      <c r="O4" s="692" t="s">
        <v>674</v>
      </c>
      <c r="P4" s="673"/>
      <c r="Q4" s="683">
        <v>1</v>
      </c>
      <c r="R4" s="693" t="s">
        <v>673</v>
      </c>
      <c r="S4" s="693" t="s">
        <v>675</v>
      </c>
      <c r="T4" s="694" t="s">
        <v>204</v>
      </c>
      <c r="U4" s="695">
        <v>3964.54</v>
      </c>
      <c r="V4" s="693" t="s">
        <v>676</v>
      </c>
      <c r="W4" s="693">
        <v>20</v>
      </c>
      <c r="X4" s="695">
        <f>S37*7.85</f>
        <v>6.6725</v>
      </c>
      <c r="Y4" s="695">
        <f t="shared" ref="Y4:Y12" si="1">W4*X4</f>
        <v>133.45</v>
      </c>
      <c r="Z4" s="695">
        <f>Y33+Z33</f>
        <v>5.5</v>
      </c>
      <c r="AA4" s="695">
        <f>(Y4+Z4)</f>
        <v>138.95</v>
      </c>
      <c r="AB4" s="695">
        <f>(U4+AA4)*2%*1.1</f>
        <v>90.27678</v>
      </c>
      <c r="AC4" s="695">
        <f>U4+AA4+AB4</f>
        <v>4193.76678</v>
      </c>
      <c r="AD4" s="696">
        <v>2560</v>
      </c>
      <c r="AE4" s="697">
        <f>AC4-AD4</f>
        <v>1633.76678</v>
      </c>
      <c r="AF4" s="698"/>
    </row>
    <row r="5" ht="15" customHeight="1" spans="1:32">
      <c r="A5" s="687">
        <v>1</v>
      </c>
      <c r="B5" s="688" t="s">
        <v>673</v>
      </c>
      <c r="C5" s="689" t="s">
        <v>204</v>
      </c>
      <c r="D5" s="678">
        <f t="shared" ref="D5:D13" si="2">SUM(E5:H5)</f>
        <v>4193.76678</v>
      </c>
      <c r="E5" s="678">
        <f t="shared" ref="E5:E12" si="3">U4</f>
        <v>3964.54</v>
      </c>
      <c r="F5" s="678">
        <f t="shared" ref="F5:F12" si="4">AA4</f>
        <v>138.95</v>
      </c>
      <c r="G5" s="699"/>
      <c r="H5" s="690">
        <f>SUM(E5:G5)*2%*1.1</f>
        <v>90.27678</v>
      </c>
      <c r="I5" s="687">
        <v>2</v>
      </c>
      <c r="J5" s="688" t="s">
        <v>677</v>
      </c>
      <c r="K5" s="689" t="s">
        <v>204</v>
      </c>
      <c r="L5" s="690">
        <f t="shared" si="0"/>
        <v>394.17214</v>
      </c>
      <c r="M5" s="691">
        <f>AD5</f>
        <v>255</v>
      </c>
      <c r="N5" s="678">
        <f>L5-M5</f>
        <v>139.17214</v>
      </c>
      <c r="O5" s="681" t="s">
        <v>678</v>
      </c>
      <c r="P5" s="673"/>
      <c r="Q5" s="683">
        <v>2</v>
      </c>
      <c r="R5" s="693" t="s">
        <v>679</v>
      </c>
      <c r="S5" s="693" t="s">
        <v>675</v>
      </c>
      <c r="T5" s="694" t="s">
        <v>204</v>
      </c>
      <c r="U5" s="695">
        <v>353.98</v>
      </c>
      <c r="V5" s="693" t="s">
        <v>676</v>
      </c>
      <c r="W5" s="693">
        <v>20</v>
      </c>
      <c r="X5" s="695">
        <f>S37*1.3</f>
        <v>1.105</v>
      </c>
      <c r="Y5" s="695">
        <f t="shared" si="1"/>
        <v>22.1</v>
      </c>
      <c r="Z5" s="695">
        <f>Y33+Z33</f>
        <v>5.5</v>
      </c>
      <c r="AA5" s="695">
        <f t="shared" ref="AA5:AA12" si="5">(Y5+Z5)</f>
        <v>27.6</v>
      </c>
      <c r="AB5" s="695">
        <f>(U5+AA5)*3%*1.1</f>
        <v>12.59214</v>
      </c>
      <c r="AC5" s="695">
        <f t="shared" ref="AC5:AC15" si="6">U5+AA5+AB5</f>
        <v>394.17214</v>
      </c>
      <c r="AD5" s="696">
        <v>255</v>
      </c>
      <c r="AE5" s="697">
        <f>AC5-AD5</f>
        <v>139.17214</v>
      </c>
      <c r="AF5" s="698"/>
    </row>
    <row r="6" ht="15" customHeight="1" spans="1:32">
      <c r="A6" s="687">
        <v>2</v>
      </c>
      <c r="B6" s="688" t="s">
        <v>679</v>
      </c>
      <c r="C6" s="689" t="s">
        <v>204</v>
      </c>
      <c r="D6" s="678">
        <f t="shared" si="2"/>
        <v>394.17214</v>
      </c>
      <c r="E6" s="678">
        <f t="shared" si="3"/>
        <v>353.98</v>
      </c>
      <c r="F6" s="680">
        <f t="shared" si="4"/>
        <v>27.6</v>
      </c>
      <c r="G6" s="680"/>
      <c r="H6" s="690">
        <f>(E6+F6)*3%*1.1</f>
        <v>12.59214</v>
      </c>
      <c r="I6" s="687">
        <v>3</v>
      </c>
      <c r="J6" s="688" t="s">
        <v>680</v>
      </c>
      <c r="K6" s="689" t="s">
        <v>681</v>
      </c>
      <c r="L6" s="690">
        <f t="shared" si="0"/>
        <v>2209.125</v>
      </c>
      <c r="M6" s="700">
        <v>1700</v>
      </c>
      <c r="N6" s="678">
        <f t="shared" ref="N6:N13" si="7">L6-M6</f>
        <v>509.125</v>
      </c>
      <c r="O6" s="701" t="s">
        <v>674</v>
      </c>
      <c r="P6" s="673"/>
      <c r="Q6" s="683">
        <v>3</v>
      </c>
      <c r="R6" s="702" t="s">
        <v>682</v>
      </c>
      <c r="S6" s="693" t="s">
        <v>675</v>
      </c>
      <c r="T6" s="694" t="s">
        <v>683</v>
      </c>
      <c r="U6" s="695">
        <v>2150</v>
      </c>
      <c r="V6" s="693" t="s">
        <v>676</v>
      </c>
      <c r="W6" s="693"/>
      <c r="X6" s="695"/>
      <c r="Y6" s="695"/>
      <c r="Z6" s="695"/>
      <c r="AA6" s="695"/>
      <c r="AB6" s="695"/>
      <c r="AC6" s="695">
        <f t="shared" si="6"/>
        <v>2150</v>
      </c>
      <c r="AD6" s="696">
        <v>1700</v>
      </c>
      <c r="AE6" s="697">
        <f t="shared" ref="AE6:AE10" si="8">AC6-AD6</f>
        <v>450</v>
      </c>
      <c r="AF6" s="698"/>
    </row>
    <row r="7" ht="15" customHeight="1" spans="1:32">
      <c r="A7" s="687">
        <v>3</v>
      </c>
      <c r="B7" s="688" t="s">
        <v>680</v>
      </c>
      <c r="C7" s="689" t="s">
        <v>681</v>
      </c>
      <c r="D7" s="678">
        <f t="shared" si="2"/>
        <v>2209.125</v>
      </c>
      <c r="E7" s="678">
        <f t="shared" si="3"/>
        <v>2150</v>
      </c>
      <c r="F7" s="680">
        <f t="shared" si="4"/>
        <v>0</v>
      </c>
      <c r="G7" s="680"/>
      <c r="H7" s="690">
        <f>(E7+F7)*2.5%*1.1</f>
        <v>59.125</v>
      </c>
      <c r="I7" s="687">
        <v>4</v>
      </c>
      <c r="J7" s="688" t="s">
        <v>684</v>
      </c>
      <c r="K7" s="689" t="s">
        <v>681</v>
      </c>
      <c r="L7" s="690">
        <f t="shared" si="0"/>
        <v>107.09111</v>
      </c>
      <c r="M7" s="690">
        <v>70</v>
      </c>
      <c r="N7" s="678">
        <f t="shared" si="7"/>
        <v>37.09111</v>
      </c>
      <c r="O7" s="701" t="s">
        <v>674</v>
      </c>
      <c r="P7" s="673"/>
      <c r="Q7" s="683">
        <v>4</v>
      </c>
      <c r="R7" s="693" t="s">
        <v>684</v>
      </c>
      <c r="S7" s="693" t="s">
        <v>685</v>
      </c>
      <c r="T7" s="694" t="s">
        <v>683</v>
      </c>
      <c r="U7" s="695">
        <v>63.11</v>
      </c>
      <c r="V7" s="693" t="s">
        <v>676</v>
      </c>
      <c r="W7" s="693">
        <v>50</v>
      </c>
      <c r="X7" s="695">
        <f>U42*1.56</f>
        <v>0.7488</v>
      </c>
      <c r="Y7" s="695">
        <f t="shared" si="1"/>
        <v>37.44</v>
      </c>
      <c r="Z7" s="695">
        <f>W33*1.56</f>
        <v>3.12</v>
      </c>
      <c r="AA7" s="695">
        <f t="shared" si="5"/>
        <v>40.56</v>
      </c>
      <c r="AB7" s="695">
        <f>(U7+AA7)*3%*1.1</f>
        <v>3.42111</v>
      </c>
      <c r="AC7" s="695">
        <f t="shared" si="6"/>
        <v>107.09111</v>
      </c>
      <c r="AD7" s="695">
        <v>70</v>
      </c>
      <c r="AE7" s="697">
        <f t="shared" si="8"/>
        <v>37.09111</v>
      </c>
      <c r="AF7" s="698"/>
    </row>
    <row r="8" ht="15" customHeight="1" spans="1:32">
      <c r="A8" s="687">
        <v>4</v>
      </c>
      <c r="B8" s="688" t="s">
        <v>684</v>
      </c>
      <c r="C8" s="689" t="s">
        <v>681</v>
      </c>
      <c r="D8" s="678">
        <f t="shared" si="2"/>
        <v>107.09111</v>
      </c>
      <c r="E8" s="678">
        <f t="shared" si="3"/>
        <v>63.11</v>
      </c>
      <c r="F8" s="680">
        <f t="shared" si="4"/>
        <v>40.56</v>
      </c>
      <c r="G8" s="680"/>
      <c r="H8" s="690">
        <f>(E8+F8)*3%*1.1</f>
        <v>3.42111</v>
      </c>
      <c r="I8" s="687">
        <v>5</v>
      </c>
      <c r="J8" s="688" t="s">
        <v>686</v>
      </c>
      <c r="K8" s="689" t="s">
        <v>681</v>
      </c>
      <c r="L8" s="690">
        <f t="shared" si="0"/>
        <v>107.09111</v>
      </c>
      <c r="M8" s="690">
        <v>70</v>
      </c>
      <c r="N8" s="678">
        <f t="shared" si="7"/>
        <v>37.09111</v>
      </c>
      <c r="O8" s="681" t="s">
        <v>678</v>
      </c>
      <c r="P8" s="673"/>
      <c r="Q8" s="683">
        <v>5</v>
      </c>
      <c r="R8" s="693" t="s">
        <v>686</v>
      </c>
      <c r="S8" s="693" t="s">
        <v>685</v>
      </c>
      <c r="T8" s="694" t="s">
        <v>683</v>
      </c>
      <c r="U8" s="695">
        <v>63.11</v>
      </c>
      <c r="V8" s="693" t="s">
        <v>676</v>
      </c>
      <c r="W8" s="693">
        <v>50</v>
      </c>
      <c r="X8" s="695">
        <f>U42*1.56</f>
        <v>0.7488</v>
      </c>
      <c r="Y8" s="695">
        <f t="shared" si="1"/>
        <v>37.44</v>
      </c>
      <c r="Z8" s="695">
        <f>W33*1.56</f>
        <v>3.12</v>
      </c>
      <c r="AA8" s="695">
        <f t="shared" si="5"/>
        <v>40.56</v>
      </c>
      <c r="AB8" s="695">
        <f>(U8+AA8)*3%*1.1</f>
        <v>3.42111</v>
      </c>
      <c r="AC8" s="695">
        <f t="shared" si="6"/>
        <v>107.09111</v>
      </c>
      <c r="AD8" s="695">
        <v>70</v>
      </c>
      <c r="AE8" s="697">
        <f t="shared" si="8"/>
        <v>37.09111</v>
      </c>
      <c r="AF8" s="698"/>
    </row>
    <row r="9" ht="15" customHeight="1" spans="1:32">
      <c r="A9" s="687">
        <v>5</v>
      </c>
      <c r="B9" s="688" t="s">
        <v>686</v>
      </c>
      <c r="C9" s="689" t="s">
        <v>681</v>
      </c>
      <c r="D9" s="678">
        <f t="shared" si="2"/>
        <v>107.09111</v>
      </c>
      <c r="E9" s="680">
        <f t="shared" si="3"/>
        <v>63.11</v>
      </c>
      <c r="F9" s="680">
        <f t="shared" si="4"/>
        <v>40.56</v>
      </c>
      <c r="H9" s="690">
        <f>(E9+F9)*3%*1.1</f>
        <v>3.42111</v>
      </c>
      <c r="I9" s="687">
        <v>6</v>
      </c>
      <c r="J9" s="688" t="s">
        <v>687</v>
      </c>
      <c r="K9" s="689" t="s">
        <v>681</v>
      </c>
      <c r="L9" s="690">
        <f t="shared" si="0"/>
        <v>96.7921</v>
      </c>
      <c r="M9" s="690">
        <v>70</v>
      </c>
      <c r="N9" s="678">
        <f t="shared" si="7"/>
        <v>26.7921</v>
      </c>
      <c r="O9" s="681" t="s">
        <v>678</v>
      </c>
      <c r="P9" s="673"/>
      <c r="Q9" s="683">
        <v>6</v>
      </c>
      <c r="R9" s="693" t="s">
        <v>687</v>
      </c>
      <c r="S9" s="693" t="s">
        <v>685</v>
      </c>
      <c r="T9" s="694" t="s">
        <v>683</v>
      </c>
      <c r="U9" s="695">
        <v>53.4</v>
      </c>
      <c r="V9" s="693" t="s">
        <v>676</v>
      </c>
      <c r="W9" s="693">
        <v>50</v>
      </c>
      <c r="X9" s="695">
        <f>U42*1.55</f>
        <v>0.744</v>
      </c>
      <c r="Y9" s="695">
        <f t="shared" si="1"/>
        <v>37.2</v>
      </c>
      <c r="Z9" s="695">
        <f>W33*1.55</f>
        <v>3.1</v>
      </c>
      <c r="AA9" s="695">
        <f t="shared" si="5"/>
        <v>40.3</v>
      </c>
      <c r="AB9" s="695">
        <f>(U9+AA9)*3%*1.1</f>
        <v>3.0921</v>
      </c>
      <c r="AC9" s="695">
        <f t="shared" si="6"/>
        <v>96.7921</v>
      </c>
      <c r="AD9" s="695">
        <v>70</v>
      </c>
      <c r="AE9" s="697">
        <f t="shared" si="8"/>
        <v>26.7921</v>
      </c>
      <c r="AF9" s="698"/>
    </row>
    <row r="10" ht="15" customHeight="1" spans="1:32">
      <c r="A10" s="687">
        <v>6</v>
      </c>
      <c r="B10" s="688" t="s">
        <v>687</v>
      </c>
      <c r="C10" s="689" t="s">
        <v>681</v>
      </c>
      <c r="D10" s="678">
        <f t="shared" si="2"/>
        <v>96.7921</v>
      </c>
      <c r="E10" s="678">
        <f t="shared" si="3"/>
        <v>53.4</v>
      </c>
      <c r="F10" s="680">
        <f t="shared" si="4"/>
        <v>40.3</v>
      </c>
      <c r="G10" s="680"/>
      <c r="H10" s="690">
        <f>(E10+F10)*3%*1.1</f>
        <v>3.0921</v>
      </c>
      <c r="I10" s="687">
        <v>7</v>
      </c>
      <c r="J10" s="688" t="s">
        <v>688</v>
      </c>
      <c r="K10" s="689" t="s">
        <v>681</v>
      </c>
      <c r="L10" s="690">
        <f t="shared" si="0"/>
        <v>118.11322</v>
      </c>
      <c r="M10" s="690">
        <v>70</v>
      </c>
      <c r="N10" s="678">
        <f t="shared" si="7"/>
        <v>48.11322</v>
      </c>
      <c r="O10" s="681" t="s">
        <v>678</v>
      </c>
      <c r="P10" s="673"/>
      <c r="Q10" s="683">
        <v>7</v>
      </c>
      <c r="R10" s="693" t="s">
        <v>688</v>
      </c>
      <c r="S10" s="684" t="s">
        <v>689</v>
      </c>
      <c r="T10" s="694" t="s">
        <v>683</v>
      </c>
      <c r="U10" s="695">
        <f>38*1.55</f>
        <v>58.9</v>
      </c>
      <c r="V10" s="693" t="s">
        <v>676</v>
      </c>
      <c r="W10" s="693">
        <v>60</v>
      </c>
      <c r="X10" s="695">
        <f>U42*1.8</f>
        <v>0.864</v>
      </c>
      <c r="Y10" s="695">
        <f t="shared" si="1"/>
        <v>51.84</v>
      </c>
      <c r="Z10" s="695">
        <f>W33*1.8</f>
        <v>3.6</v>
      </c>
      <c r="AA10" s="695">
        <f t="shared" si="5"/>
        <v>55.44</v>
      </c>
      <c r="AB10" s="695">
        <f>(U10+AA10)*3%*1.1</f>
        <v>3.77322</v>
      </c>
      <c r="AC10" s="695">
        <f t="shared" si="6"/>
        <v>118.11322</v>
      </c>
      <c r="AD10" s="695">
        <v>0</v>
      </c>
      <c r="AE10" s="697">
        <f t="shared" si="8"/>
        <v>118.11322</v>
      </c>
      <c r="AF10" s="698"/>
    </row>
    <row r="11" ht="15" customHeight="1" spans="1:32">
      <c r="A11" s="687">
        <v>7</v>
      </c>
      <c r="B11" s="688" t="s">
        <v>688</v>
      </c>
      <c r="C11" s="689" t="s">
        <v>690</v>
      </c>
      <c r="D11" s="678">
        <f t="shared" si="2"/>
        <v>118.11322</v>
      </c>
      <c r="E11" s="678">
        <f t="shared" si="3"/>
        <v>58.9</v>
      </c>
      <c r="F11" s="680">
        <f t="shared" si="4"/>
        <v>55.44</v>
      </c>
      <c r="G11" s="680"/>
      <c r="H11" s="690">
        <f>(E11+F11)*3%*1.1</f>
        <v>3.77322</v>
      </c>
      <c r="I11" s="687">
        <v>8</v>
      </c>
      <c r="J11" s="688" t="s">
        <v>691</v>
      </c>
      <c r="K11" s="689" t="s">
        <v>681</v>
      </c>
      <c r="L11" s="690">
        <f>D13</f>
        <v>38.30364</v>
      </c>
      <c r="M11" s="690">
        <f>L11</f>
        <v>38.30364</v>
      </c>
      <c r="N11" s="678">
        <f t="shared" si="7"/>
        <v>0</v>
      </c>
      <c r="O11" s="701" t="s">
        <v>674</v>
      </c>
      <c r="P11" s="673"/>
      <c r="Q11" s="683">
        <v>8</v>
      </c>
      <c r="R11" s="693" t="s">
        <v>692</v>
      </c>
      <c r="S11" s="693" t="s">
        <v>693</v>
      </c>
      <c r="T11" s="694" t="s">
        <v>683</v>
      </c>
      <c r="U11" s="695">
        <v>38.83</v>
      </c>
      <c r="V11" s="693" t="s">
        <v>676</v>
      </c>
      <c r="W11" s="693">
        <v>8</v>
      </c>
      <c r="X11" s="695">
        <f>U42*1.65</f>
        <v>0.792</v>
      </c>
      <c r="Y11" s="695">
        <f t="shared" si="1"/>
        <v>6.336</v>
      </c>
      <c r="Z11" s="695">
        <f>W33*1.65</f>
        <v>3.3</v>
      </c>
      <c r="AA11" s="695">
        <f t="shared" si="5"/>
        <v>9.636</v>
      </c>
      <c r="AB11" s="695">
        <f>(U11+AA11)*3%*1.1</f>
        <v>1.599378</v>
      </c>
      <c r="AC11" s="695">
        <f t="shared" si="6"/>
        <v>50.065378</v>
      </c>
      <c r="AD11" s="695">
        <v>70</v>
      </c>
      <c r="AE11" s="697"/>
      <c r="AF11" s="698"/>
    </row>
    <row r="12" ht="15" customHeight="1" spans="1:32">
      <c r="A12" s="687">
        <v>8</v>
      </c>
      <c r="B12" s="688" t="s">
        <v>692</v>
      </c>
      <c r="C12" s="689" t="s">
        <v>681</v>
      </c>
      <c r="D12" s="678">
        <f t="shared" si="2"/>
        <v>50.065378</v>
      </c>
      <c r="E12" s="678">
        <f t="shared" si="3"/>
        <v>38.83</v>
      </c>
      <c r="F12" s="680">
        <f t="shared" si="4"/>
        <v>9.636</v>
      </c>
      <c r="G12" s="680"/>
      <c r="H12" s="690">
        <f>AB11</f>
        <v>1.599378</v>
      </c>
      <c r="I12" s="687"/>
      <c r="J12" s="688"/>
      <c r="K12" s="689"/>
      <c r="L12" s="690"/>
      <c r="M12" s="690"/>
      <c r="N12" s="678"/>
      <c r="O12" s="701"/>
      <c r="P12" s="673"/>
      <c r="Q12" s="683"/>
      <c r="R12" s="693"/>
      <c r="S12" s="693"/>
      <c r="T12" s="694"/>
      <c r="U12" s="695"/>
      <c r="V12" s="693"/>
      <c r="W12" s="693"/>
      <c r="X12" s="695"/>
      <c r="Y12" s="695"/>
      <c r="Z12" s="695"/>
      <c r="AA12" s="695"/>
      <c r="AB12" s="695"/>
      <c r="AC12" s="695"/>
      <c r="AD12" s="695"/>
      <c r="AE12" s="697"/>
      <c r="AF12" s="698"/>
    </row>
    <row r="13" ht="15" customHeight="1" spans="1:32">
      <c r="A13" s="687">
        <v>9</v>
      </c>
      <c r="B13" s="688" t="s">
        <v>691</v>
      </c>
      <c r="C13" s="689" t="s">
        <v>681</v>
      </c>
      <c r="D13" s="678">
        <f t="shared" si="2"/>
        <v>38.30364</v>
      </c>
      <c r="E13" s="678">
        <f>U13</f>
        <v>30</v>
      </c>
      <c r="F13" s="680">
        <f>AA13</f>
        <v>7.08</v>
      </c>
      <c r="G13" s="680"/>
      <c r="H13" s="690">
        <f>(E13+F13)*3%*1.1</f>
        <v>1.22364</v>
      </c>
      <c r="I13" s="687">
        <v>9</v>
      </c>
      <c r="J13" s="703" t="s">
        <v>694</v>
      </c>
      <c r="K13" s="704" t="s">
        <v>695</v>
      </c>
      <c r="L13" s="705">
        <f>U15</f>
        <v>9.0516206482593</v>
      </c>
      <c r="M13" s="706">
        <f>AD15</f>
        <v>2.99</v>
      </c>
      <c r="N13" s="678">
        <f>L13-M13</f>
        <v>6.0616206482593</v>
      </c>
      <c r="O13" s="681" t="s">
        <v>678</v>
      </c>
      <c r="P13" s="673"/>
      <c r="Q13" s="683">
        <v>9</v>
      </c>
      <c r="R13" s="693" t="s">
        <v>691</v>
      </c>
      <c r="S13" s="707" t="s">
        <v>693</v>
      </c>
      <c r="T13" s="694" t="s">
        <v>683</v>
      </c>
      <c r="U13" s="695">
        <v>30</v>
      </c>
      <c r="V13" s="693" t="s">
        <v>676</v>
      </c>
      <c r="W13" s="693">
        <v>5</v>
      </c>
      <c r="X13" s="695">
        <f>U42*1.65</f>
        <v>0.792</v>
      </c>
      <c r="Y13" s="695">
        <f>W13*X13</f>
        <v>3.96</v>
      </c>
      <c r="Z13" s="695">
        <f>W33*1.56</f>
        <v>3.12</v>
      </c>
      <c r="AA13" s="695">
        <f>(Y13+Z13)</f>
        <v>7.08</v>
      </c>
      <c r="AB13" s="695">
        <f>(U13+AA13)*3%*1.1</f>
        <v>1.22364</v>
      </c>
      <c r="AC13" s="695">
        <f>U13+AA13+AB13</f>
        <v>38.30364</v>
      </c>
      <c r="AD13" s="695">
        <f>AC13</f>
        <v>38.30364</v>
      </c>
      <c r="AE13" s="697"/>
    </row>
    <row r="14" ht="15" customHeight="1" spans="1:32">
      <c r="A14" s="687">
        <v>10</v>
      </c>
      <c r="B14" s="703" t="s">
        <v>694</v>
      </c>
      <c r="C14" s="704" t="s">
        <v>695</v>
      </c>
      <c r="D14" s="708">
        <f>U15</f>
        <v>9.0516206482593</v>
      </c>
      <c r="E14" s="709"/>
      <c r="F14" s="682"/>
      <c r="G14" s="682"/>
      <c r="H14" s="710"/>
      <c r="I14" s="687">
        <v>10</v>
      </c>
      <c r="J14" s="703" t="s">
        <v>696</v>
      </c>
      <c r="K14" s="704" t="s">
        <v>695</v>
      </c>
      <c r="L14" s="705">
        <f>U16</f>
        <v>10.8827586206897</v>
      </c>
      <c r="M14" s="706">
        <f>AD16</f>
        <v>3.075</v>
      </c>
      <c r="N14" s="678">
        <f>L14-M14</f>
        <v>7.8077586206897</v>
      </c>
      <c r="O14" s="681" t="s">
        <v>678</v>
      </c>
      <c r="P14" s="673"/>
      <c r="Q14" s="711">
        <v>8</v>
      </c>
      <c r="R14" s="712" t="s">
        <v>697</v>
      </c>
      <c r="S14" s="712" t="s">
        <v>693</v>
      </c>
      <c r="T14" s="713" t="s">
        <v>683</v>
      </c>
      <c r="U14" s="714">
        <v>23</v>
      </c>
      <c r="V14" s="712" t="s">
        <v>676</v>
      </c>
      <c r="W14" s="715"/>
      <c r="X14" s="716"/>
      <c r="Y14" s="716"/>
      <c r="Z14" s="716"/>
      <c r="AA14" s="716"/>
      <c r="AB14" s="716"/>
      <c r="AC14" s="714"/>
      <c r="AD14" s="714"/>
      <c r="AE14" s="717"/>
    </row>
    <row r="15" ht="15" customHeight="1" spans="1:32">
      <c r="A15" s="687">
        <v>11</v>
      </c>
      <c r="B15" s="703" t="s">
        <v>696</v>
      </c>
      <c r="C15" s="704" t="s">
        <v>695</v>
      </c>
      <c r="D15" s="708">
        <f>U16</f>
        <v>10.8827586206897</v>
      </c>
      <c r="E15" s="709"/>
      <c r="F15" s="682"/>
      <c r="G15" s="682"/>
      <c r="H15" s="710"/>
      <c r="I15" s="718"/>
      <c r="J15" s="719"/>
      <c r="K15" s="704"/>
      <c r="L15" s="690"/>
      <c r="M15" s="709"/>
      <c r="N15" s="682"/>
      <c r="O15" s="710"/>
      <c r="P15" s="673"/>
      <c r="Q15" s="683">
        <v>10</v>
      </c>
      <c r="R15" s="693" t="s">
        <v>694</v>
      </c>
      <c r="S15" s="693" t="s">
        <v>693</v>
      </c>
      <c r="T15" s="693" t="s">
        <v>695</v>
      </c>
      <c r="U15" s="695">
        <f>7.54/0.833</f>
        <v>9.0516206482593</v>
      </c>
      <c r="V15" s="693" t="s">
        <v>676</v>
      </c>
      <c r="W15" s="693"/>
      <c r="X15" s="695"/>
      <c r="Y15" s="695"/>
      <c r="Z15" s="695" t="s">
        <v>698</v>
      </c>
      <c r="AA15" s="695"/>
      <c r="AB15" s="695"/>
      <c r="AC15" s="695">
        <f>U15+AA15+AB15</f>
        <v>9.0516206482593</v>
      </c>
      <c r="AD15" s="720">
        <v>2.99</v>
      </c>
      <c r="AE15" s="697">
        <f>U15-AD15</f>
        <v>6.0616206482593</v>
      </c>
    </row>
    <row r="16" ht="15" customHeight="1" spans="1:32">
      <c r="A16" s="687">
        <v>12</v>
      </c>
      <c r="B16" s="703" t="s">
        <v>699</v>
      </c>
      <c r="C16" s="704" t="s">
        <v>681</v>
      </c>
      <c r="D16" s="721">
        <f t="shared" ref="D16:D20" si="9">U23</f>
        <v>4.15</v>
      </c>
      <c r="E16" s="709"/>
      <c r="F16" s="682"/>
      <c r="G16" s="682"/>
      <c r="H16" s="710"/>
      <c r="I16" s="718"/>
      <c r="J16" s="719"/>
      <c r="K16" s="704"/>
      <c r="L16" s="690"/>
      <c r="M16" s="709"/>
      <c r="N16" s="682"/>
      <c r="O16" s="710"/>
      <c r="P16" s="673"/>
      <c r="Q16" s="683">
        <v>11</v>
      </c>
      <c r="R16" s="693" t="s">
        <v>696</v>
      </c>
      <c r="S16" s="693" t="s">
        <v>693</v>
      </c>
      <c r="T16" s="693" t="s">
        <v>695</v>
      </c>
      <c r="U16" s="695">
        <f>7.89/0.725</f>
        <v>10.8827586206897</v>
      </c>
      <c r="V16" s="693" t="s">
        <v>676</v>
      </c>
      <c r="W16" s="693"/>
      <c r="X16" s="695"/>
      <c r="Y16" s="695"/>
      <c r="Z16" s="695"/>
      <c r="AA16" s="695"/>
      <c r="AB16" s="695"/>
      <c r="AC16" s="695">
        <f>U16+AA16+AB16</f>
        <v>10.8827586206897</v>
      </c>
      <c r="AD16" s="720">
        <v>3.075</v>
      </c>
      <c r="AE16" s="697">
        <f>U16-AD16</f>
        <v>7.80775862068965</v>
      </c>
    </row>
    <row r="17" ht="24.6" customHeight="1" spans="1:31">
      <c r="A17" s="687">
        <v>13</v>
      </c>
      <c r="B17" s="719" t="s">
        <v>700</v>
      </c>
      <c r="C17" s="704" t="s">
        <v>681</v>
      </c>
      <c r="D17" s="721">
        <f t="shared" si="9"/>
        <v>0.15</v>
      </c>
      <c r="E17" s="709"/>
      <c r="F17" s="682"/>
      <c r="G17" s="682"/>
      <c r="H17" s="710"/>
      <c r="I17" s="718"/>
      <c r="J17" s="719"/>
      <c r="K17" s="703"/>
      <c r="L17" s="690"/>
      <c r="M17" s="690"/>
      <c r="N17" s="682"/>
      <c r="O17" s="710"/>
      <c r="P17" s="673"/>
      <c r="Q17" s="683">
        <v>12</v>
      </c>
      <c r="R17" s="722" t="s">
        <v>701</v>
      </c>
      <c r="S17" s="723"/>
      <c r="T17" s="724" t="s">
        <v>683</v>
      </c>
      <c r="U17" s="723"/>
      <c r="V17" s="723" t="s">
        <v>676</v>
      </c>
      <c r="W17" s="725">
        <v>2</v>
      </c>
      <c r="X17" s="726">
        <f t="shared" ref="X17:X19" si="10">1.09*1.55</f>
        <v>1.6895</v>
      </c>
      <c r="Y17" s="726">
        <f t="shared" ref="Y17:Y22" si="11">W17*X17</f>
        <v>3.379</v>
      </c>
      <c r="Z17" s="727"/>
      <c r="AA17" s="728"/>
      <c r="AB17" s="728"/>
      <c r="AC17" s="695">
        <f t="shared" ref="AC17:AC22" si="12">Y17+Z17</f>
        <v>3.379</v>
      </c>
      <c r="AD17" s="726"/>
    </row>
    <row r="18" ht="24.6" customHeight="1" spans="1:31">
      <c r="A18" s="687">
        <v>14</v>
      </c>
      <c r="B18" s="729" t="s">
        <v>702</v>
      </c>
      <c r="C18" s="704" t="s">
        <v>703</v>
      </c>
      <c r="D18" s="721">
        <f t="shared" si="9"/>
        <v>2.1</v>
      </c>
      <c r="E18" s="709"/>
      <c r="F18" s="682"/>
      <c r="G18" s="682"/>
      <c r="H18" s="710"/>
      <c r="I18" s="718"/>
      <c r="J18" s="719"/>
      <c r="K18" s="703"/>
      <c r="L18" s="690"/>
      <c r="M18" s="690"/>
      <c r="N18" s="682"/>
      <c r="O18" s="710"/>
      <c r="P18" s="673"/>
      <c r="Q18" s="683">
        <v>13</v>
      </c>
      <c r="R18" s="722" t="s">
        <v>701</v>
      </c>
      <c r="S18" s="723"/>
      <c r="T18" s="724" t="s">
        <v>683</v>
      </c>
      <c r="U18" s="723"/>
      <c r="V18" s="723" t="s">
        <v>676</v>
      </c>
      <c r="W18" s="725">
        <v>4</v>
      </c>
      <c r="X18" s="726">
        <f t="shared" si="10"/>
        <v>1.6895</v>
      </c>
      <c r="Y18" s="726">
        <f t="shared" si="11"/>
        <v>6.758</v>
      </c>
      <c r="Z18" s="727"/>
      <c r="AA18" s="728"/>
      <c r="AB18" s="728"/>
      <c r="AC18" s="695">
        <f t="shared" si="12"/>
        <v>6.758</v>
      </c>
      <c r="AD18" s="726"/>
      <c r="AE18" s="730"/>
    </row>
    <row r="19" ht="24.6" customHeight="1" spans="1:31">
      <c r="A19" s="687">
        <v>15</v>
      </c>
      <c r="B19" s="731" t="s">
        <v>704</v>
      </c>
      <c r="C19" s="693" t="s">
        <v>705</v>
      </c>
      <c r="D19" s="695">
        <f t="shared" si="9"/>
        <v>8.1</v>
      </c>
      <c r="E19" s="690"/>
      <c r="F19" s="682"/>
      <c r="G19" s="682"/>
      <c r="H19" s="710"/>
      <c r="I19" s="677"/>
      <c r="J19" s="678"/>
      <c r="K19" s="678"/>
      <c r="L19" s="678"/>
      <c r="M19" s="680"/>
      <c r="N19" s="680"/>
      <c r="O19" s="681"/>
      <c r="P19" s="673"/>
      <c r="Q19" s="683">
        <v>14</v>
      </c>
      <c r="R19" s="722" t="s">
        <v>701</v>
      </c>
      <c r="S19" s="723"/>
      <c r="T19" s="724" t="s">
        <v>683</v>
      </c>
      <c r="U19" s="723"/>
      <c r="V19" s="723" t="s">
        <v>676</v>
      </c>
      <c r="W19" s="725">
        <v>5</v>
      </c>
      <c r="X19" s="726">
        <f t="shared" si="10"/>
        <v>1.6895</v>
      </c>
      <c r="Y19" s="726">
        <f t="shared" si="11"/>
        <v>8.4475</v>
      </c>
      <c r="Z19" s="727"/>
      <c r="AA19" s="728"/>
      <c r="AB19" s="728"/>
      <c r="AC19" s="695">
        <f t="shared" si="12"/>
        <v>8.4475</v>
      </c>
      <c r="AD19" s="726"/>
      <c r="AE19" s="730"/>
    </row>
    <row r="20" ht="24.6" customHeight="1" spans="1:31">
      <c r="A20" s="687">
        <v>16</v>
      </c>
      <c r="B20" s="731" t="s">
        <v>706</v>
      </c>
      <c r="C20" s="693" t="s">
        <v>705</v>
      </c>
      <c r="D20" s="695">
        <f t="shared" si="9"/>
        <v>5.77</v>
      </c>
      <c r="E20" s="690"/>
      <c r="F20" s="682"/>
      <c r="G20" s="682"/>
      <c r="H20" s="710"/>
      <c r="I20" s="677"/>
      <c r="J20" s="678"/>
      <c r="K20" s="678"/>
      <c r="L20" s="678"/>
      <c r="M20" s="680"/>
      <c r="N20" s="680"/>
      <c r="O20" s="681"/>
      <c r="P20" s="673"/>
      <c r="Q20" s="683">
        <v>15</v>
      </c>
      <c r="R20" s="722" t="s">
        <v>701</v>
      </c>
      <c r="S20" s="723"/>
      <c r="T20" s="724" t="s">
        <v>683</v>
      </c>
      <c r="U20" s="723"/>
      <c r="V20" s="723" t="s">
        <v>676</v>
      </c>
      <c r="W20" s="725">
        <v>10</v>
      </c>
      <c r="X20" s="726">
        <f>0.85*1.55</f>
        <v>1.3175</v>
      </c>
      <c r="Y20" s="726">
        <f t="shared" si="11"/>
        <v>13.175</v>
      </c>
      <c r="Z20" s="727"/>
      <c r="AA20" s="728"/>
      <c r="AB20" s="728"/>
      <c r="AC20" s="695">
        <f t="shared" si="12"/>
        <v>13.175</v>
      </c>
      <c r="AD20" s="726"/>
      <c r="AE20" s="730"/>
    </row>
    <row r="21" ht="24.6" customHeight="1" spans="1:31">
      <c r="A21" s="677"/>
      <c r="B21" s="678"/>
      <c r="C21" s="678"/>
      <c r="D21" s="678"/>
      <c r="E21" s="680"/>
      <c r="F21" s="680"/>
      <c r="G21" s="680"/>
      <c r="H21" s="681"/>
      <c r="I21" s="677"/>
      <c r="J21" s="678"/>
      <c r="K21" s="678"/>
      <c r="L21" s="678"/>
      <c r="M21" s="680"/>
      <c r="N21" s="680"/>
      <c r="O21" s="681"/>
      <c r="P21" s="673"/>
      <c r="Q21" s="683">
        <v>16</v>
      </c>
      <c r="R21" s="722" t="s">
        <v>701</v>
      </c>
      <c r="S21" s="723"/>
      <c r="T21" s="724" t="s">
        <v>683</v>
      </c>
      <c r="U21" s="723"/>
      <c r="V21" s="723" t="s">
        <v>676</v>
      </c>
      <c r="W21" s="725">
        <v>12</v>
      </c>
      <c r="X21" s="726">
        <f>S39*1.55</f>
        <v>1.1935</v>
      </c>
      <c r="Y21" s="726">
        <f t="shared" si="11"/>
        <v>14.322</v>
      </c>
      <c r="Z21" s="727"/>
      <c r="AA21" s="728"/>
      <c r="AB21" s="728"/>
      <c r="AC21" s="695">
        <f t="shared" si="12"/>
        <v>14.322</v>
      </c>
      <c r="AD21" s="726"/>
      <c r="AE21" s="730"/>
    </row>
    <row r="22" ht="15.95" customHeight="1" spans="1:31">
      <c r="A22" s="677"/>
      <c r="B22" s="678"/>
      <c r="C22" s="678"/>
      <c r="D22" s="678"/>
      <c r="E22" s="680"/>
      <c r="F22" s="680"/>
      <c r="G22" s="680"/>
      <c r="H22" s="681"/>
      <c r="I22" s="677"/>
      <c r="J22" s="678"/>
      <c r="K22" s="678"/>
      <c r="L22" s="678"/>
      <c r="M22" s="680"/>
      <c r="N22" s="682"/>
      <c r="O22" s="681"/>
      <c r="P22" s="673"/>
      <c r="Q22" s="683">
        <v>17</v>
      </c>
      <c r="R22" s="722" t="s">
        <v>701</v>
      </c>
      <c r="S22" s="723"/>
      <c r="T22" s="724" t="s">
        <v>683</v>
      </c>
      <c r="U22" s="723"/>
      <c r="V22" s="723" t="s">
        <v>676</v>
      </c>
      <c r="W22" s="725">
        <v>20</v>
      </c>
      <c r="X22" s="726">
        <f>V36*1.55</f>
        <v>0.93</v>
      </c>
      <c r="Y22" s="726">
        <f t="shared" si="11"/>
        <v>18.6</v>
      </c>
      <c r="Z22" s="727"/>
      <c r="AA22" s="728"/>
      <c r="AB22" s="728"/>
      <c r="AC22" s="695">
        <f t="shared" si="12"/>
        <v>18.6</v>
      </c>
      <c r="AD22" s="726"/>
      <c r="AE22" s="730"/>
    </row>
    <row r="23" ht="15.95" customHeight="1" spans="1:31">
      <c r="A23" s="677"/>
      <c r="B23" s="678"/>
      <c r="C23" s="678"/>
      <c r="D23" s="678"/>
      <c r="E23" s="680"/>
      <c r="F23" s="680"/>
      <c r="G23" s="680"/>
      <c r="H23" s="681"/>
      <c r="I23" s="732"/>
      <c r="J23" s="733"/>
      <c r="K23" s="733"/>
      <c r="L23" s="733"/>
      <c r="M23" s="733"/>
      <c r="N23" s="733"/>
      <c r="O23" s="734"/>
      <c r="P23" s="673"/>
      <c r="Q23" s="683">
        <v>18</v>
      </c>
      <c r="R23" s="693" t="s">
        <v>707</v>
      </c>
      <c r="S23" s="693" t="s">
        <v>693</v>
      </c>
      <c r="T23" s="693" t="s">
        <v>708</v>
      </c>
      <c r="U23" s="693">
        <v>4.15</v>
      </c>
      <c r="V23" s="693" t="s">
        <v>676</v>
      </c>
      <c r="W23" s="693"/>
      <c r="X23" s="693"/>
      <c r="Y23" s="693"/>
      <c r="Z23" s="693"/>
      <c r="AA23" s="693"/>
      <c r="AB23" s="727"/>
      <c r="AC23" s="727"/>
      <c r="AD23" s="727"/>
      <c r="AE23" s="730"/>
    </row>
    <row r="24" ht="15.95" customHeight="1" spans="1:31">
      <c r="A24" s="732"/>
      <c r="B24" s="733"/>
      <c r="C24" s="733"/>
      <c r="D24" s="733"/>
      <c r="E24" s="733"/>
      <c r="F24" s="733"/>
      <c r="G24" s="733"/>
      <c r="H24" s="734"/>
      <c r="I24" s="732"/>
      <c r="J24" s="733"/>
      <c r="K24" s="733"/>
      <c r="L24" s="733"/>
      <c r="M24" s="733"/>
      <c r="N24" s="733"/>
      <c r="O24" s="734"/>
      <c r="P24" s="673"/>
      <c r="Q24" s="683">
        <v>19</v>
      </c>
      <c r="R24" s="693" t="s">
        <v>700</v>
      </c>
      <c r="S24" s="693" t="s">
        <v>693</v>
      </c>
      <c r="T24" s="693" t="s">
        <v>708</v>
      </c>
      <c r="U24" s="693">
        <v>0.15</v>
      </c>
      <c r="V24" s="693"/>
      <c r="W24" s="693"/>
      <c r="X24" s="693"/>
      <c r="Y24" s="693"/>
      <c r="Z24" s="693"/>
      <c r="AA24" s="693"/>
      <c r="AB24" s="727"/>
      <c r="AC24" s="727"/>
      <c r="AD24" s="727"/>
      <c r="AE24" s="730"/>
    </row>
    <row r="25" ht="15.95" customHeight="1" spans="1:31">
      <c r="A25" s="732"/>
      <c r="B25" s="733"/>
      <c r="C25" s="733"/>
      <c r="D25" s="733"/>
      <c r="E25" s="733"/>
      <c r="F25" s="733"/>
      <c r="G25" s="733"/>
      <c r="H25" s="734"/>
      <c r="I25" s="732"/>
      <c r="J25" s="733"/>
      <c r="K25" s="733"/>
      <c r="L25" s="733"/>
      <c r="M25" s="733"/>
      <c r="N25" s="733"/>
      <c r="O25" s="734"/>
      <c r="P25" s="673"/>
      <c r="Q25" s="683">
        <v>20</v>
      </c>
      <c r="R25" s="693" t="s">
        <v>709</v>
      </c>
      <c r="S25" s="693" t="s">
        <v>693</v>
      </c>
      <c r="T25" s="693" t="s">
        <v>703</v>
      </c>
      <c r="U25" s="693">
        <v>2.1</v>
      </c>
      <c r="V25" s="693"/>
      <c r="W25" s="693"/>
      <c r="X25" s="693"/>
      <c r="Y25" s="693"/>
      <c r="Z25" s="693"/>
      <c r="AA25" s="693"/>
      <c r="AB25" s="727"/>
      <c r="AC25" s="727"/>
      <c r="AD25" s="727"/>
      <c r="AE25" s="730"/>
    </row>
    <row r="26" ht="15.95" customHeight="1" spans="1:31">
      <c r="A26" s="732"/>
      <c r="B26" s="733"/>
      <c r="C26" s="733"/>
      <c r="D26" s="733"/>
      <c r="E26" s="733"/>
      <c r="F26" s="733"/>
      <c r="G26" s="733"/>
      <c r="H26" s="734"/>
      <c r="I26" s="735"/>
      <c r="J26" s="736"/>
      <c r="K26" s="736"/>
      <c r="L26" s="736"/>
      <c r="M26" s="736"/>
      <c r="N26" s="736"/>
      <c r="O26" s="737"/>
      <c r="P26" s="673"/>
      <c r="Q26" s="683">
        <v>21</v>
      </c>
      <c r="R26" s="693" t="s">
        <v>704</v>
      </c>
      <c r="S26" s="693" t="s">
        <v>693</v>
      </c>
      <c r="T26" s="693" t="s">
        <v>705</v>
      </c>
      <c r="U26" s="693">
        <v>8.1</v>
      </c>
      <c r="V26" s="693"/>
      <c r="W26" s="693"/>
      <c r="X26" s="693"/>
      <c r="Y26" s="693"/>
      <c r="Z26" s="693"/>
      <c r="AA26" s="693"/>
      <c r="AB26" s="727"/>
      <c r="AC26" s="727"/>
      <c r="AD26" s="727"/>
      <c r="AE26" s="730"/>
    </row>
    <row r="27" ht="15.95" customHeight="1" spans="1:31">
      <c r="A27" s="738" t="str">
        <f>Q28</f>
        <v>根据《宁夏工程造价》2025.第1期（采用除税价）；《宁夏水利工程造价信息》2024.第4期（采用除税价）</v>
      </c>
      <c r="B27" s="739"/>
      <c r="C27" s="739"/>
      <c r="D27" s="739"/>
      <c r="E27" s="739"/>
      <c r="F27" s="739"/>
      <c r="G27" s="739"/>
      <c r="H27" s="740"/>
      <c r="I27" s="741"/>
      <c r="J27" s="742"/>
      <c r="K27" s="742"/>
      <c r="L27" s="742"/>
      <c r="M27" s="742"/>
      <c r="N27" s="742"/>
      <c r="O27" s="743"/>
      <c r="P27" s="673"/>
      <c r="Q27" s="683">
        <v>22</v>
      </c>
      <c r="R27" s="693" t="s">
        <v>706</v>
      </c>
      <c r="S27" s="693" t="s">
        <v>693</v>
      </c>
      <c r="T27" s="693" t="s">
        <v>705</v>
      </c>
      <c r="U27" s="693">
        <v>5.77</v>
      </c>
      <c r="V27" s="693"/>
      <c r="W27" s="693"/>
      <c r="X27" s="693"/>
      <c r="Y27" s="693"/>
      <c r="Z27" s="693"/>
      <c r="AA27" s="693"/>
      <c r="AB27" s="727"/>
      <c r="AC27" s="727"/>
      <c r="AD27" s="727"/>
      <c r="AE27" s="730"/>
    </row>
    <row r="28" ht="19.5" customHeight="1" spans="1:31">
      <c r="A28" s="744"/>
      <c r="B28" s="745"/>
      <c r="C28" s="746"/>
      <c r="D28" s="746"/>
      <c r="E28" s="746"/>
      <c r="F28" s="746"/>
      <c r="G28" s="746"/>
      <c r="H28" s="747"/>
      <c r="I28" s="748"/>
      <c r="J28" s="748"/>
      <c r="K28" s="748"/>
      <c r="L28" s="748"/>
      <c r="M28" s="748"/>
      <c r="N28" s="748"/>
      <c r="O28" s="673"/>
      <c r="P28" s="673"/>
      <c r="Q28" s="749" t="s">
        <v>710</v>
      </c>
      <c r="R28" s="750"/>
      <c r="S28" s="750"/>
      <c r="T28" s="750"/>
      <c r="U28" s="750"/>
      <c r="V28" s="750"/>
      <c r="W28" s="750"/>
      <c r="X28" s="750"/>
      <c r="Y28" s="750"/>
      <c r="Z28" s="750"/>
      <c r="AA28" s="750"/>
      <c r="AB28" s="750"/>
      <c r="AC28" s="750"/>
      <c r="AD28" s="750"/>
      <c r="AE28" s="751"/>
    </row>
    <row r="29" ht="19.5" customHeight="1" spans="1:31">
      <c r="A29" s="752"/>
      <c r="B29" s="673"/>
      <c r="C29" s="673"/>
      <c r="D29" s="673"/>
      <c r="E29" s="673"/>
      <c r="F29" s="673"/>
      <c r="G29" s="673"/>
      <c r="H29" s="673"/>
      <c r="I29" s="673"/>
      <c r="J29" s="673"/>
      <c r="K29" s="673"/>
      <c r="L29" s="673"/>
      <c r="M29" s="673"/>
      <c r="N29" s="673"/>
      <c r="O29" s="673"/>
      <c r="P29" s="673"/>
      <c r="Q29" s="753" t="s">
        <v>711</v>
      </c>
      <c r="R29" s="753"/>
      <c r="S29" s="753"/>
      <c r="T29" s="753"/>
      <c r="U29" s="753"/>
      <c r="V29" s="753"/>
      <c r="W29" s="754" t="s">
        <v>712</v>
      </c>
      <c r="X29" s="754"/>
      <c r="Y29" s="754"/>
      <c r="Z29" s="754"/>
    </row>
    <row r="30" ht="19.5" customHeight="1" spans="1:31">
      <c r="A30" s="752"/>
      <c r="B30" s="673"/>
      <c r="C30" s="673"/>
      <c r="D30" s="673"/>
      <c r="E30" s="673"/>
      <c r="F30" s="673"/>
      <c r="G30" s="673"/>
      <c r="H30" s="673"/>
      <c r="I30" s="673"/>
      <c r="J30" s="673"/>
      <c r="K30" s="673"/>
      <c r="L30" s="673"/>
      <c r="M30" s="673"/>
      <c r="N30" s="673"/>
      <c r="O30" s="673"/>
      <c r="P30" s="673"/>
      <c r="Q30" s="755" t="s">
        <v>713</v>
      </c>
      <c r="R30" s="755"/>
      <c r="S30" s="755"/>
      <c r="T30" s="755"/>
      <c r="U30" s="755"/>
      <c r="V30" s="756"/>
      <c r="W30" s="757" t="s">
        <v>714</v>
      </c>
      <c r="X30" s="757"/>
      <c r="Y30" s="757"/>
      <c r="Z30" s="757"/>
    </row>
    <row r="31" ht="19.5" customHeight="1" spans="1:31">
      <c r="A31" s="752"/>
      <c r="B31" s="673"/>
      <c r="C31" s="673"/>
      <c r="D31" s="673"/>
      <c r="E31" s="673"/>
      <c r="F31" s="673"/>
      <c r="G31" s="673"/>
      <c r="H31" s="673"/>
      <c r="I31" s="673"/>
      <c r="J31" s="673"/>
      <c r="K31" s="673"/>
      <c r="L31" s="673"/>
      <c r="M31" s="673"/>
      <c r="N31" s="673"/>
      <c r="O31" s="673"/>
      <c r="P31" s="673"/>
      <c r="Q31" s="758" t="s">
        <v>715</v>
      </c>
      <c r="R31" s="759" t="s">
        <v>716</v>
      </c>
      <c r="S31" s="759" t="s">
        <v>717</v>
      </c>
      <c r="T31" s="760" t="s">
        <v>718</v>
      </c>
      <c r="U31" s="759" t="s">
        <v>716</v>
      </c>
      <c r="V31" s="761" t="s">
        <v>717</v>
      </c>
      <c r="W31" s="762" t="s">
        <v>719</v>
      </c>
      <c r="X31" s="763"/>
      <c r="Y31" s="764" t="s">
        <v>720</v>
      </c>
      <c r="Z31" s="765"/>
    </row>
    <row r="32" ht="19.5" customHeight="1" spans="1:31">
      <c r="A32" s="752"/>
      <c r="B32" s="673"/>
      <c r="C32" s="673"/>
      <c r="D32" s="673"/>
      <c r="E32" s="673"/>
      <c r="F32" s="673"/>
      <c r="G32" s="673"/>
      <c r="H32" s="673"/>
      <c r="I32" s="673"/>
      <c r="J32" s="673"/>
      <c r="K32" s="673"/>
      <c r="L32" s="673"/>
      <c r="M32" s="673"/>
      <c r="N32" s="673"/>
      <c r="O32" s="673"/>
      <c r="P32" s="673"/>
      <c r="Q32" s="766">
        <v>5</v>
      </c>
      <c r="R32" s="767">
        <v>1.09</v>
      </c>
      <c r="S32" s="767">
        <v>1.2</v>
      </c>
      <c r="T32" s="767">
        <v>16</v>
      </c>
      <c r="U32" s="767">
        <v>0.61</v>
      </c>
      <c r="V32" s="768">
        <v>0.68</v>
      </c>
      <c r="W32" s="766" t="s">
        <v>721</v>
      </c>
      <c r="X32" s="767" t="s">
        <v>722</v>
      </c>
      <c r="Y32" s="767" t="s">
        <v>721</v>
      </c>
      <c r="Z32" s="768" t="s">
        <v>722</v>
      </c>
    </row>
    <row r="33" ht="19.5" customHeight="1" spans="1:26">
      <c r="A33" s="752"/>
      <c r="B33" s="673"/>
      <c r="C33" s="673"/>
      <c r="D33" s="673"/>
      <c r="E33" s="673"/>
      <c r="F33" s="673"/>
      <c r="G33" s="673"/>
      <c r="H33" s="673"/>
      <c r="I33" s="673"/>
      <c r="J33" s="673"/>
      <c r="K33" s="673"/>
      <c r="L33" s="673"/>
      <c r="M33" s="673"/>
      <c r="N33" s="673"/>
      <c r="O33" s="673"/>
      <c r="P33" s="673"/>
      <c r="Q33" s="766">
        <v>6</v>
      </c>
      <c r="R33" s="767">
        <v>0.99</v>
      </c>
      <c r="S33" s="767">
        <v>1.09</v>
      </c>
      <c r="T33" s="767">
        <v>17</v>
      </c>
      <c r="U33" s="767">
        <v>0.59</v>
      </c>
      <c r="V33" s="768">
        <v>0.65</v>
      </c>
      <c r="W33" s="769">
        <v>2</v>
      </c>
      <c r="X33" s="770">
        <v>0</v>
      </c>
      <c r="Y33" s="770">
        <v>3.5</v>
      </c>
      <c r="Z33" s="771">
        <v>2</v>
      </c>
    </row>
    <row r="34" ht="19.5" customHeight="1" spans="1:26">
      <c r="A34" s="752"/>
      <c r="B34" s="673"/>
      <c r="C34" s="673"/>
      <c r="D34" s="673"/>
      <c r="E34" s="673"/>
      <c r="F34" s="673"/>
      <c r="G34" s="673"/>
      <c r="H34" s="673"/>
      <c r="I34" s="673"/>
      <c r="J34" s="673"/>
      <c r="K34" s="673"/>
      <c r="L34" s="673"/>
      <c r="M34" s="673"/>
      <c r="N34" s="673"/>
      <c r="O34" s="673"/>
      <c r="P34" s="673"/>
      <c r="Q34" s="766">
        <v>7</v>
      </c>
      <c r="R34" s="767">
        <v>0.92</v>
      </c>
      <c r="S34" s="767">
        <v>1.01</v>
      </c>
      <c r="T34" s="767">
        <v>18</v>
      </c>
      <c r="U34" s="767">
        <v>0.58</v>
      </c>
      <c r="V34" s="768">
        <v>0.63</v>
      </c>
      <c r="W34" s="772"/>
      <c r="X34" s="772"/>
      <c r="Y34" s="772"/>
      <c r="Z34" s="772"/>
    </row>
    <row r="35" ht="19.5" customHeight="1" spans="1:26">
      <c r="B35" s="773"/>
      <c r="C35" s="774"/>
      <c r="D35" s="774"/>
      <c r="E35" s="774"/>
      <c r="F35" s="774"/>
      <c r="G35" s="774"/>
      <c r="H35" s="774"/>
      <c r="I35" s="774"/>
      <c r="J35" s="774"/>
      <c r="K35" s="774"/>
      <c r="L35" s="774"/>
      <c r="M35" s="774"/>
      <c r="N35" s="774"/>
      <c r="O35" s="774"/>
      <c r="P35" s="774"/>
      <c r="Q35" s="766">
        <v>8</v>
      </c>
      <c r="R35" s="767">
        <v>0.86</v>
      </c>
      <c r="S35" s="767">
        <v>0.95</v>
      </c>
      <c r="T35" s="767">
        <v>19</v>
      </c>
      <c r="U35" s="767">
        <v>0.56</v>
      </c>
      <c r="V35" s="768">
        <v>0.61</v>
      </c>
      <c r="W35" s="772"/>
      <c r="X35" s="772"/>
      <c r="Y35" s="772"/>
      <c r="Z35" s="772"/>
    </row>
    <row r="36" ht="19.5" customHeight="1" spans="1:26">
      <c r="H36" s="663"/>
      <c r="I36" s="773"/>
      <c r="J36" s="773"/>
      <c r="K36" s="773"/>
      <c r="L36" s="773"/>
      <c r="M36" s="773"/>
      <c r="N36" s="773"/>
      <c r="O36" s="774"/>
      <c r="P36" s="774"/>
      <c r="Q36" s="766">
        <v>9</v>
      </c>
      <c r="R36" s="767">
        <v>0.81</v>
      </c>
      <c r="S36" s="767">
        <v>0.89</v>
      </c>
      <c r="T36" s="767">
        <v>20</v>
      </c>
      <c r="U36" s="767">
        <v>0.54</v>
      </c>
      <c r="V36" s="768">
        <v>0.6</v>
      </c>
      <c r="W36" s="772"/>
      <c r="X36" s="772"/>
      <c r="Y36" s="772"/>
      <c r="Z36" s="772"/>
    </row>
    <row r="37" ht="27.75" customHeight="1" spans="1:26">
      <c r="H37" s="775"/>
      <c r="I37" s="776"/>
      <c r="J37" s="776"/>
      <c r="K37" s="776"/>
      <c r="L37" s="776"/>
      <c r="M37" s="776"/>
      <c r="N37" s="776"/>
      <c r="Q37" s="766">
        <v>10</v>
      </c>
      <c r="R37" s="767">
        <v>0.77</v>
      </c>
      <c r="S37" s="767">
        <v>0.85</v>
      </c>
      <c r="T37" s="767">
        <v>21</v>
      </c>
      <c r="U37" s="767">
        <v>0.53</v>
      </c>
      <c r="V37" s="768">
        <v>0.59</v>
      </c>
      <c r="W37" s="772"/>
      <c r="X37" s="772"/>
      <c r="Y37" s="772"/>
      <c r="Z37" s="772"/>
    </row>
    <row r="38" ht="20.1" customHeight="1" spans="1:26">
      <c r="H38" s="775"/>
      <c r="I38" s="776"/>
      <c r="J38" s="776"/>
      <c r="K38" s="776"/>
      <c r="L38" s="776"/>
      <c r="M38" s="776"/>
      <c r="N38" s="776"/>
      <c r="Q38" s="766">
        <v>11</v>
      </c>
      <c r="R38" s="767">
        <v>0.73</v>
      </c>
      <c r="S38" s="767">
        <v>0.8</v>
      </c>
      <c r="T38" s="767">
        <v>22</v>
      </c>
      <c r="U38" s="767">
        <v>0.52</v>
      </c>
      <c r="V38" s="768">
        <v>0.58</v>
      </c>
      <c r="W38" s="772"/>
      <c r="X38" s="772"/>
      <c r="Y38" s="772"/>
      <c r="Z38" s="772"/>
    </row>
    <row r="39" ht="20.1" customHeight="1" spans="1:26">
      <c r="H39" s="777"/>
      <c r="I39" s="748"/>
      <c r="J39" s="748"/>
      <c r="K39" s="748"/>
      <c r="L39" s="748"/>
      <c r="M39" s="748"/>
      <c r="N39" s="748"/>
      <c r="Q39" s="766">
        <v>12</v>
      </c>
      <c r="R39" s="767">
        <v>0.7</v>
      </c>
      <c r="S39" s="767">
        <v>0.77</v>
      </c>
      <c r="T39" s="767">
        <v>23</v>
      </c>
      <c r="U39" s="767">
        <v>0.51</v>
      </c>
      <c r="V39" s="768">
        <v>0.56</v>
      </c>
      <c r="W39" s="772"/>
      <c r="X39" s="772"/>
      <c r="Y39" s="772"/>
      <c r="Z39" s="772"/>
    </row>
    <row r="40" ht="20.1" customHeight="1" spans="1:26">
      <c r="H40" s="777"/>
      <c r="I40" s="748"/>
      <c r="J40" s="748"/>
      <c r="K40" s="748"/>
      <c r="L40" s="748"/>
      <c r="M40" s="748"/>
      <c r="N40" s="748"/>
      <c r="Q40" s="766">
        <v>13</v>
      </c>
      <c r="R40" s="767">
        <v>0.68</v>
      </c>
      <c r="S40" s="767">
        <v>0.75</v>
      </c>
      <c r="T40" s="767">
        <v>24</v>
      </c>
      <c r="U40" s="767">
        <v>0.5</v>
      </c>
      <c r="V40" s="768">
        <v>0.55</v>
      </c>
      <c r="W40" s="772"/>
      <c r="X40" s="772"/>
      <c r="Y40" s="772"/>
      <c r="Z40" s="772"/>
    </row>
    <row r="41" ht="20.1" customHeight="1" spans="1:26">
      <c r="H41" s="777"/>
      <c r="I41" s="748"/>
      <c r="J41" s="748"/>
      <c r="K41" s="748"/>
      <c r="L41" s="748"/>
      <c r="M41" s="748"/>
      <c r="N41" s="748"/>
      <c r="Q41" s="766">
        <v>14</v>
      </c>
      <c r="R41" s="767">
        <v>0.65</v>
      </c>
      <c r="S41" s="767">
        <v>0.71</v>
      </c>
      <c r="T41" s="767">
        <v>25</v>
      </c>
      <c r="U41" s="767">
        <v>0.49</v>
      </c>
      <c r="V41" s="768">
        <v>0.53</v>
      </c>
      <c r="W41" s="772"/>
      <c r="X41" s="772"/>
      <c r="Y41" s="772"/>
      <c r="Z41" s="772"/>
    </row>
    <row r="42" ht="20.1" customHeight="1" spans="1:26">
      <c r="H42" s="777"/>
      <c r="I42" s="748"/>
      <c r="J42" s="748"/>
      <c r="K42" s="748"/>
      <c r="L42" s="748"/>
      <c r="M42" s="748"/>
      <c r="N42" s="748"/>
      <c r="Q42" s="769">
        <v>15</v>
      </c>
      <c r="R42" s="770">
        <v>0.63</v>
      </c>
      <c r="S42" s="770">
        <v>0.69</v>
      </c>
      <c r="T42" s="770" t="s">
        <v>723</v>
      </c>
      <c r="U42" s="770">
        <v>0.48</v>
      </c>
      <c r="V42" s="771">
        <v>0.52</v>
      </c>
      <c r="W42" s="772"/>
      <c r="X42" s="772"/>
      <c r="Y42" s="772"/>
      <c r="Z42" s="772"/>
    </row>
    <row r="43" ht="20.1" customHeight="1" spans="1:26">
      <c r="H43" s="777"/>
      <c r="I43" s="748"/>
      <c r="J43" s="748"/>
      <c r="K43" s="748"/>
      <c r="L43" s="748"/>
      <c r="M43" s="748"/>
      <c r="N43" s="748"/>
      <c r="Q43" s="673"/>
    </row>
    <row r="44" ht="20.1" customHeight="1" spans="1:26">
      <c r="H44" s="777"/>
      <c r="I44" s="748"/>
      <c r="J44" s="748"/>
      <c r="K44" s="748"/>
      <c r="L44" s="748"/>
      <c r="M44" s="748"/>
      <c r="N44" s="748"/>
    </row>
    <row r="45" ht="20.1" customHeight="1" spans="1:26">
      <c r="H45" s="777"/>
      <c r="I45" s="748"/>
      <c r="J45" s="748"/>
      <c r="K45" s="748"/>
      <c r="L45" s="748"/>
      <c r="M45" s="748"/>
      <c r="N45" s="748"/>
    </row>
    <row r="46" ht="20.1" customHeight="1" spans="1:26">
      <c r="H46" s="778"/>
      <c r="I46" s="779"/>
      <c r="J46" s="779"/>
      <c r="K46" s="779"/>
      <c r="L46" s="779"/>
      <c r="M46" s="779"/>
      <c r="N46" s="779"/>
    </row>
    <row r="47" ht="20.1" customHeight="1" spans="1:26">
      <c r="H47" s="778"/>
      <c r="I47" s="779"/>
      <c r="J47" s="779"/>
      <c r="K47" s="779"/>
      <c r="L47" s="779"/>
      <c r="M47" s="779"/>
      <c r="N47" s="779"/>
    </row>
    <row r="48" ht="20.1" customHeight="1" spans="1:26">
      <c r="H48" s="778"/>
      <c r="I48" s="779"/>
      <c r="J48" s="779"/>
      <c r="K48" s="779"/>
      <c r="L48" s="779"/>
      <c r="M48" s="779"/>
      <c r="N48" s="779"/>
    </row>
    <row r="49" ht="20.1" customHeight="1" spans="8:14">
      <c r="H49" s="778"/>
      <c r="I49" s="779"/>
      <c r="J49" s="779"/>
      <c r="K49" s="779"/>
      <c r="L49" s="779"/>
      <c r="M49" s="779"/>
      <c r="N49" s="779"/>
    </row>
    <row r="50" ht="20.1" customHeight="1" spans="8:14">
      <c r="H50" s="778"/>
      <c r="I50" s="779"/>
      <c r="J50" s="779"/>
      <c r="K50" s="779"/>
      <c r="L50" s="779"/>
      <c r="M50" s="779"/>
      <c r="N50" s="779"/>
    </row>
    <row r="51" ht="20.1" customHeight="1" spans="8:14">
      <c r="H51" s="778"/>
      <c r="I51" s="779"/>
      <c r="J51" s="779"/>
      <c r="K51" s="779"/>
      <c r="L51" s="779"/>
      <c r="M51" s="779"/>
      <c r="N51" s="779"/>
    </row>
    <row r="52" ht="20.1" customHeight="1" spans="8:14">
      <c r="H52" s="778"/>
      <c r="I52" s="779"/>
      <c r="J52" s="779"/>
      <c r="K52" s="779"/>
      <c r="L52" s="779"/>
      <c r="M52" s="779"/>
      <c r="N52" s="779"/>
    </row>
    <row r="53" ht="20.1" customHeight="1" spans="8:14">
      <c r="H53" s="775"/>
      <c r="I53" s="776"/>
      <c r="J53" s="776"/>
      <c r="K53" s="776"/>
      <c r="L53" s="776"/>
      <c r="M53" s="776"/>
      <c r="N53" s="776"/>
    </row>
    <row r="54" ht="20.1" customHeight="1" spans="8:14">
      <c r="H54" s="775"/>
      <c r="I54" s="776"/>
      <c r="J54" s="776"/>
      <c r="K54" s="776"/>
      <c r="L54" s="776"/>
      <c r="M54" s="776"/>
      <c r="N54" s="776"/>
    </row>
    <row r="55" ht="20.1" customHeight="1" spans="8:14">
      <c r="H55" s="775"/>
      <c r="I55" s="776"/>
      <c r="J55" s="776"/>
      <c r="K55" s="776"/>
      <c r="L55" s="776"/>
      <c r="M55" s="776"/>
      <c r="N55" s="776"/>
    </row>
    <row r="56" ht="20.1" customHeight="1" spans="8:14">
      <c r="H56" s="775"/>
      <c r="I56" s="776"/>
      <c r="J56" s="776"/>
      <c r="K56" s="776"/>
      <c r="L56" s="776"/>
      <c r="M56" s="776"/>
      <c r="N56" s="776"/>
    </row>
    <row r="57" ht="20.1" customHeight="1" spans="8:14">
      <c r="H57" s="780"/>
      <c r="I57" s="673"/>
      <c r="J57" s="673"/>
      <c r="K57" s="673"/>
      <c r="L57" s="673"/>
      <c r="M57" s="673"/>
      <c r="N57" s="673"/>
    </row>
    <row r="58" ht="20.1" customHeight="1" spans="8:14">
      <c r="H58" s="780"/>
      <c r="I58" s="673"/>
      <c r="J58" s="673"/>
      <c r="K58" s="673"/>
      <c r="L58" s="673"/>
      <c r="M58" s="673"/>
      <c r="N58" s="673"/>
    </row>
    <row r="59" ht="20.1" customHeight="1" spans="8:14">
      <c r="H59" s="780"/>
      <c r="I59" s="673"/>
      <c r="J59" s="673"/>
      <c r="K59" s="673"/>
      <c r="L59" s="673"/>
      <c r="M59" s="673"/>
      <c r="N59" s="673"/>
    </row>
    <row r="60" ht="20.1" customHeight="1" spans="8:14">
      <c r="H60" s="781"/>
      <c r="I60" s="782"/>
      <c r="J60" s="782"/>
      <c r="K60" s="782"/>
      <c r="L60" s="782"/>
      <c r="M60" s="782"/>
      <c r="N60" s="782"/>
    </row>
    <row r="61" ht="20.1" customHeight="1" spans="8:14">
      <c r="H61" s="781"/>
      <c r="I61" s="782"/>
      <c r="J61" s="782"/>
      <c r="K61" s="782"/>
      <c r="L61" s="782"/>
      <c r="M61" s="782"/>
      <c r="N61" s="782"/>
    </row>
    <row r="62" ht="20.1" customHeight="1"/>
    <row r="63" ht="20.1" customHeight="1"/>
    <row r="64" ht="20.1" customHeight="1"/>
    <row r="65" ht="20.1" customHeight="1"/>
    <row r="66" ht="20.1" customHeight="1"/>
    <row r="67" ht="20.1" customHeight="1"/>
    <row r="68" ht="20.1" customHeight="1"/>
    <row r="69" ht="20.1" customHeight="1"/>
    <row r="70" ht="20.1" customHeight="1"/>
    <row r="71" ht="20.1" customHeight="1"/>
    <row r="72" ht="20.1" customHeight="1"/>
    <row r="73" ht="20.1" customHeight="1"/>
    <row r="74" ht="20.1" customHeight="1"/>
    <row r="75" ht="20.1" customHeight="1"/>
    <row r="76" ht="20.1" customHeight="1"/>
    <row r="77" ht="20.1" customHeight="1"/>
    <row r="78" ht="20.1" customHeight="1"/>
    <row r="79" ht="20.1" customHeight="1"/>
    <row r="80" ht="20.1" customHeight="1"/>
    <row r="81" ht="20.1" customHeight="1"/>
    <row r="82" ht="20.1" customHeight="1"/>
    <row r="83" ht="20.1" customHeight="1"/>
  </sheetData>
  <mergeCells count="38">
    <mergeCell ref="A1:H1"/>
    <mergeCell ref="I1:O1"/>
    <mergeCell ref="Q1:AE1"/>
    <mergeCell ref="E2:H2"/>
    <mergeCell ref="A27:H27"/>
    <mergeCell ref="B28:H28"/>
    <mergeCell ref="Q28:AE28"/>
    <mergeCell ref="A2:A4"/>
    <mergeCell ref="B2:B4"/>
    <mergeCell ref="C2:C4"/>
    <mergeCell ref="D2:D4"/>
    <mergeCell ref="E3:E4"/>
    <mergeCell ref="F3:F4"/>
    <mergeCell ref="G3:G4"/>
    <mergeCell ref="H3:H4"/>
    <mergeCell ref="H37:H38"/>
    <mergeCell ref="I2:I3"/>
    <mergeCell ref="J2:J3"/>
    <mergeCell ref="K2:K3"/>
    <mergeCell ref="L2:L3"/>
    <mergeCell ref="M2:M3"/>
    <mergeCell ref="N2:N3"/>
    <mergeCell ref="O2:O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  <mergeCell ref="AE2:AE3"/>
  </mergeCells>
  <printOptions horizontalCentered="1" verticalCentered="1"/>
  <pageMargins left="0.979166666666667" right="0.790277777777778" top="0.901388888888889" bottom="0.901388888888889" header="0.511805555555556" footer="0.511805555555556"/>
  <pageSetup paperSize="9" firstPageNumber="138" orientation="portrait" useFirstPageNumber="1" verticalDpi="360"/>
  <headerFooter alignWithMargins="0" scaleWithDoc="0"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U25"/>
  <sheetViews>
    <sheetView zoomScale="93" zoomScaleNormal="93" workbookViewId="0">
      <selection activeCell="K4" sqref="K4:K14"/>
    </sheetView>
  </sheetViews>
  <sheetFormatPr defaultColWidth="9" defaultRowHeight="14.25"/>
  <cols>
    <col min="1" max="1" width="5.375" style="560" customWidth="1"/>
    <col min="2" max="2" width="13.125" style="560" customWidth="1"/>
    <col min="3" max="3" width="8.5" style="560" customWidth="1"/>
    <col min="4" max="4" width="5.875" style="560" customWidth="1"/>
    <col min="5" max="5" width="8.625" style="560" customWidth="1"/>
    <col min="6" max="6" width="9.375" style="560" customWidth="1"/>
    <col min="7" max="7" width="8.625" style="560" customWidth="1"/>
    <col min="8" max="8" width="10.75" style="560" customWidth="1"/>
    <col min="9" max="11" width="8.625" style="560" customWidth="1"/>
    <col min="12" max="12" width="9.5" style="560" customWidth="1"/>
    <col min="13" max="14" width="9.75" style="560" customWidth="1"/>
    <col min="15" max="15" width="7.375" style="560" customWidth="1"/>
    <col min="16" max="16" width="12" style="560" customWidth="1"/>
    <col min="17" max="17" width="12.375" style="560" customWidth="1"/>
    <col min="18" max="19" width="10.125" style="560" customWidth="1"/>
    <col min="20" max="20" width="9.5" style="560" customWidth="1"/>
    <col min="21" max="21" width="10.125" style="560" customWidth="1"/>
    <col min="22" max="16384" width="9" style="560"/>
  </cols>
  <sheetData>
    <row r="1" ht="25.5" customHeight="1" spans="1:21">
      <c r="A1" s="589" t="s">
        <v>724</v>
      </c>
      <c r="B1" s="589"/>
      <c r="C1" s="589"/>
      <c r="D1" s="589"/>
      <c r="E1" s="589"/>
      <c r="F1" s="589"/>
      <c r="G1" s="589"/>
      <c r="H1" s="589"/>
      <c r="I1" s="589"/>
      <c r="J1" s="589"/>
      <c r="K1" s="589"/>
      <c r="L1" s="589"/>
      <c r="M1" s="589"/>
      <c r="N1" s="590"/>
      <c r="O1" s="591" t="s">
        <v>725</v>
      </c>
      <c r="P1" s="591"/>
      <c r="Q1" s="591"/>
      <c r="R1" s="591"/>
      <c r="S1" s="591"/>
      <c r="T1" s="591"/>
      <c r="U1" s="591"/>
    </row>
    <row r="2" ht="20.1" customHeight="1" spans="1:21">
      <c r="A2" s="592" t="s">
        <v>34</v>
      </c>
      <c r="B2" s="593" t="s">
        <v>726</v>
      </c>
      <c r="C2" s="593" t="s">
        <v>727</v>
      </c>
      <c r="D2" s="594" t="s">
        <v>728</v>
      </c>
      <c r="E2" s="593" t="s">
        <v>729</v>
      </c>
      <c r="F2" s="594"/>
      <c r="G2" s="593" t="s">
        <v>684</v>
      </c>
      <c r="H2" s="594"/>
      <c r="I2" s="593" t="s">
        <v>687</v>
      </c>
      <c r="J2" s="594"/>
      <c r="K2" s="593" t="s">
        <v>730</v>
      </c>
      <c r="L2" s="594"/>
      <c r="M2" s="595" t="s">
        <v>731</v>
      </c>
      <c r="N2" s="596"/>
      <c r="O2" s="597" t="s">
        <v>732</v>
      </c>
      <c r="P2" s="598"/>
      <c r="Q2" s="598"/>
      <c r="R2" s="598"/>
      <c r="S2" s="598"/>
      <c r="T2" s="598"/>
      <c r="U2" s="599"/>
    </row>
    <row r="3" ht="29.1" customHeight="1" spans="1:21">
      <c r="A3" s="600"/>
      <c r="B3" s="601"/>
      <c r="C3" s="601"/>
      <c r="D3" s="602"/>
      <c r="E3" s="601" t="s">
        <v>733</v>
      </c>
      <c r="F3" s="601" t="s">
        <v>734</v>
      </c>
      <c r="G3" s="601" t="s">
        <v>735</v>
      </c>
      <c r="H3" s="601" t="s">
        <v>734</v>
      </c>
      <c r="I3" s="601" t="s">
        <v>735</v>
      </c>
      <c r="J3" s="601" t="s">
        <v>734</v>
      </c>
      <c r="K3" s="601" t="s">
        <v>735</v>
      </c>
      <c r="L3" s="601" t="s">
        <v>734</v>
      </c>
      <c r="M3" s="603"/>
      <c r="N3" s="596"/>
      <c r="O3" s="604" t="s">
        <v>736</v>
      </c>
      <c r="P3" s="605"/>
      <c r="Q3" s="605" t="s">
        <v>737</v>
      </c>
      <c r="R3" s="605" t="s">
        <v>738</v>
      </c>
      <c r="S3" s="605" t="s">
        <v>739</v>
      </c>
      <c r="T3" s="605" t="s">
        <v>740</v>
      </c>
      <c r="U3" s="606" t="s">
        <v>741</v>
      </c>
    </row>
    <row r="4" ht="20.1" customHeight="1" spans="1:21">
      <c r="A4" s="607">
        <v>1</v>
      </c>
      <c r="B4" s="608" t="s">
        <v>742</v>
      </c>
      <c r="C4" s="609">
        <v>32.5</v>
      </c>
      <c r="D4" s="609">
        <v>2</v>
      </c>
      <c r="E4" s="610">
        <f>0.208*1.1*1.07*0.86</f>
        <v>0.21054176</v>
      </c>
      <c r="F4" s="611">
        <f>E4*P5</f>
        <v>53.6881488</v>
      </c>
      <c r="G4" s="609">
        <f>0.55*1.1*0.98</f>
        <v>0.5929</v>
      </c>
      <c r="H4" s="611">
        <f>G4*R5</f>
        <v>41.503</v>
      </c>
      <c r="I4" s="610">
        <f>0.79*1.06*0.98</f>
        <v>0.820652</v>
      </c>
      <c r="J4" s="609">
        <f>I4*S5</f>
        <v>57.44564</v>
      </c>
      <c r="K4" s="609">
        <v>0.177</v>
      </c>
      <c r="L4" s="612">
        <f>K4*U5</f>
        <v>0.73455</v>
      </c>
      <c r="M4" s="613">
        <f>F4+H4+J4+L4</f>
        <v>153.3713388</v>
      </c>
      <c r="N4" s="614"/>
      <c r="O4" s="604"/>
      <c r="P4" s="605"/>
      <c r="Q4" s="605"/>
      <c r="R4" s="605"/>
      <c r="S4" s="605"/>
      <c r="T4" s="605"/>
      <c r="U4" s="606"/>
    </row>
    <row r="5" ht="20.1" customHeight="1" spans="1:21">
      <c r="A5" s="607">
        <v>2</v>
      </c>
      <c r="B5" s="608" t="s">
        <v>743</v>
      </c>
      <c r="C5" s="609">
        <v>32.5</v>
      </c>
      <c r="D5" s="609">
        <v>2</v>
      </c>
      <c r="E5" s="610">
        <f>0.242*1.1*1.07*0.86</f>
        <v>0.24495724</v>
      </c>
      <c r="F5" s="611">
        <f>E5*P5</f>
        <v>62.4640962</v>
      </c>
      <c r="G5" s="609">
        <f>0.52*1.1*0.98</f>
        <v>0.56056</v>
      </c>
      <c r="H5" s="611">
        <f>G5*R5</f>
        <v>39.2392</v>
      </c>
      <c r="I5" s="609">
        <v>0.841</v>
      </c>
      <c r="J5" s="609">
        <f>I5*S5</f>
        <v>58.87</v>
      </c>
      <c r="K5" s="609">
        <v>0.177</v>
      </c>
      <c r="L5" s="612">
        <f>K5*U5</f>
        <v>0.73455</v>
      </c>
      <c r="M5" s="613">
        <f t="shared" ref="M5:M14" si="0">F5+H5+J5+L5</f>
        <v>161.3078462</v>
      </c>
      <c r="N5" s="614"/>
      <c r="O5" s="615">
        <f>主要材料预算!M5</f>
        <v>255</v>
      </c>
      <c r="P5" s="616">
        <f>主要材料预算!M5</f>
        <v>255</v>
      </c>
      <c r="Q5" s="617"/>
      <c r="R5" s="618">
        <f>主要材料预算!AD8</f>
        <v>70</v>
      </c>
      <c r="S5" s="619">
        <f>主要材料预算!M9</f>
        <v>70</v>
      </c>
      <c r="T5" s="619">
        <v>0.5</v>
      </c>
      <c r="U5" s="620">
        <f>主要材料预算!D16</f>
        <v>4.15</v>
      </c>
    </row>
    <row r="6" ht="20.1" customHeight="1" spans="1:21">
      <c r="A6" s="607">
        <v>3</v>
      </c>
      <c r="B6" s="608" t="s">
        <v>744</v>
      </c>
      <c r="C6" s="609">
        <v>42.5</v>
      </c>
      <c r="D6" s="609">
        <f t="shared" ref="D6:G6" si="1">D5</f>
        <v>2</v>
      </c>
      <c r="E6" s="610">
        <f t="shared" si="1"/>
        <v>0.24495724</v>
      </c>
      <c r="F6" s="611">
        <f>E6*P5</f>
        <v>62.4640962</v>
      </c>
      <c r="G6" s="609">
        <f t="shared" si="1"/>
        <v>0.56056</v>
      </c>
      <c r="H6" s="611">
        <f>G6*R5</f>
        <v>39.2392</v>
      </c>
      <c r="I6" s="609">
        <f>I5</f>
        <v>0.841</v>
      </c>
      <c r="J6" s="609">
        <f>I6*S5</f>
        <v>58.87</v>
      </c>
      <c r="K6" s="610">
        <f>K5</f>
        <v>0.177</v>
      </c>
      <c r="L6" s="612">
        <f>K6*U5</f>
        <v>0.73455</v>
      </c>
      <c r="M6" s="613">
        <f t="shared" si="0"/>
        <v>161.3078462</v>
      </c>
      <c r="N6" s="614"/>
      <c r="O6" s="621" t="s">
        <v>745</v>
      </c>
      <c r="P6" s="622"/>
      <c r="Q6" s="622"/>
      <c r="R6" s="622"/>
      <c r="S6" s="622"/>
      <c r="T6" s="622"/>
      <c r="U6" s="623"/>
    </row>
    <row r="7" ht="20.1" customHeight="1" spans="1:21">
      <c r="A7" s="607">
        <v>4</v>
      </c>
      <c r="B7" s="608" t="s">
        <v>746</v>
      </c>
      <c r="C7" s="609">
        <v>42.5</v>
      </c>
      <c r="D7" s="609">
        <v>2</v>
      </c>
      <c r="E7" s="609">
        <f>0.261*1.1*1.07</f>
        <v>0.307197</v>
      </c>
      <c r="F7" s="611">
        <f>E7*P5</f>
        <v>78.335235</v>
      </c>
      <c r="G7" s="609">
        <f>0.51*1.1*0.98</f>
        <v>0.54978</v>
      </c>
      <c r="H7" s="611">
        <f>G7*R5</f>
        <v>38.4846</v>
      </c>
      <c r="I7" s="609">
        <f>0.81*1.06*0.98</f>
        <v>0.841428</v>
      </c>
      <c r="J7" s="609">
        <f>I7*S5</f>
        <v>58.89996</v>
      </c>
      <c r="K7" s="609">
        <v>0.177</v>
      </c>
      <c r="L7" s="624">
        <f>K7*U5</f>
        <v>0.73455</v>
      </c>
      <c r="M7" s="625">
        <f t="shared" si="0"/>
        <v>176.454345</v>
      </c>
      <c r="N7" s="614"/>
      <c r="O7" s="626">
        <v>1</v>
      </c>
      <c r="P7" s="627">
        <v>1</v>
      </c>
      <c r="Q7" s="627">
        <v>1</v>
      </c>
      <c r="R7" s="627">
        <v>1</v>
      </c>
      <c r="S7" s="627">
        <v>1.6</v>
      </c>
      <c r="T7" s="627">
        <v>1</v>
      </c>
      <c r="U7" s="628">
        <v>1.1</v>
      </c>
    </row>
    <row r="8" ht="20.1" customHeight="1" spans="1:21">
      <c r="A8" s="607">
        <v>5</v>
      </c>
      <c r="B8" s="608" t="s">
        <v>747</v>
      </c>
      <c r="C8" s="609">
        <v>42.5</v>
      </c>
      <c r="D8" s="609">
        <f t="shared" ref="D8:G8" si="2">D7</f>
        <v>2</v>
      </c>
      <c r="E8" s="609">
        <f t="shared" si="2"/>
        <v>0.307197</v>
      </c>
      <c r="F8" s="611">
        <f>E8*$P$5</f>
        <v>78.335235</v>
      </c>
      <c r="G8" s="609">
        <f t="shared" si="2"/>
        <v>0.54978</v>
      </c>
      <c r="H8" s="611">
        <f>G8*$R$5</f>
        <v>38.4846</v>
      </c>
      <c r="I8" s="609">
        <f>I7</f>
        <v>0.841428</v>
      </c>
      <c r="J8" s="609">
        <f>I8*$S$5</f>
        <v>58.89996</v>
      </c>
      <c r="K8" s="609">
        <f>K7</f>
        <v>0.177</v>
      </c>
      <c r="L8" s="624">
        <f>K8*$U$5</f>
        <v>0.73455</v>
      </c>
      <c r="M8" s="625">
        <f t="shared" si="0"/>
        <v>176.454345</v>
      </c>
      <c r="N8" s="614"/>
      <c r="O8" s="629">
        <v>1.07</v>
      </c>
      <c r="P8" s="630">
        <v>1.07</v>
      </c>
      <c r="Q8" s="630">
        <v>1</v>
      </c>
      <c r="R8" s="630">
        <v>0.98</v>
      </c>
      <c r="S8" s="630">
        <v>0.98</v>
      </c>
      <c r="T8" s="630">
        <v>1</v>
      </c>
      <c r="U8" s="631">
        <v>1.07</v>
      </c>
    </row>
    <row r="9" ht="20.1" customHeight="1" spans="1:21">
      <c r="A9" s="632"/>
      <c r="B9" s="633" t="s">
        <v>746</v>
      </c>
      <c r="C9" s="634">
        <v>42.5</v>
      </c>
      <c r="D9" s="634">
        <v>1</v>
      </c>
      <c r="E9" s="634">
        <f>0.294*1.1*1.07</f>
        <v>0.346038</v>
      </c>
      <c r="F9" s="635">
        <f>E9*$P$5</f>
        <v>88.23969</v>
      </c>
      <c r="G9" s="634">
        <f>0.56*1.1*0.98</f>
        <v>0.60368</v>
      </c>
      <c r="H9" s="635">
        <f>G9*$R$5</f>
        <v>42.2576</v>
      </c>
      <c r="I9" s="634">
        <f>0.71*1.06*0.98</f>
        <v>0.737548</v>
      </c>
      <c r="J9" s="634">
        <f>I9*$S$5</f>
        <v>51.62836</v>
      </c>
      <c r="K9" s="634">
        <f>0.17*1.1*1.07</f>
        <v>0.20009</v>
      </c>
      <c r="L9" s="636">
        <f>K9*$U$5</f>
        <v>0.8303735</v>
      </c>
      <c r="M9" s="637">
        <f t="shared" si="0"/>
        <v>182.9560235</v>
      </c>
      <c r="N9" s="614"/>
    </row>
    <row r="10" ht="20.1" customHeight="1" spans="1:21">
      <c r="A10" s="607">
        <v>6</v>
      </c>
      <c r="B10" s="608" t="s">
        <v>748</v>
      </c>
      <c r="C10" s="609">
        <v>42.5</v>
      </c>
      <c r="D10" s="609">
        <v>2</v>
      </c>
      <c r="E10" s="609">
        <v>0.34</v>
      </c>
      <c r="F10" s="611">
        <f>E10*P5</f>
        <v>86.7</v>
      </c>
      <c r="G10" s="609">
        <v>0.528</v>
      </c>
      <c r="H10" s="611">
        <f>G10*R5</f>
        <v>36.96</v>
      </c>
      <c r="I10" s="609">
        <v>0.841</v>
      </c>
      <c r="J10" s="609">
        <f>I10*S5</f>
        <v>58.87</v>
      </c>
      <c r="K10" s="609">
        <v>0.177</v>
      </c>
      <c r="L10" s="624">
        <f>K10*U5</f>
        <v>0.73455</v>
      </c>
      <c r="M10" s="625">
        <f t="shared" si="0"/>
        <v>183.26455</v>
      </c>
      <c r="N10" s="614"/>
    </row>
    <row r="11" ht="20.1" customHeight="1" spans="1:21">
      <c r="A11" s="607">
        <v>7</v>
      </c>
      <c r="B11" s="608" t="s">
        <v>749</v>
      </c>
      <c r="C11" s="609">
        <v>42.5</v>
      </c>
      <c r="D11" s="609">
        <v>2</v>
      </c>
      <c r="E11" s="609">
        <v>0.365</v>
      </c>
      <c r="F11" s="611">
        <f>E11*P5</f>
        <v>93.075</v>
      </c>
      <c r="G11" s="609">
        <v>0.507</v>
      </c>
      <c r="H11" s="611">
        <f>G11*R5</f>
        <v>35.49</v>
      </c>
      <c r="I11" s="609">
        <v>0.841</v>
      </c>
      <c r="J11" s="609">
        <f>I11*S5</f>
        <v>58.87</v>
      </c>
      <c r="K11" s="609">
        <v>0.177</v>
      </c>
      <c r="L11" s="612">
        <f>K11*U5</f>
        <v>0.73455</v>
      </c>
      <c r="M11" s="613">
        <f t="shared" si="0"/>
        <v>188.16955</v>
      </c>
      <c r="N11" s="614"/>
      <c r="O11" s="638" t="s">
        <v>750</v>
      </c>
      <c r="P11" s="639"/>
      <c r="Q11" s="639"/>
      <c r="R11" s="639"/>
      <c r="S11" s="639"/>
      <c r="T11" s="639"/>
      <c r="U11" s="640"/>
    </row>
    <row r="12" ht="20.1" customHeight="1" spans="1:21">
      <c r="A12" s="607">
        <v>8</v>
      </c>
      <c r="B12" s="608" t="s">
        <v>751</v>
      </c>
      <c r="C12" s="609">
        <v>32.5</v>
      </c>
      <c r="D12" s="609"/>
      <c r="E12" s="609">
        <f>0.211*0.86</f>
        <v>0.18146</v>
      </c>
      <c r="F12" s="611">
        <f>E12*P5</f>
        <v>46.2723</v>
      </c>
      <c r="G12" s="609">
        <v>1.13</v>
      </c>
      <c r="H12" s="611">
        <f>G12*R5</f>
        <v>79.1</v>
      </c>
      <c r="I12" s="609"/>
      <c r="J12" s="609"/>
      <c r="K12" s="609">
        <v>0.127</v>
      </c>
      <c r="L12" s="612">
        <f>K12*U5</f>
        <v>0.52705</v>
      </c>
      <c r="M12" s="613">
        <f t="shared" si="0"/>
        <v>125.89935</v>
      </c>
      <c r="N12" s="614"/>
      <c r="O12" s="641" t="s">
        <v>752</v>
      </c>
      <c r="P12" s="642"/>
      <c r="Q12" s="643"/>
      <c r="R12" s="602" t="s">
        <v>729</v>
      </c>
      <c r="S12" s="602" t="s">
        <v>753</v>
      </c>
      <c r="T12" s="602" t="s">
        <v>687</v>
      </c>
      <c r="U12" s="644" t="s">
        <v>730</v>
      </c>
    </row>
    <row r="13" ht="20.1" customHeight="1" spans="1:21">
      <c r="A13" s="607">
        <v>9</v>
      </c>
      <c r="B13" s="608" t="s">
        <v>754</v>
      </c>
      <c r="C13" s="609">
        <v>32.5</v>
      </c>
      <c r="D13" s="609"/>
      <c r="E13" s="609">
        <f>0.261*0.86</f>
        <v>0.22446</v>
      </c>
      <c r="F13" s="611">
        <f>E13*P5</f>
        <v>57.2373</v>
      </c>
      <c r="G13" s="609">
        <v>1.11</v>
      </c>
      <c r="H13" s="611">
        <f>G13*R5</f>
        <v>77.7</v>
      </c>
      <c r="I13" s="609"/>
      <c r="J13" s="609"/>
      <c r="K13" s="609">
        <v>0.157</v>
      </c>
      <c r="L13" s="612">
        <f>K13*U5</f>
        <v>0.65155</v>
      </c>
      <c r="M13" s="613">
        <f t="shared" si="0"/>
        <v>135.58885</v>
      </c>
      <c r="N13" s="614"/>
      <c r="O13" s="641" t="s">
        <v>755</v>
      </c>
      <c r="P13" s="642"/>
      <c r="Q13" s="643"/>
      <c r="R13" s="612">
        <v>1.1</v>
      </c>
      <c r="S13" s="612">
        <v>1.1</v>
      </c>
      <c r="T13" s="612">
        <v>1.06</v>
      </c>
      <c r="U13" s="613">
        <v>1</v>
      </c>
    </row>
    <row r="14" ht="20.1" customHeight="1" spans="1:21">
      <c r="A14" s="607">
        <v>10</v>
      </c>
      <c r="B14" s="608" t="s">
        <v>756</v>
      </c>
      <c r="C14" s="609">
        <v>32.5</v>
      </c>
      <c r="D14" s="609"/>
      <c r="E14" s="609">
        <f>0.305*0.86</f>
        <v>0.2623</v>
      </c>
      <c r="F14" s="611">
        <f>E14*P5</f>
        <v>66.8865</v>
      </c>
      <c r="G14" s="609">
        <v>1.1</v>
      </c>
      <c r="H14" s="611">
        <f>G14*R5</f>
        <v>77</v>
      </c>
      <c r="I14" s="609"/>
      <c r="J14" s="609"/>
      <c r="K14" s="609">
        <v>0.183</v>
      </c>
      <c r="L14" s="612">
        <f>K14*U5</f>
        <v>0.75945</v>
      </c>
      <c r="M14" s="613">
        <f t="shared" si="0"/>
        <v>144.64595</v>
      </c>
      <c r="O14" s="641" t="s">
        <v>757</v>
      </c>
      <c r="P14" s="642"/>
      <c r="Q14" s="643"/>
      <c r="R14" s="612">
        <v>1.07</v>
      </c>
      <c r="S14" s="612">
        <v>0.98</v>
      </c>
      <c r="T14" s="612">
        <v>0.98</v>
      </c>
      <c r="U14" s="613">
        <v>1.07</v>
      </c>
    </row>
    <row r="15" ht="20.1" customHeight="1" spans="1:21">
      <c r="A15" s="607"/>
      <c r="B15" s="608"/>
      <c r="C15" s="609"/>
      <c r="D15" s="609"/>
      <c r="E15" s="609"/>
      <c r="F15" s="609"/>
      <c r="G15" s="609"/>
      <c r="H15" s="609"/>
      <c r="I15" s="609"/>
      <c r="J15" s="609"/>
      <c r="K15" s="609"/>
      <c r="L15" s="602"/>
      <c r="M15" s="613"/>
      <c r="N15" s="614"/>
      <c r="O15" s="641" t="s">
        <v>758</v>
      </c>
      <c r="P15" s="642"/>
      <c r="Q15" s="643"/>
      <c r="R15" s="612">
        <v>1.1</v>
      </c>
      <c r="S15" s="612">
        <v>0.96</v>
      </c>
      <c r="T15" s="612">
        <v>0.97</v>
      </c>
      <c r="U15" s="613">
        <v>1.1</v>
      </c>
    </row>
    <row r="16" ht="20.1" customHeight="1" spans="1:21">
      <c r="A16" s="607"/>
      <c r="B16" s="608"/>
      <c r="C16" s="609"/>
      <c r="D16" s="609"/>
      <c r="E16" s="609"/>
      <c r="F16" s="609"/>
      <c r="G16" s="609"/>
      <c r="H16" s="609"/>
      <c r="I16" s="609"/>
      <c r="J16" s="609"/>
      <c r="K16" s="609"/>
      <c r="L16" s="602"/>
      <c r="M16" s="613"/>
      <c r="N16" s="614"/>
      <c r="O16" s="645" t="s">
        <v>759</v>
      </c>
      <c r="P16" s="646"/>
      <c r="Q16" s="647"/>
      <c r="R16" s="648">
        <v>1.16</v>
      </c>
      <c r="S16" s="648">
        <v>0.9</v>
      </c>
      <c r="T16" s="648">
        <v>0.95</v>
      </c>
      <c r="U16" s="649">
        <v>1.16</v>
      </c>
    </row>
    <row r="17" ht="20.1" customHeight="1" spans="1:21">
      <c r="A17" s="650"/>
      <c r="B17" s="651"/>
      <c r="C17" s="602"/>
      <c r="D17" s="602"/>
      <c r="E17" s="602"/>
      <c r="F17" s="602"/>
      <c r="G17" s="602"/>
      <c r="H17" s="602"/>
      <c r="I17" s="602"/>
      <c r="J17" s="602"/>
      <c r="K17" s="602"/>
      <c r="L17" s="602"/>
      <c r="M17" s="613"/>
      <c r="N17" s="614"/>
      <c r="O17" s="652"/>
      <c r="P17" s="652"/>
      <c r="Q17" s="652"/>
      <c r="R17" s="653"/>
      <c r="S17" s="653"/>
      <c r="T17" s="653"/>
      <c r="U17" s="653"/>
    </row>
    <row r="18" ht="20.1" customHeight="1" spans="1:21">
      <c r="A18" s="650"/>
      <c r="B18" s="651"/>
      <c r="C18" s="602"/>
      <c r="D18" s="602"/>
      <c r="E18" s="602"/>
      <c r="F18" s="602"/>
      <c r="G18" s="602"/>
      <c r="H18" s="602"/>
      <c r="I18" s="602"/>
      <c r="J18" s="602"/>
      <c r="K18" s="602"/>
      <c r="L18" s="602"/>
      <c r="M18" s="613"/>
      <c r="N18" s="614"/>
    </row>
    <row r="19" ht="20.1" customHeight="1" spans="1:21">
      <c r="A19" s="654"/>
      <c r="B19" s="655"/>
      <c r="C19" s="656"/>
      <c r="D19" s="656"/>
      <c r="E19" s="656"/>
      <c r="F19" s="656"/>
      <c r="G19" s="656"/>
      <c r="H19" s="656"/>
      <c r="I19" s="656"/>
      <c r="J19" s="656"/>
      <c r="K19" s="656"/>
      <c r="L19" s="656"/>
      <c r="M19" s="649"/>
      <c r="N19" s="614"/>
    </row>
    <row r="20" ht="20.1" customHeight="1" spans="1:21">
      <c r="O20" s="657"/>
    </row>
    <row r="21" ht="20.1" customHeight="1"/>
    <row r="22" ht="20.1" customHeight="1"/>
    <row r="23" ht="20.1" customHeight="1"/>
    <row r="24" ht="20.1" customHeight="1"/>
    <row r="25" ht="20.1" customHeight="1"/>
  </sheetData>
  <mergeCells count="24">
    <mergeCell ref="A1:M1"/>
    <mergeCell ref="O1:U1"/>
    <mergeCell ref="E2:F2"/>
    <mergeCell ref="G2:H2"/>
    <mergeCell ref="I2:J2"/>
    <mergeCell ref="K2:L2"/>
    <mergeCell ref="O2:U2"/>
    <mergeCell ref="O11:U11"/>
    <mergeCell ref="O12:Q12"/>
    <mergeCell ref="O13:Q13"/>
    <mergeCell ref="O14:Q14"/>
    <mergeCell ref="O15:Q15"/>
    <mergeCell ref="O16:Q16"/>
    <mergeCell ref="A2:A3"/>
    <mergeCell ref="B2:B3"/>
    <mergeCell ref="C2:C3"/>
    <mergeCell ref="D2:D3"/>
    <mergeCell ref="M2:M3"/>
    <mergeCell ref="Q3:Q4"/>
    <mergeCell ref="R3:R4"/>
    <mergeCell ref="S3:S4"/>
    <mergeCell ref="T3:T4"/>
    <mergeCell ref="U3:U4"/>
    <mergeCell ref="O3:P4"/>
  </mergeCells>
  <printOptions horizontalCentered="1"/>
  <pageMargins left="0.75" right="0.75" top="0.979861111111111" bottom="0.979861111111111" header="0.509722222222222" footer="0.509722222222222"/>
  <pageSetup paperSize="9" orientation="landscape"/>
  <headerFooter alignWithMargins="0" scaleWithDoc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/>
  </sheetPr>
  <dimension ref="A1:K19"/>
  <sheetViews>
    <sheetView zoomScale="85" zoomScaleNormal="85" workbookViewId="0">
      <selection activeCell="J14" sqref="J14"/>
    </sheetView>
  </sheetViews>
  <sheetFormatPr defaultColWidth="9" defaultRowHeight="14.25"/>
  <cols>
    <col min="1" max="1" width="5.375" style="560" customWidth="1"/>
    <col min="2" max="2" width="13.125" style="560" customWidth="1"/>
    <col min="3" max="3" width="8.5" style="560" customWidth="1"/>
    <col min="4" max="4" width="8.875" style="560" customWidth="1"/>
    <col min="5" max="6" width="8.625" style="560" customWidth="1"/>
    <col min="7" max="7" width="9.625" style="560" customWidth="1"/>
    <col min="8" max="8" width="14.375" style="560" customWidth="1"/>
    <col min="9" max="9" width="10.625" style="560" customWidth="1"/>
    <col min="10" max="10" width="9.625" style="560" customWidth="1"/>
    <col min="11" max="11" width="16.125" style="560" customWidth="1"/>
    <col min="12" max="12" width="8.625" style="560" customWidth="1"/>
    <col min="13" max="14" width="9.75" style="560" customWidth="1"/>
    <col min="15" max="15" width="14.625" style="560" customWidth="1"/>
    <col min="16" max="16" width="7.375" style="560" customWidth="1"/>
    <col min="17" max="17" width="12" style="560" customWidth="1"/>
    <col min="18" max="18" width="12.375" style="560" customWidth="1"/>
    <col min="19" max="20" width="10.125" style="560" customWidth="1"/>
    <col min="21" max="21" width="9.5" style="560" customWidth="1"/>
    <col min="22" max="22" width="10.125" style="560" customWidth="1"/>
    <col min="23" max="16384" width="9" style="560"/>
  </cols>
  <sheetData>
    <row r="1" ht="20.1" customHeight="1" spans="1:11">
      <c r="A1" s="561" t="s">
        <v>760</v>
      </c>
      <c r="B1" s="562"/>
      <c r="C1" s="562"/>
      <c r="D1" s="562"/>
      <c r="E1" s="562"/>
      <c r="F1" s="562"/>
      <c r="G1" s="562"/>
      <c r="H1" s="562"/>
      <c r="I1" s="562"/>
      <c r="J1" s="562"/>
      <c r="K1" s="562"/>
    </row>
    <row r="2" ht="24.95" customHeight="1" spans="1:11">
      <c r="A2" s="563" t="s">
        <v>1</v>
      </c>
      <c r="B2" s="564" t="s">
        <v>761</v>
      </c>
      <c r="C2" s="564" t="s">
        <v>507</v>
      </c>
      <c r="D2" s="564"/>
      <c r="E2" s="564"/>
      <c r="F2" s="564"/>
      <c r="G2" s="564"/>
      <c r="H2" s="564"/>
      <c r="I2" s="564"/>
      <c r="J2" s="564"/>
      <c r="K2" s="565"/>
    </row>
    <row r="3" ht="24.95" customHeight="1" spans="1:11">
      <c r="A3" s="566"/>
      <c r="B3" s="317"/>
      <c r="C3" s="317" t="s">
        <v>99</v>
      </c>
      <c r="D3" s="317" t="s">
        <v>762</v>
      </c>
      <c r="E3" s="317" t="s">
        <v>763</v>
      </c>
      <c r="F3" s="317" t="s">
        <v>764</v>
      </c>
      <c r="G3" s="317" t="s">
        <v>765</v>
      </c>
      <c r="H3" s="317" t="s">
        <v>766</v>
      </c>
      <c r="I3" s="317" t="s">
        <v>767</v>
      </c>
      <c r="J3" s="317" t="s">
        <v>768</v>
      </c>
      <c r="K3" s="318" t="s">
        <v>769</v>
      </c>
    </row>
    <row r="4" ht="24.95" customHeight="1" spans="1:11">
      <c r="A4" s="566">
        <v>1</v>
      </c>
      <c r="B4" s="317" t="s">
        <v>514</v>
      </c>
      <c r="C4" s="567">
        <v>0.048</v>
      </c>
      <c r="D4" s="567">
        <f>C4</f>
        <v>0.048</v>
      </c>
      <c r="E4" s="567">
        <f>C4</f>
        <v>0.048</v>
      </c>
      <c r="F4" s="567">
        <f>C4</f>
        <v>0.048</v>
      </c>
      <c r="G4" s="567">
        <f>C4</f>
        <v>0.048</v>
      </c>
      <c r="H4" s="567">
        <f>C4</f>
        <v>0.048</v>
      </c>
      <c r="I4" s="567">
        <f>C4</f>
        <v>0.048</v>
      </c>
      <c r="J4" s="567">
        <f>C4</f>
        <v>0.048</v>
      </c>
      <c r="K4" s="568">
        <v>0.055</v>
      </c>
    </row>
    <row r="5" ht="24.95" customHeight="1" spans="1:11">
      <c r="A5" s="519">
        <v>2</v>
      </c>
      <c r="B5" s="61" t="s">
        <v>770</v>
      </c>
      <c r="C5" s="569">
        <v>0.045</v>
      </c>
      <c r="D5" s="569">
        <v>0.085</v>
      </c>
      <c r="E5" s="569">
        <v>0.085</v>
      </c>
      <c r="F5" s="569">
        <v>0.085</v>
      </c>
      <c r="G5" s="569">
        <v>0.05</v>
      </c>
      <c r="H5" s="569">
        <v>0.095</v>
      </c>
      <c r="I5" s="569">
        <v>0.07</v>
      </c>
      <c r="J5" s="569">
        <v>0.075</v>
      </c>
      <c r="K5" s="570">
        <v>0.7</v>
      </c>
    </row>
    <row r="6" ht="24.95" customHeight="1" spans="1:11">
      <c r="A6" s="566">
        <v>3</v>
      </c>
      <c r="B6" s="317" t="s">
        <v>771</v>
      </c>
      <c r="C6" s="567">
        <v>0.07</v>
      </c>
      <c r="D6" s="567">
        <v>0.07</v>
      </c>
      <c r="E6" s="567">
        <v>0.07</v>
      </c>
      <c r="F6" s="567">
        <v>0.07</v>
      </c>
      <c r="G6" s="567">
        <v>0.07</v>
      </c>
      <c r="H6" s="567">
        <v>0.07</v>
      </c>
      <c r="I6" s="567">
        <v>0.07</v>
      </c>
      <c r="J6" s="567">
        <v>0.07</v>
      </c>
      <c r="K6" s="568">
        <v>0.07</v>
      </c>
    </row>
    <row r="7" ht="24.95" customHeight="1" spans="1:11">
      <c r="A7" s="158">
        <v>4</v>
      </c>
      <c r="B7" s="161" t="s">
        <v>772</v>
      </c>
      <c r="C7" s="571">
        <v>0.09</v>
      </c>
      <c r="D7" s="571">
        <v>0.09</v>
      </c>
      <c r="E7" s="571">
        <v>0.09</v>
      </c>
      <c r="F7" s="571">
        <v>0.09</v>
      </c>
      <c r="G7" s="571">
        <v>0.09</v>
      </c>
      <c r="H7" s="571">
        <v>0.09</v>
      </c>
      <c r="I7" s="571">
        <v>0.09</v>
      </c>
      <c r="J7" s="571">
        <v>0.09</v>
      </c>
      <c r="K7" s="572">
        <v>0.09</v>
      </c>
    </row>
    <row r="8" ht="24.95" customHeight="1" spans="1:11">
      <c r="A8" s="573"/>
      <c r="B8" s="573"/>
      <c r="C8" s="573"/>
      <c r="D8" s="573"/>
      <c r="E8" s="573"/>
      <c r="F8" s="573"/>
      <c r="G8" s="573"/>
      <c r="H8" s="573"/>
      <c r="I8" s="573"/>
      <c r="J8" s="573"/>
      <c r="K8" s="573"/>
    </row>
    <row r="9" ht="24.95" customHeight="1" spans="1:11">
      <c r="A9" s="574" t="s">
        <v>773</v>
      </c>
      <c r="B9" s="575"/>
      <c r="C9" s="575"/>
      <c r="D9" s="575"/>
      <c r="E9" s="575"/>
      <c r="F9" s="575"/>
      <c r="G9" s="575"/>
      <c r="H9" s="575"/>
      <c r="I9" s="575"/>
      <c r="J9" s="575"/>
      <c r="K9" s="575"/>
    </row>
    <row r="10" ht="24.95" customHeight="1" spans="1:11">
      <c r="A10" s="576" t="s">
        <v>1</v>
      </c>
      <c r="B10" s="577" t="s">
        <v>761</v>
      </c>
      <c r="C10" s="577" t="s">
        <v>507</v>
      </c>
      <c r="D10" s="577"/>
      <c r="E10" s="577"/>
      <c r="F10" s="577"/>
      <c r="G10" s="577"/>
      <c r="H10" s="577"/>
      <c r="I10" s="577"/>
      <c r="J10" s="577"/>
      <c r="K10" s="578"/>
    </row>
    <row r="11" ht="24.95" customHeight="1" spans="1:11">
      <c r="A11" s="579"/>
      <c r="B11" s="580"/>
      <c r="C11" s="580" t="s">
        <v>99</v>
      </c>
      <c r="D11" s="580" t="s">
        <v>762</v>
      </c>
      <c r="E11" s="580" t="s">
        <v>763</v>
      </c>
      <c r="F11" s="580" t="s">
        <v>764</v>
      </c>
      <c r="G11" s="580" t="s">
        <v>765</v>
      </c>
      <c r="H11" s="580" t="s">
        <v>766</v>
      </c>
      <c r="I11" s="580" t="s">
        <v>774</v>
      </c>
      <c r="J11" s="580" t="s">
        <v>768</v>
      </c>
      <c r="K11" s="581" t="s">
        <v>775</v>
      </c>
    </row>
    <row r="12" ht="24.95" customHeight="1" spans="1:11">
      <c r="A12" s="566">
        <v>1</v>
      </c>
      <c r="B12" s="317" t="s">
        <v>514</v>
      </c>
      <c r="C12" s="567">
        <v>0.064</v>
      </c>
      <c r="D12" s="567">
        <f>C12</f>
        <v>0.064</v>
      </c>
      <c r="E12" s="567">
        <f>C12</f>
        <v>0.064</v>
      </c>
      <c r="F12" s="567">
        <f>C12</f>
        <v>0.064</v>
      </c>
      <c r="G12" s="567">
        <f>C12</f>
        <v>0.064</v>
      </c>
      <c r="H12" s="567">
        <f>C12</f>
        <v>0.064</v>
      </c>
      <c r="I12" s="567">
        <f>C12</f>
        <v>0.064</v>
      </c>
      <c r="J12" s="567">
        <f>C12</f>
        <v>0.064</v>
      </c>
      <c r="K12" s="568">
        <v>0.055</v>
      </c>
    </row>
    <row r="13" ht="24.95" customHeight="1" spans="1:11">
      <c r="A13" s="519">
        <v>2</v>
      </c>
      <c r="B13" s="61" t="s">
        <v>770</v>
      </c>
      <c r="C13" s="582">
        <v>0.05</v>
      </c>
      <c r="D13" s="569">
        <v>0.085</v>
      </c>
      <c r="E13" s="569">
        <v>0.085</v>
      </c>
      <c r="F13" s="569">
        <v>0.085</v>
      </c>
      <c r="G13" s="582">
        <v>0.05</v>
      </c>
      <c r="H13" s="582">
        <v>0.095</v>
      </c>
      <c r="I13" s="582">
        <v>0.07</v>
      </c>
      <c r="J13" s="582">
        <v>0.074</v>
      </c>
      <c r="K13" s="583">
        <v>0.7</v>
      </c>
    </row>
    <row r="14" ht="24.95" customHeight="1" spans="1:11">
      <c r="A14" s="566">
        <v>3</v>
      </c>
      <c r="B14" s="317" t="s">
        <v>771</v>
      </c>
      <c r="C14" s="584">
        <v>0.07</v>
      </c>
      <c r="D14" s="584">
        <v>0.07</v>
      </c>
      <c r="E14" s="584">
        <v>0.07</v>
      </c>
      <c r="F14" s="584">
        <v>0.07</v>
      </c>
      <c r="G14" s="584">
        <v>0.07</v>
      </c>
      <c r="H14" s="584">
        <v>0.07</v>
      </c>
      <c r="I14" s="584">
        <v>0.07</v>
      </c>
      <c r="J14" s="584">
        <v>0.07</v>
      </c>
      <c r="K14" s="585">
        <v>0.07</v>
      </c>
    </row>
    <row r="15" ht="24.95" customHeight="1" spans="1:11">
      <c r="A15" s="158">
        <v>4</v>
      </c>
      <c r="B15" s="161" t="s">
        <v>772</v>
      </c>
      <c r="C15" s="586">
        <v>0.09</v>
      </c>
      <c r="D15" s="586">
        <v>0.09</v>
      </c>
      <c r="E15" s="586">
        <v>0.09</v>
      </c>
      <c r="F15" s="586">
        <v>0.09</v>
      </c>
      <c r="G15" s="586">
        <v>0.09</v>
      </c>
      <c r="H15" s="586">
        <v>0.09</v>
      </c>
      <c r="I15" s="586">
        <v>0.09</v>
      </c>
      <c r="J15" s="586">
        <v>0.09</v>
      </c>
      <c r="K15" s="587">
        <v>0.09</v>
      </c>
    </row>
    <row r="16" ht="24.95" customHeight="1" spans="1:11">
      <c r="A16" s="588"/>
      <c r="B16" s="588"/>
      <c r="C16" s="588"/>
      <c r="D16" s="588"/>
      <c r="E16" s="588"/>
      <c r="F16" s="588"/>
      <c r="G16" s="588"/>
      <c r="H16" s="588"/>
      <c r="I16" s="588"/>
      <c r="J16" s="588"/>
      <c r="K16" s="588"/>
    </row>
    <row r="17" ht="15" spans="2:9">
      <c r="B17" s="161" t="s">
        <v>776</v>
      </c>
      <c r="I17" s="161" t="s">
        <v>777</v>
      </c>
    </row>
    <row r="18" ht="15" spans="2:9">
      <c r="B18" s="161" t="s">
        <v>778</v>
      </c>
      <c r="I18" s="161" t="s">
        <v>778</v>
      </c>
    </row>
    <row r="19" spans="2:9">
      <c r="B19" s="584">
        <v>0.03</v>
      </c>
      <c r="I19" s="584">
        <v>0.03</v>
      </c>
    </row>
  </sheetData>
  <mergeCells count="9">
    <mergeCell ref="A1:K1"/>
    <mergeCell ref="C2:K2"/>
    <mergeCell ref="A8:K8"/>
    <mergeCell ref="A9:K9"/>
    <mergeCell ref="C10:K10"/>
    <mergeCell ref="A2:A3"/>
    <mergeCell ref="A10:A11"/>
    <mergeCell ref="B2:B3"/>
    <mergeCell ref="B10:B11"/>
  </mergeCells>
  <printOptions horizontalCentered="1"/>
  <pageMargins left="0.75" right="0.75" top="0.979861111111111" bottom="0.979861111111111" header="0.509722222222222" footer="0.509722222222222"/>
  <pageSetup paperSize="9" orientation="landscape"/>
  <headerFooter alignWithMargins="0" scaleWithDoc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599993896298105"/>
  </sheetPr>
  <dimension ref="A1:V66"/>
  <sheetViews>
    <sheetView topLeftCell="C1" workbookViewId="0">
      <pane ySplit="6" topLeftCell="A7" activePane="bottomLeft" state="frozen"/>
      <selection/>
      <selection pane="bottomLeft" activeCell="L6" sqref="L6"/>
    </sheetView>
  </sheetViews>
  <sheetFormatPr defaultColWidth="9" defaultRowHeight="26.25" customHeight="1"/>
  <cols>
    <col min="1" max="1" width="7" style="500" hidden="1" customWidth="1"/>
    <col min="2" max="2" width="5.5" style="501" customWidth="1"/>
    <col min="3" max="3" width="9.5" style="501" customWidth="1"/>
    <col min="4" max="4" width="19" style="502" customWidth="1"/>
    <col min="5" max="5" width="9" style="503"/>
    <col min="6" max="6" width="7.75" style="503" customWidth="1"/>
    <col min="7" max="7" width="8.375" style="503" customWidth="1"/>
    <col min="8" max="8" width="6.375" style="503" customWidth="1"/>
    <col min="9" max="9" width="6.625" style="503" customWidth="1"/>
    <col min="10" max="10" width="6.375" style="503" customWidth="1"/>
    <col min="11" max="11" width="8.625" style="500" customWidth="1"/>
    <col min="12" max="12" width="8.875" style="500" customWidth="1"/>
    <col min="13" max="13" width="10.25" style="500" customWidth="1"/>
    <col min="14" max="14" width="9.125" style="500" customWidth="1"/>
    <col min="15" max="15" width="9.875" style="500" customWidth="1"/>
    <col min="16" max="16" width="11.125" style="500" customWidth="1"/>
    <col min="17" max="18" width="11.5" style="500" customWidth="1"/>
    <col min="19" max="16384" width="9" style="500"/>
  </cols>
  <sheetData>
    <row r="1" ht="24.95" customHeight="1" spans="1:22">
      <c r="A1" s="500" t="s">
        <v>779</v>
      </c>
      <c r="B1" s="504" t="s">
        <v>780</v>
      </c>
      <c r="C1" s="505"/>
      <c r="D1" s="505"/>
      <c r="E1" s="505"/>
      <c r="F1" s="505"/>
      <c r="G1" s="505"/>
      <c r="H1" s="505"/>
      <c r="I1" s="505"/>
      <c r="J1" s="505"/>
      <c r="K1" s="506"/>
      <c r="L1" s="506"/>
      <c r="M1" s="506"/>
      <c r="N1" s="506"/>
      <c r="O1" s="506"/>
      <c r="P1" s="507"/>
      <c r="Q1" s="507"/>
      <c r="R1" s="507"/>
      <c r="S1" s="507"/>
      <c r="T1" s="507"/>
      <c r="U1" s="507"/>
      <c r="V1" s="507"/>
    </row>
    <row r="2" ht="20.1" customHeight="1" spans="1:22">
      <c r="A2" s="508" t="s">
        <v>781</v>
      </c>
      <c r="B2" s="509" t="s">
        <v>1</v>
      </c>
      <c r="C2" s="510" t="s">
        <v>507</v>
      </c>
      <c r="D2" s="511" t="s">
        <v>653</v>
      </c>
      <c r="E2" s="512" t="s">
        <v>782</v>
      </c>
      <c r="F2" s="513" t="s">
        <v>783</v>
      </c>
      <c r="G2" s="513"/>
      <c r="H2" s="513"/>
      <c r="I2" s="513"/>
      <c r="J2" s="514"/>
      <c r="K2" s="515"/>
      <c r="L2" s="515"/>
      <c r="M2" s="515"/>
      <c r="N2" s="515"/>
      <c r="O2" s="515"/>
      <c r="P2" s="516" t="s">
        <v>784</v>
      </c>
      <c r="Q2" s="516"/>
      <c r="R2" s="516"/>
      <c r="S2" s="516"/>
      <c r="T2" s="516"/>
      <c r="U2" s="516"/>
      <c r="V2" s="517"/>
    </row>
    <row r="3" ht="28.5" customHeight="1" spans="1:22">
      <c r="A3" s="518"/>
      <c r="B3" s="519"/>
      <c r="C3" s="520"/>
      <c r="D3" s="61"/>
      <c r="E3" s="521"/>
      <c r="F3" s="522" t="s">
        <v>785</v>
      </c>
      <c r="G3" s="523" t="s">
        <v>786</v>
      </c>
      <c r="H3" s="522" t="s">
        <v>787</v>
      </c>
      <c r="I3" s="522" t="s">
        <v>510</v>
      </c>
      <c r="J3" s="524" t="s">
        <v>788</v>
      </c>
      <c r="K3" s="525" t="s">
        <v>789</v>
      </c>
      <c r="L3" s="525" t="s">
        <v>790</v>
      </c>
      <c r="M3" s="525" t="s">
        <v>791</v>
      </c>
      <c r="N3" s="525" t="s">
        <v>792</v>
      </c>
      <c r="O3" s="525" t="s">
        <v>793</v>
      </c>
      <c r="P3" s="526" t="s">
        <v>794</v>
      </c>
      <c r="Q3" s="527" t="s">
        <v>789</v>
      </c>
      <c r="R3" s="527" t="s">
        <v>790</v>
      </c>
      <c r="S3" s="527" t="s">
        <v>791</v>
      </c>
      <c r="T3" s="527" t="s">
        <v>795</v>
      </c>
      <c r="U3" s="528" t="s">
        <v>796</v>
      </c>
      <c r="V3" s="525"/>
    </row>
    <row r="4" ht="28.5" customHeight="1" spans="1:22">
      <c r="A4" s="518"/>
      <c r="B4" s="519">
        <v>1</v>
      </c>
      <c r="C4" s="61">
        <v>1001</v>
      </c>
      <c r="D4" s="529" t="s">
        <v>797</v>
      </c>
      <c r="E4" s="522">
        <f t="shared" ref="E4:E7" si="0">SUM(F4:J4)</f>
        <v>93.2271643398484</v>
      </c>
      <c r="F4" s="530">
        <f>21.97/1.15</f>
        <v>19.104347826087</v>
      </c>
      <c r="G4" s="522">
        <f>20.47/1.09</f>
        <v>18.7798165137615</v>
      </c>
      <c r="H4" s="522">
        <v>1.48</v>
      </c>
      <c r="I4" s="522">
        <f>2.7*$P$4</f>
        <v>21.87</v>
      </c>
      <c r="J4" s="531">
        <f>10.7*$R$4</f>
        <v>31.993</v>
      </c>
      <c r="K4" s="532"/>
      <c r="L4" s="532">
        <v>10.7</v>
      </c>
      <c r="M4" s="525"/>
      <c r="N4" s="525"/>
      <c r="O4" s="525"/>
      <c r="P4" s="533">
        <f>主要材料预算!D19</f>
        <v>8.1</v>
      </c>
      <c r="Q4" s="534">
        <f>主要材料预算!M14</f>
        <v>3.075</v>
      </c>
      <c r="R4" s="534">
        <f>主要材料预算!M13</f>
        <v>2.99</v>
      </c>
      <c r="S4" s="535">
        <f>主要材料预算!D18</f>
        <v>2.1</v>
      </c>
      <c r="T4" s="535">
        <f>主要材料预算!D17</f>
        <v>0.15</v>
      </c>
      <c r="U4" s="536">
        <f>主要材料预算!D16</f>
        <v>4.15</v>
      </c>
      <c r="V4" s="525"/>
    </row>
    <row r="5" ht="28.5" customHeight="1" spans="1:22">
      <c r="A5" s="518"/>
      <c r="B5" s="519">
        <v>2</v>
      </c>
      <c r="C5" s="61">
        <v>1003</v>
      </c>
      <c r="D5" s="529" t="s">
        <v>798</v>
      </c>
      <c r="E5" s="522">
        <f t="shared" si="0"/>
        <v>98.885849621061</v>
      </c>
      <c r="F5" s="522">
        <f>32.74/1.15</f>
        <v>28.4695652173913</v>
      </c>
      <c r="G5" s="522">
        <f>20.21/1.09</f>
        <v>18.5412844036697</v>
      </c>
      <c r="H5" s="522">
        <v>1.6</v>
      </c>
      <c r="I5" s="522">
        <f>2.7*$P$4</f>
        <v>21.87</v>
      </c>
      <c r="J5" s="531">
        <f>9.5*$R$4</f>
        <v>28.405</v>
      </c>
      <c r="K5" s="537"/>
      <c r="L5" s="537">
        <v>9.5</v>
      </c>
      <c r="M5" s="525"/>
      <c r="N5" s="525"/>
      <c r="O5" s="525"/>
      <c r="V5" s="525"/>
    </row>
    <row r="6" ht="20.1" customHeight="1" spans="1:22">
      <c r="A6" s="538" t="s">
        <v>799</v>
      </c>
      <c r="B6" s="519">
        <v>3</v>
      </c>
      <c r="C6" s="61">
        <v>1004</v>
      </c>
      <c r="D6" s="529" t="s">
        <v>800</v>
      </c>
      <c r="E6" s="522">
        <f t="shared" si="0"/>
        <v>122.94140686079</v>
      </c>
      <c r="F6" s="522">
        <f>35.63/1.15</f>
        <v>30.9826086956522</v>
      </c>
      <c r="G6" s="522">
        <f>25.46/1.09</f>
        <v>23.3577981651376</v>
      </c>
      <c r="H6" s="522">
        <v>2.18</v>
      </c>
      <c r="I6" s="522">
        <f>2.7*P4</f>
        <v>21.87</v>
      </c>
      <c r="J6" s="531">
        <f>14.9*R4</f>
        <v>44.551</v>
      </c>
      <c r="K6" s="515"/>
      <c r="L6" s="515">
        <v>14.9</v>
      </c>
      <c r="M6" s="515"/>
      <c r="N6" s="515"/>
    </row>
    <row r="7" ht="20.1" customHeight="1" spans="1:22">
      <c r="A7" s="538"/>
      <c r="B7" s="519"/>
      <c r="C7" s="61">
        <v>1005</v>
      </c>
      <c r="D7" s="529" t="s">
        <v>801</v>
      </c>
      <c r="E7" s="522">
        <f t="shared" si="0"/>
        <v>225.053137614679</v>
      </c>
      <c r="F7" s="522">
        <v>89.06</v>
      </c>
      <c r="G7" s="522">
        <f>54.68/1.09</f>
        <v>50.1651376146789</v>
      </c>
      <c r="H7" s="522">
        <v>3.56</v>
      </c>
      <c r="I7" s="522">
        <f>2.7*P4</f>
        <v>21.87</v>
      </c>
      <c r="J7" s="531">
        <f>20.2*R4</f>
        <v>60.398</v>
      </c>
      <c r="K7" s="515"/>
      <c r="L7" s="515">
        <v>20.2</v>
      </c>
      <c r="M7" s="515"/>
      <c r="N7" s="515"/>
    </row>
    <row r="8" ht="20.1" customHeight="1" spans="1:22">
      <c r="A8" s="538"/>
      <c r="B8" s="519">
        <v>4</v>
      </c>
      <c r="C8" s="61">
        <v>1009</v>
      </c>
      <c r="D8" s="529" t="s">
        <v>802</v>
      </c>
      <c r="E8" s="522">
        <f t="shared" ref="E8" si="1">SUM(F8:J8)</f>
        <v>119.591356601516</v>
      </c>
      <c r="F8" s="522">
        <f>32.15/1.15</f>
        <v>27.9565217391304</v>
      </c>
      <c r="G8" s="522">
        <f>24.2/1.09</f>
        <v>22.2018348623853</v>
      </c>
      <c r="H8" s="522"/>
      <c r="I8" s="522">
        <f>1.3*$P$4</f>
        <v>10.53</v>
      </c>
      <c r="J8" s="531">
        <f>19.7*$R$4</f>
        <v>58.903</v>
      </c>
      <c r="K8" s="515"/>
      <c r="L8" s="515">
        <v>19.7</v>
      </c>
      <c r="M8" s="515"/>
      <c r="N8" s="515"/>
    </row>
    <row r="9" ht="20.1" customHeight="1" spans="1:22">
      <c r="A9" s="538"/>
      <c r="B9" s="519">
        <v>5</v>
      </c>
      <c r="C9" s="61">
        <v>1010</v>
      </c>
      <c r="D9" s="529" t="s">
        <v>803</v>
      </c>
      <c r="E9" s="522">
        <f t="shared" ref="E9:E21" si="2">SUM(F9:J9)</f>
        <v>54.6627510969286</v>
      </c>
      <c r="F9" s="522">
        <f>5.7/1.15</f>
        <v>4.95652173913044</v>
      </c>
      <c r="G9" s="522">
        <f>6.84/1.09</f>
        <v>6.27522935779816</v>
      </c>
      <c r="H9" s="522">
        <v>0.37</v>
      </c>
      <c r="I9" s="522">
        <f>2.4*$P$4</f>
        <v>19.44</v>
      </c>
      <c r="J9" s="531">
        <f>7.9*$R$4</f>
        <v>23.621</v>
      </c>
      <c r="K9" s="515"/>
      <c r="L9" s="515">
        <v>7.9</v>
      </c>
      <c r="M9" s="515"/>
      <c r="N9" s="515"/>
    </row>
    <row r="10" ht="20.1" customHeight="1" spans="1:22">
      <c r="A10" s="538"/>
      <c r="B10" s="519">
        <v>6</v>
      </c>
      <c r="C10" s="61">
        <v>1011</v>
      </c>
      <c r="D10" s="529" t="s">
        <v>804</v>
      </c>
      <c r="E10" s="522">
        <f t="shared" si="2"/>
        <v>68.4126713203031</v>
      </c>
      <c r="F10" s="522">
        <f>9.65/1.15</f>
        <v>8.39130434782609</v>
      </c>
      <c r="G10" s="522">
        <f>11.38/1.09</f>
        <v>10.4403669724771</v>
      </c>
      <c r="H10" s="522">
        <v>0.54</v>
      </c>
      <c r="I10" s="522">
        <f>2.4*P4</f>
        <v>19.44</v>
      </c>
      <c r="J10" s="531">
        <f>9.9*R4</f>
        <v>29.601</v>
      </c>
      <c r="K10" s="515"/>
      <c r="L10" s="515">
        <v>9.9</v>
      </c>
      <c r="M10" s="515"/>
      <c r="N10" s="515"/>
    </row>
    <row r="11" ht="20.1" customHeight="1" spans="1:22">
      <c r="A11" s="538"/>
      <c r="B11" s="519">
        <v>7</v>
      </c>
      <c r="C11" s="61">
        <v>1018</v>
      </c>
      <c r="D11" s="529" t="s">
        <v>805</v>
      </c>
      <c r="E11" s="522">
        <f t="shared" si="2"/>
        <v>61.1775855604308</v>
      </c>
      <c r="F11" s="522">
        <f>7.14/1.15</f>
        <v>6.20869565217391</v>
      </c>
      <c r="G11" s="522">
        <f>12.5/1.09</f>
        <v>11.4678899082569</v>
      </c>
      <c r="H11" s="522">
        <v>0.44</v>
      </c>
      <c r="I11" s="522">
        <f>2.4*P4</f>
        <v>19.44</v>
      </c>
      <c r="J11" s="531">
        <f>7.9*R4</f>
        <v>23.621</v>
      </c>
      <c r="K11" s="515"/>
      <c r="L11" s="515">
        <v>7.9</v>
      </c>
      <c r="M11" s="515"/>
      <c r="N11" s="515"/>
    </row>
    <row r="12" ht="20.1" customHeight="1" spans="1:22">
      <c r="A12" s="538"/>
      <c r="B12" s="519">
        <v>8</v>
      </c>
      <c r="C12" s="61">
        <v>1019</v>
      </c>
      <c r="D12" s="529" t="s">
        <v>806</v>
      </c>
      <c r="E12" s="522">
        <f t="shared" si="2"/>
        <v>66.3822584762664</v>
      </c>
      <c r="F12" s="522">
        <f>10.8/1.15</f>
        <v>9.39130434782609</v>
      </c>
      <c r="G12" s="522">
        <f>13.02/1.09</f>
        <v>11.9449541284404</v>
      </c>
      <c r="H12" s="522">
        <v>0.49</v>
      </c>
      <c r="I12" s="522">
        <f>2.4*P4</f>
        <v>19.44</v>
      </c>
      <c r="J12" s="531">
        <f>8.4*R4</f>
        <v>25.116</v>
      </c>
      <c r="K12" s="532"/>
      <c r="L12" s="532">
        <v>8.4</v>
      </c>
      <c r="M12" s="515"/>
      <c r="N12" s="515"/>
    </row>
    <row r="13" ht="20.1" customHeight="1" spans="1:22">
      <c r="A13" s="539"/>
      <c r="B13" s="519">
        <v>9</v>
      </c>
      <c r="C13" s="61">
        <v>1020</v>
      </c>
      <c r="D13" s="529" t="s">
        <v>807</v>
      </c>
      <c r="E13" s="522">
        <f t="shared" si="2"/>
        <v>89.4423446350219</v>
      </c>
      <c r="F13" s="522">
        <f>19/1.15</f>
        <v>16.5217391304348</v>
      </c>
      <c r="G13" s="522">
        <f>22.81/1.09</f>
        <v>20.9266055045872</v>
      </c>
      <c r="H13" s="522">
        <v>0.86</v>
      </c>
      <c r="I13" s="522">
        <f>2.4*P4</f>
        <v>19.44</v>
      </c>
      <c r="J13" s="531">
        <f>10.6*R4</f>
        <v>31.694</v>
      </c>
      <c r="K13" s="537"/>
      <c r="L13" s="537">
        <v>10.6</v>
      </c>
      <c r="M13" s="515"/>
      <c r="N13" s="515"/>
    </row>
    <row r="14" ht="20.1" customHeight="1" spans="1:22">
      <c r="A14" s="538"/>
      <c r="B14" s="519">
        <v>10</v>
      </c>
      <c r="C14" s="61">
        <v>1021</v>
      </c>
      <c r="D14" s="529" t="s">
        <v>808</v>
      </c>
      <c r="E14" s="522">
        <f t="shared" si="2"/>
        <v>15.9123019545273</v>
      </c>
      <c r="F14" s="522">
        <f>0.81/1.15</f>
        <v>0.704347826086957</v>
      </c>
      <c r="G14" s="522">
        <f>2.12/1.09</f>
        <v>1.94495412844037</v>
      </c>
      <c r="H14" s="522">
        <v>0.08</v>
      </c>
      <c r="I14" s="522">
        <f>1*P4</f>
        <v>8.1</v>
      </c>
      <c r="J14" s="531">
        <f>1.7*R4</f>
        <v>5.083</v>
      </c>
      <c r="K14" s="515"/>
      <c r="L14" s="515">
        <v>1.7</v>
      </c>
      <c r="M14" s="515"/>
      <c r="N14" s="515"/>
      <c r="O14" s="515"/>
      <c r="P14" s="540"/>
      <c r="Q14" s="540"/>
      <c r="R14" s="540"/>
      <c r="S14" s="540"/>
      <c r="T14" s="540"/>
      <c r="U14" s="540"/>
    </row>
    <row r="15" ht="20.1" customHeight="1" spans="1:22">
      <c r="A15" s="538"/>
      <c r="B15" s="519">
        <v>11</v>
      </c>
      <c r="C15" s="61">
        <v>1030</v>
      </c>
      <c r="D15" s="529" t="s">
        <v>809</v>
      </c>
      <c r="E15" s="522">
        <f t="shared" si="2"/>
        <v>2.07682489030714</v>
      </c>
      <c r="F15" s="522">
        <f>1.27/1.15</f>
        <v>1.10434782608696</v>
      </c>
      <c r="G15" s="522">
        <f>1.06/1.09</f>
        <v>0.972477064220183</v>
      </c>
      <c r="H15" s="522"/>
      <c r="I15" s="522"/>
      <c r="J15" s="531"/>
      <c r="K15" s="515"/>
      <c r="L15" s="515"/>
      <c r="M15" s="515"/>
      <c r="N15" s="515"/>
      <c r="O15" s="515"/>
    </row>
    <row r="16" ht="20.1" customHeight="1" spans="1:22">
      <c r="A16" s="538"/>
      <c r="B16" s="519">
        <v>12</v>
      </c>
      <c r="C16" s="61">
        <v>1033</v>
      </c>
      <c r="D16" s="529" t="s">
        <v>810</v>
      </c>
      <c r="E16" s="522">
        <f t="shared" si="2"/>
        <v>63.5282110091743</v>
      </c>
      <c r="F16" s="522">
        <f>10.12/1.15</f>
        <v>8.8</v>
      </c>
      <c r="G16" s="522">
        <f>17.28/1.09</f>
        <v>15.8532110091743</v>
      </c>
      <c r="H16" s="522"/>
      <c r="I16" s="522">
        <f>2.4*P4</f>
        <v>19.44</v>
      </c>
      <c r="J16" s="531">
        <f>6.5*R4</f>
        <v>19.435</v>
      </c>
      <c r="K16" s="515"/>
      <c r="L16" s="515">
        <v>6.5</v>
      </c>
      <c r="M16" s="515"/>
      <c r="N16" s="515"/>
      <c r="O16" s="515"/>
    </row>
    <row r="17" ht="20.1" customHeight="1" spans="1:15">
      <c r="A17" s="538"/>
      <c r="B17" s="519">
        <v>13</v>
      </c>
      <c r="C17" s="61">
        <v>1034</v>
      </c>
      <c r="D17" s="529" t="s">
        <v>811</v>
      </c>
      <c r="E17" s="522">
        <f t="shared" si="2"/>
        <v>22.5244315915437</v>
      </c>
      <c r="F17" s="522">
        <f>0.17/1.15</f>
        <v>0.147826086956522</v>
      </c>
      <c r="G17" s="522">
        <f>1.01/1.09</f>
        <v>0.926605504587156</v>
      </c>
      <c r="H17" s="522"/>
      <c r="I17" s="522">
        <f>2*P4</f>
        <v>16.2</v>
      </c>
      <c r="J17" s="531">
        <f>2.5*S4</f>
        <v>5.25</v>
      </c>
      <c r="K17" s="537"/>
      <c r="L17" s="537"/>
      <c r="M17" s="515">
        <v>2.5</v>
      </c>
      <c r="N17" s="515"/>
      <c r="O17" s="515"/>
    </row>
    <row r="18" ht="20.1" customHeight="1" spans="1:15">
      <c r="A18" s="538"/>
      <c r="B18" s="519">
        <v>14</v>
      </c>
      <c r="C18" s="61">
        <v>1039</v>
      </c>
      <c r="D18" s="529" t="s">
        <v>812</v>
      </c>
      <c r="E18" s="522">
        <f t="shared" si="2"/>
        <v>30.4635101715197</v>
      </c>
      <c r="F18" s="522">
        <f>0.54/1.15</f>
        <v>0.469565217391304</v>
      </c>
      <c r="G18" s="522">
        <f>1.89/1.09</f>
        <v>1.73394495412844</v>
      </c>
      <c r="H18" s="522"/>
      <c r="I18" s="522"/>
      <c r="J18" s="531">
        <f>180.1*T4+0.3*U4</f>
        <v>28.26</v>
      </c>
      <c r="K18" s="537"/>
      <c r="L18" s="537"/>
      <c r="M18" s="537"/>
      <c r="N18" s="537">
        <v>180.1</v>
      </c>
      <c r="O18" s="537">
        <v>0.3</v>
      </c>
    </row>
    <row r="19" ht="20.1" customHeight="1" spans="1:15">
      <c r="A19" s="538"/>
      <c r="B19" s="519">
        <v>15</v>
      </c>
      <c r="C19" s="61">
        <v>1041</v>
      </c>
      <c r="D19" s="529" t="s">
        <v>813</v>
      </c>
      <c r="E19" s="522">
        <f t="shared" si="2"/>
        <v>13.1336757080175</v>
      </c>
      <c r="F19" s="522">
        <f>0.48/1.15</f>
        <v>0.417391304347826</v>
      </c>
      <c r="G19" s="522">
        <f>1.68/1.09</f>
        <v>1.54128440366972</v>
      </c>
      <c r="H19" s="522"/>
      <c r="I19" s="522"/>
      <c r="J19" s="531">
        <f>74.5*T4</f>
        <v>11.175</v>
      </c>
      <c r="K19" s="537"/>
      <c r="L19" s="537"/>
      <c r="M19" s="537"/>
      <c r="N19" s="537">
        <v>74.5</v>
      </c>
      <c r="O19" s="537"/>
    </row>
    <row r="20" ht="20.1" hidden="1" customHeight="1" spans="1:15">
      <c r="A20" s="538"/>
      <c r="B20" s="519">
        <v>16</v>
      </c>
      <c r="C20" s="61">
        <v>1045</v>
      </c>
      <c r="D20" s="529" t="s">
        <v>814</v>
      </c>
      <c r="E20" s="522">
        <f t="shared" si="2"/>
        <v>254.171011366404</v>
      </c>
      <c r="F20" s="522">
        <f>178.76/1.13</f>
        <v>158.194690265487</v>
      </c>
      <c r="G20" s="522">
        <f>46.2/1.09</f>
        <v>42.3853211009174</v>
      </c>
      <c r="H20" s="522"/>
      <c r="I20" s="522">
        <f>3.7*P4</f>
        <v>29.97</v>
      </c>
      <c r="J20" s="531">
        <f>7.9*R4</f>
        <v>23.621</v>
      </c>
      <c r="K20" s="515"/>
      <c r="L20" s="515"/>
      <c r="M20" s="515">
        <v>7.9</v>
      </c>
      <c r="N20" s="515"/>
      <c r="O20" s="515"/>
    </row>
    <row r="21" ht="20.1" customHeight="1" spans="1:15">
      <c r="A21" s="538"/>
      <c r="B21" s="519">
        <v>17</v>
      </c>
      <c r="C21" s="61">
        <v>2002</v>
      </c>
      <c r="D21" s="529" t="s">
        <v>815</v>
      </c>
      <c r="E21" s="522">
        <f t="shared" si="2"/>
        <v>37.4199521340247</v>
      </c>
      <c r="F21" s="522">
        <f>3.29/1.15</f>
        <v>2.86086956521739</v>
      </c>
      <c r="G21" s="522">
        <f>5.34/1.09</f>
        <v>4.89908256880734</v>
      </c>
      <c r="H21" s="522">
        <v>1.07</v>
      </c>
      <c r="I21" s="522">
        <f>1.3*P4</f>
        <v>10.53</v>
      </c>
      <c r="J21" s="531">
        <f>8.6*S4</f>
        <v>18.06</v>
      </c>
      <c r="K21" s="537"/>
      <c r="L21" s="537"/>
      <c r="M21" s="537">
        <v>8.6</v>
      </c>
      <c r="N21" s="515"/>
      <c r="O21" s="515"/>
    </row>
    <row r="22" ht="20.1" customHeight="1" spans="1:15">
      <c r="A22" s="538"/>
      <c r="B22" s="519">
        <v>18</v>
      </c>
      <c r="C22" s="61">
        <v>2009</v>
      </c>
      <c r="D22" s="529" t="s">
        <v>816</v>
      </c>
      <c r="E22" s="522">
        <f t="shared" ref="E22:E66" si="3">SUM(F22:J22)</f>
        <v>3.07752692461109</v>
      </c>
      <c r="F22" s="522">
        <f>0.32/1.15</f>
        <v>0.278260869565217</v>
      </c>
      <c r="G22" s="522">
        <f>1.22/1.09</f>
        <v>1.11926605504587</v>
      </c>
      <c r="H22" s="522"/>
      <c r="I22" s="522"/>
      <c r="J22" s="531">
        <f>0.8*S4</f>
        <v>1.68</v>
      </c>
      <c r="K22" s="515"/>
      <c r="L22" s="515"/>
      <c r="M22" s="515">
        <v>0.8</v>
      </c>
      <c r="N22" s="515"/>
      <c r="O22" s="515"/>
    </row>
    <row r="23" ht="20.1" hidden="1" customHeight="1" spans="1:15">
      <c r="A23" s="538"/>
      <c r="B23" s="519">
        <v>19</v>
      </c>
      <c r="C23" s="61">
        <v>2010</v>
      </c>
      <c r="D23" s="529" t="s">
        <v>817</v>
      </c>
      <c r="E23" s="522">
        <f t="shared" si="3"/>
        <v>4.41270358041731</v>
      </c>
      <c r="F23" s="522">
        <f>0.51/1.13</f>
        <v>0.451327433628319</v>
      </c>
      <c r="G23" s="522">
        <f>1.8/1.09</f>
        <v>1.65137614678899</v>
      </c>
      <c r="H23" s="522"/>
      <c r="I23" s="522"/>
      <c r="J23" s="531">
        <f>1.1*S4</f>
        <v>2.31</v>
      </c>
      <c r="K23" s="515"/>
      <c r="L23" s="515"/>
      <c r="M23" s="515">
        <v>1.1</v>
      </c>
      <c r="N23" s="515"/>
      <c r="O23" s="515"/>
    </row>
    <row r="24" ht="20.1" customHeight="1" spans="1:15">
      <c r="A24" s="539"/>
      <c r="B24" s="519">
        <v>20</v>
      </c>
      <c r="C24" s="61">
        <v>2012</v>
      </c>
      <c r="D24" s="529" t="s">
        <v>818</v>
      </c>
      <c r="E24" s="522">
        <f t="shared" si="3"/>
        <v>5.08152772237734</v>
      </c>
      <c r="F24" s="522">
        <f>0.43/1.15</f>
        <v>0.373913043478261</v>
      </c>
      <c r="G24" s="522">
        <f>1.24/1.09</f>
        <v>1.13761467889908</v>
      </c>
      <c r="H24" s="522"/>
      <c r="I24" s="522"/>
      <c r="J24" s="531">
        <f>1.7*S4</f>
        <v>3.57</v>
      </c>
      <c r="K24" s="537"/>
      <c r="L24" s="537"/>
      <c r="M24" s="537">
        <v>1.7</v>
      </c>
      <c r="N24" s="515"/>
      <c r="O24" s="515"/>
    </row>
    <row r="25" ht="20.1" customHeight="1" spans="1:15">
      <c r="A25" s="538"/>
      <c r="B25" s="519">
        <v>21</v>
      </c>
      <c r="C25" s="61">
        <v>2013</v>
      </c>
      <c r="D25" s="529" t="s">
        <v>819</v>
      </c>
      <c r="E25" s="522">
        <f t="shared" si="3"/>
        <v>11.0578260869565</v>
      </c>
      <c r="F25" s="522">
        <f>1.32/1.15</f>
        <v>1.14782608695652</v>
      </c>
      <c r="G25" s="522">
        <v>1.09</v>
      </c>
      <c r="H25" s="522"/>
      <c r="I25" s="522"/>
      <c r="J25" s="531">
        <f>4.2*S4</f>
        <v>8.82</v>
      </c>
      <c r="K25" s="515"/>
      <c r="L25" s="515"/>
      <c r="M25" s="515">
        <v>4.2</v>
      </c>
      <c r="N25" s="515"/>
      <c r="O25" s="515"/>
    </row>
    <row r="26" ht="20.1" customHeight="1" spans="1:15">
      <c r="A26" s="538"/>
      <c r="B26" s="519">
        <v>22</v>
      </c>
      <c r="C26" s="61">
        <v>2021</v>
      </c>
      <c r="D26" s="529" t="s">
        <v>820</v>
      </c>
      <c r="E26" s="522">
        <f t="shared" si="3"/>
        <v>2.29190267251695</v>
      </c>
      <c r="F26" s="522">
        <f>0.61/1.15</f>
        <v>0.530434782608696</v>
      </c>
      <c r="G26" s="522">
        <f>1.92/1.09</f>
        <v>1.76146788990826</v>
      </c>
      <c r="H26" s="522"/>
      <c r="I26" s="522"/>
      <c r="J26" s="531"/>
      <c r="K26" s="515"/>
      <c r="L26" s="515"/>
      <c r="M26" s="515"/>
      <c r="N26" s="515"/>
      <c r="O26" s="515"/>
    </row>
    <row r="27" ht="20.1" customHeight="1" spans="1:15">
      <c r="A27" s="538"/>
      <c r="B27" s="519">
        <v>23</v>
      </c>
      <c r="C27" s="61">
        <v>2022</v>
      </c>
      <c r="D27" s="529" t="s">
        <v>821</v>
      </c>
      <c r="E27" s="522">
        <f t="shared" si="3"/>
        <v>47.9840167530913</v>
      </c>
      <c r="F27" s="522">
        <f>0.24/1.15</f>
        <v>0.208695652173913</v>
      </c>
      <c r="G27" s="522">
        <f>0.42/1.09</f>
        <v>0.385321100917431</v>
      </c>
      <c r="H27" s="522"/>
      <c r="I27" s="522"/>
      <c r="J27" s="531">
        <f>202.5*T4+4.1*U4</f>
        <v>47.39</v>
      </c>
      <c r="K27" s="541"/>
      <c r="L27" s="541"/>
      <c r="M27" s="515"/>
      <c r="N27" s="515">
        <v>202.5</v>
      </c>
      <c r="O27" s="515">
        <v>4.1</v>
      </c>
    </row>
    <row r="28" s="498" customFormat="1" ht="20.1" customHeight="1" spans="1:15">
      <c r="A28" s="542"/>
      <c r="B28" s="519">
        <v>24</v>
      </c>
      <c r="C28" s="61">
        <v>3002</v>
      </c>
      <c r="D28" s="529" t="s">
        <v>822</v>
      </c>
      <c r="E28" s="522">
        <f t="shared" si="3"/>
        <v>49.389824491424</v>
      </c>
      <c r="F28" s="522">
        <f>7.77/1.15</f>
        <v>6.75652173913044</v>
      </c>
      <c r="G28" s="522">
        <f>10.86/1.09</f>
        <v>9.96330275229358</v>
      </c>
      <c r="H28" s="522"/>
      <c r="I28" s="522">
        <f>1.3*P4</f>
        <v>10.53</v>
      </c>
      <c r="J28" s="531">
        <f>7.2*Q4</f>
        <v>22.14</v>
      </c>
      <c r="K28" s="543">
        <v>7.2</v>
      </c>
      <c r="L28" s="543"/>
      <c r="M28" s="543"/>
      <c r="N28" s="543"/>
      <c r="O28" s="543"/>
    </row>
    <row r="29" ht="20.1" customHeight="1" spans="1:15">
      <c r="A29" s="538"/>
      <c r="B29" s="519">
        <v>25</v>
      </c>
      <c r="C29" s="61">
        <v>3003</v>
      </c>
      <c r="D29" s="529" t="s">
        <v>823</v>
      </c>
      <c r="E29" s="522">
        <f t="shared" si="3"/>
        <v>74.4593087355405</v>
      </c>
      <c r="F29" s="522">
        <f>20.95/1.15</f>
        <v>18.2173913043478</v>
      </c>
      <c r="G29" s="522">
        <f>20.82/1.09</f>
        <v>19.1009174311927</v>
      </c>
      <c r="H29" s="522"/>
      <c r="I29" s="522">
        <f>1.3*$P$4</f>
        <v>10.53</v>
      </c>
      <c r="J29" s="531">
        <f>8.9*$R$4</f>
        <v>26.611</v>
      </c>
      <c r="K29" s="515"/>
      <c r="L29" s="515">
        <v>8.9</v>
      </c>
      <c r="M29" s="515"/>
      <c r="N29" s="515"/>
      <c r="O29" s="515"/>
    </row>
    <row r="30" ht="20.1" customHeight="1" spans="1:15">
      <c r="A30" s="538"/>
      <c r="B30" s="519">
        <v>26</v>
      </c>
      <c r="C30" s="61">
        <v>3004</v>
      </c>
      <c r="D30" s="529" t="s">
        <v>824</v>
      </c>
      <c r="E30" s="522">
        <f t="shared" si="3"/>
        <v>44.0551140805744</v>
      </c>
      <c r="F30" s="522">
        <f>7.91/1.15</f>
        <v>6.87826086956522</v>
      </c>
      <c r="G30" s="522">
        <f>3.95/1.09</f>
        <v>3.62385321100917</v>
      </c>
      <c r="H30" s="522"/>
      <c r="I30" s="522">
        <f>1.3*$P$4</f>
        <v>10.53</v>
      </c>
      <c r="J30" s="531">
        <f>7.7*$R$4</f>
        <v>23.023</v>
      </c>
      <c r="K30" s="537">
        <v>7.7</v>
      </c>
      <c r="L30" s="537"/>
      <c r="M30" s="515"/>
      <c r="N30" s="515"/>
      <c r="O30" s="515"/>
    </row>
    <row r="31" s="499" customFormat="1" ht="20.1" customHeight="1" spans="1:15">
      <c r="A31" s="544"/>
      <c r="B31" s="519">
        <v>27</v>
      </c>
      <c r="C31" s="61">
        <v>3005</v>
      </c>
      <c r="D31" s="529" t="s">
        <v>825</v>
      </c>
      <c r="E31" s="522">
        <f t="shared" si="3"/>
        <v>51.9960402871959</v>
      </c>
      <c r="F31" s="522">
        <f>10.73/1.15</f>
        <v>9.3304347826087</v>
      </c>
      <c r="G31" s="522">
        <f>5.37/1.09</f>
        <v>4.92660550458716</v>
      </c>
      <c r="H31" s="522"/>
      <c r="I31" s="522">
        <f>1.3*$P$4</f>
        <v>10.53</v>
      </c>
      <c r="J31" s="531">
        <f>9.1*$R$4</f>
        <v>27.209</v>
      </c>
      <c r="K31" s="545"/>
      <c r="L31" s="545">
        <v>9.1</v>
      </c>
      <c r="M31" s="545"/>
      <c r="N31" s="545"/>
      <c r="O31" s="545"/>
    </row>
    <row r="32" ht="20.1" customHeight="1" spans="1:15">
      <c r="A32" s="539" t="s">
        <v>826</v>
      </c>
      <c r="B32" s="519">
        <v>28</v>
      </c>
      <c r="C32" s="61">
        <v>3006</v>
      </c>
      <c r="D32" s="529" t="s">
        <v>827</v>
      </c>
      <c r="E32" s="522">
        <f t="shared" si="3"/>
        <v>73.10267092142</v>
      </c>
      <c r="F32" s="522">
        <f>22.59/1.15</f>
        <v>19.6434782608696</v>
      </c>
      <c r="G32" s="522">
        <f>13.55/1.09</f>
        <v>12.4311926605505</v>
      </c>
      <c r="H32" s="522"/>
      <c r="I32" s="522">
        <f>1.3*P4</f>
        <v>10.53</v>
      </c>
      <c r="J32" s="531">
        <f>10.2*R4</f>
        <v>30.498</v>
      </c>
      <c r="K32" s="537"/>
      <c r="L32" s="537">
        <v>10.2</v>
      </c>
      <c r="M32" s="515"/>
      <c r="N32" s="515"/>
      <c r="O32" s="515"/>
    </row>
    <row r="33" ht="20.1" customHeight="1" spans="1:15">
      <c r="A33" s="538" t="s">
        <v>828</v>
      </c>
      <c r="B33" s="519">
        <v>29</v>
      </c>
      <c r="C33" s="61">
        <v>3007</v>
      </c>
      <c r="D33" s="529" t="s">
        <v>829</v>
      </c>
      <c r="E33" s="522">
        <f t="shared" si="3"/>
        <v>86.1240343039489</v>
      </c>
      <c r="F33" s="522">
        <f>30.49/1.15</f>
        <v>26.5130434782609</v>
      </c>
      <c r="G33" s="522">
        <f>18.3/1.09</f>
        <v>16.7889908256881</v>
      </c>
      <c r="H33" s="522"/>
      <c r="I33" s="522">
        <f>1.3*P4</f>
        <v>10.53</v>
      </c>
      <c r="J33" s="531">
        <f>10.8*R4</f>
        <v>32.292</v>
      </c>
      <c r="K33" s="515"/>
      <c r="L33" s="515">
        <v>10.8</v>
      </c>
      <c r="M33" s="515"/>
      <c r="N33" s="515"/>
      <c r="O33" s="515"/>
    </row>
    <row r="34" ht="20.1" customHeight="1" spans="1:15">
      <c r="A34" s="538"/>
      <c r="B34" s="519">
        <v>30</v>
      </c>
      <c r="C34" s="61">
        <v>3013</v>
      </c>
      <c r="D34" s="529" t="s">
        <v>830</v>
      </c>
      <c r="E34" s="522">
        <f t="shared" si="3"/>
        <v>13.1800558436378</v>
      </c>
      <c r="F34" s="522">
        <f>7.93/1.15</f>
        <v>6.89565217391304</v>
      </c>
      <c r="G34" s="522">
        <f>6.85/1.09</f>
        <v>6.28440366972477</v>
      </c>
      <c r="H34" s="522"/>
      <c r="I34" s="522"/>
      <c r="J34" s="531"/>
      <c r="K34" s="515"/>
      <c r="L34" s="515"/>
      <c r="M34" s="515"/>
      <c r="N34" s="515"/>
      <c r="O34" s="515"/>
    </row>
    <row r="35" ht="20.1" customHeight="1" spans="1:15">
      <c r="A35" s="538" t="s">
        <v>831</v>
      </c>
      <c r="B35" s="519">
        <v>31</v>
      </c>
      <c r="C35" s="61">
        <v>3030</v>
      </c>
      <c r="D35" s="529" t="s">
        <v>832</v>
      </c>
      <c r="E35" s="522">
        <f t="shared" si="3"/>
        <v>17.1951356202633</v>
      </c>
      <c r="F35" s="522">
        <f>1.22/1.15</f>
        <v>1.06086956521739</v>
      </c>
      <c r="G35" s="522">
        <f>1.22/1.09</f>
        <v>1.11926605504587</v>
      </c>
      <c r="H35" s="522"/>
      <c r="I35" s="522">
        <f>1.3*P4</f>
        <v>10.53</v>
      </c>
      <c r="J35" s="531">
        <f>1.5*R4</f>
        <v>4.485</v>
      </c>
      <c r="K35" s="537"/>
      <c r="L35" s="537">
        <v>1.5</v>
      </c>
      <c r="M35" s="515"/>
      <c r="N35" s="515"/>
      <c r="O35" s="515"/>
    </row>
    <row r="36" ht="20.1" customHeight="1" spans="1:15">
      <c r="A36" s="538" t="s">
        <v>833</v>
      </c>
      <c r="B36" s="519">
        <v>32</v>
      </c>
      <c r="C36" s="61">
        <v>3031</v>
      </c>
      <c r="D36" s="529" t="s">
        <v>834</v>
      </c>
      <c r="E36" s="522">
        <f t="shared" si="3"/>
        <v>0.813242919824491</v>
      </c>
      <c r="F36" s="522">
        <f>0.26/1.15</f>
        <v>0.226086956521739</v>
      </c>
      <c r="G36" s="522">
        <f>0.64/1.09</f>
        <v>0.587155963302752</v>
      </c>
      <c r="H36" s="522"/>
      <c r="I36" s="522"/>
      <c r="J36" s="531"/>
      <c r="K36" s="515"/>
      <c r="L36" s="515"/>
      <c r="M36" s="515"/>
      <c r="N36" s="515"/>
      <c r="O36" s="515"/>
    </row>
    <row r="37" ht="20.1" customHeight="1" spans="1:15">
      <c r="A37" s="538"/>
      <c r="B37" s="519">
        <v>33</v>
      </c>
      <c r="C37" s="61">
        <v>4002</v>
      </c>
      <c r="D37" s="529" t="s">
        <v>835</v>
      </c>
      <c r="E37" s="522">
        <f t="shared" si="3"/>
        <v>96.1398005584364</v>
      </c>
      <c r="F37" s="522">
        <f>24.94/1.15</f>
        <v>21.6869565217391</v>
      </c>
      <c r="G37" s="522">
        <f>9.17/1.09</f>
        <v>8.41284403669725</v>
      </c>
      <c r="H37" s="522">
        <v>2.29</v>
      </c>
      <c r="I37" s="522">
        <f>2.4*P4</f>
        <v>19.44</v>
      </c>
      <c r="J37" s="531">
        <f>21.1*S4</f>
        <v>44.31</v>
      </c>
      <c r="K37" s="515"/>
      <c r="L37" s="515"/>
      <c r="M37" s="515">
        <v>21.1</v>
      </c>
      <c r="N37" s="515"/>
      <c r="O37" s="515"/>
    </row>
    <row r="38" ht="20.1" customHeight="1" spans="1:15">
      <c r="A38" s="538"/>
      <c r="B38" s="519">
        <v>34</v>
      </c>
      <c r="C38" s="61">
        <v>4004</v>
      </c>
      <c r="D38" s="529" t="s">
        <v>836</v>
      </c>
      <c r="E38" s="522">
        <f t="shared" si="3"/>
        <v>153.509325887515</v>
      </c>
      <c r="F38" s="522">
        <f>41.37/1.15</f>
        <v>35.9739130434783</v>
      </c>
      <c r="G38" s="522">
        <f>16.89/1.09</f>
        <v>15.4954128440367</v>
      </c>
      <c r="H38" s="522">
        <v>3.1</v>
      </c>
      <c r="I38" s="522">
        <f>2.7*P4</f>
        <v>21.87</v>
      </c>
      <c r="J38" s="531">
        <f>36.7*S4</f>
        <v>77.07</v>
      </c>
      <c r="K38" s="515"/>
      <c r="L38" s="515"/>
      <c r="M38" s="515">
        <v>36.7</v>
      </c>
      <c r="N38" s="515"/>
      <c r="O38" s="515"/>
    </row>
    <row r="39" ht="20.1" customHeight="1" spans="1:15">
      <c r="A39" s="538"/>
      <c r="B39" s="519">
        <v>35</v>
      </c>
      <c r="C39" s="61">
        <v>4018</v>
      </c>
      <c r="D39" s="529" t="s">
        <v>837</v>
      </c>
      <c r="E39" s="522">
        <f t="shared" si="3"/>
        <v>92.6572672516953</v>
      </c>
      <c r="F39" s="522">
        <f>31.79/1.15</f>
        <v>27.6434782608696</v>
      </c>
      <c r="G39" s="522">
        <f>18.69/1.09</f>
        <v>17.1467889908257</v>
      </c>
      <c r="H39" s="522">
        <v>1.18</v>
      </c>
      <c r="I39" s="522">
        <f>2.7*P4</f>
        <v>21.87</v>
      </c>
      <c r="J39" s="531">
        <f>8.3*R4</f>
        <v>24.817</v>
      </c>
      <c r="K39" s="515"/>
      <c r="L39" s="515">
        <v>8.3</v>
      </c>
      <c r="M39" s="515"/>
      <c r="N39" s="515"/>
      <c r="O39" s="515"/>
    </row>
    <row r="40" ht="20.1" customHeight="1" spans="1:15">
      <c r="A40" s="538"/>
      <c r="B40" s="519">
        <v>36</v>
      </c>
      <c r="C40" s="61">
        <v>4027</v>
      </c>
      <c r="D40" s="529" t="s">
        <v>838</v>
      </c>
      <c r="E40" s="522">
        <f t="shared" si="3"/>
        <v>62.3342780215397</v>
      </c>
      <c r="F40" s="522">
        <f>12.92/1.15</f>
        <v>11.2347826086957</v>
      </c>
      <c r="G40" s="522">
        <f>12.42/1.09</f>
        <v>11.394495412844</v>
      </c>
      <c r="H40" s="522"/>
      <c r="I40" s="522">
        <f>2.7*P4</f>
        <v>21.87</v>
      </c>
      <c r="J40" s="531">
        <f>5.8*Q4</f>
        <v>17.835</v>
      </c>
      <c r="K40" s="515">
        <v>5.8</v>
      </c>
      <c r="L40" s="515"/>
      <c r="M40" s="515"/>
      <c r="N40" s="515"/>
      <c r="O40" s="515"/>
    </row>
    <row r="41" ht="20.1" customHeight="1" spans="1:15">
      <c r="A41" s="538"/>
      <c r="B41" s="519">
        <v>37</v>
      </c>
      <c r="C41" s="61">
        <v>4029</v>
      </c>
      <c r="D41" s="529" t="s">
        <v>839</v>
      </c>
      <c r="E41" s="522">
        <f t="shared" si="3"/>
        <v>76.5164543278819</v>
      </c>
      <c r="F41" s="522">
        <f>20.9/1.15</f>
        <v>18.1739130434783</v>
      </c>
      <c r="G41" s="522">
        <f>14.66/1.09</f>
        <v>13.4495412844037</v>
      </c>
      <c r="H41" s="522"/>
      <c r="I41" s="522">
        <f>2.7*P4</f>
        <v>21.87</v>
      </c>
      <c r="J41" s="531">
        <f>7.7*R4</f>
        <v>23.023</v>
      </c>
      <c r="K41" s="515"/>
      <c r="L41" s="515">
        <v>7.7</v>
      </c>
      <c r="M41" s="515"/>
      <c r="N41" s="515"/>
      <c r="O41" s="515"/>
    </row>
    <row r="42" ht="20.1" customHeight="1" spans="1:15">
      <c r="A42" s="538"/>
      <c r="B42" s="519">
        <v>38</v>
      </c>
      <c r="C42" s="61">
        <v>4030</v>
      </c>
      <c r="D42" s="529" t="s">
        <v>840</v>
      </c>
      <c r="E42" s="522">
        <f t="shared" si="3"/>
        <v>92.8768699641005</v>
      </c>
      <c r="F42" s="522">
        <f>25.08/1.15</f>
        <v>21.8086956521739</v>
      </c>
      <c r="G42" s="522">
        <f>17.45/1.09</f>
        <v>16.0091743119266</v>
      </c>
      <c r="H42" s="522"/>
      <c r="I42" s="522">
        <f>2.7*P4</f>
        <v>21.87</v>
      </c>
      <c r="J42" s="531">
        <f>11.1*R4</f>
        <v>33.189</v>
      </c>
      <c r="K42" s="515"/>
      <c r="L42" s="515">
        <v>8.55</v>
      </c>
      <c r="M42" s="515"/>
      <c r="N42" s="515"/>
      <c r="O42" s="515"/>
    </row>
    <row r="43" ht="20.1" customHeight="1" spans="1:15">
      <c r="A43" s="538"/>
      <c r="B43" s="519">
        <v>39</v>
      </c>
      <c r="C43" s="61">
        <v>4031</v>
      </c>
      <c r="D43" s="529" t="s">
        <v>841</v>
      </c>
      <c r="E43" s="522">
        <f t="shared" si="3"/>
        <v>111.781217790187</v>
      </c>
      <c r="F43" s="522">
        <f>37.62/1.15</f>
        <v>32.7130434782609</v>
      </c>
      <c r="G43" s="522">
        <f>26.17/1.09</f>
        <v>24.0091743119266</v>
      </c>
      <c r="H43" s="522"/>
      <c r="I43" s="522">
        <f>2.7*P4</f>
        <v>21.87</v>
      </c>
      <c r="J43" s="531">
        <f>11.1*R4</f>
        <v>33.189</v>
      </c>
      <c r="K43" s="537"/>
      <c r="L43" s="537">
        <v>11.1</v>
      </c>
      <c r="M43" s="515"/>
      <c r="N43" s="515"/>
      <c r="O43" s="515"/>
    </row>
    <row r="44" ht="20.1" customHeight="1" spans="1:15">
      <c r="A44" s="538"/>
      <c r="B44" s="519">
        <v>40</v>
      </c>
      <c r="C44" s="61">
        <v>4033</v>
      </c>
      <c r="D44" s="529" t="s">
        <v>842</v>
      </c>
      <c r="E44" s="522">
        <f t="shared" si="3"/>
        <v>160.831999202234</v>
      </c>
      <c r="F44" s="522">
        <f>74.64/1.15</f>
        <v>64.904347826087</v>
      </c>
      <c r="G44" s="522">
        <f>40.31/1.09</f>
        <v>36.9816513761468</v>
      </c>
      <c r="H44" s="522"/>
      <c r="I44" s="522">
        <f>2.7*P4</f>
        <v>21.87</v>
      </c>
      <c r="J44" s="531">
        <f>12.4*R4</f>
        <v>37.076</v>
      </c>
      <c r="K44" s="515"/>
      <c r="L44" s="515">
        <v>12.4</v>
      </c>
      <c r="M44" s="515"/>
      <c r="N44" s="515"/>
      <c r="O44" s="515"/>
    </row>
    <row r="45" ht="20.1" customHeight="1" spans="1:15">
      <c r="A45" s="538"/>
      <c r="B45" s="519">
        <v>41</v>
      </c>
      <c r="C45" s="61">
        <v>4066</v>
      </c>
      <c r="D45" s="529" t="s">
        <v>843</v>
      </c>
      <c r="E45" s="522">
        <f t="shared" si="3"/>
        <v>10.1755085759872</v>
      </c>
      <c r="F45" s="522">
        <f>1.24/1.15</f>
        <v>1.07826086956522</v>
      </c>
      <c r="G45" s="522">
        <f>0.76/1.09</f>
        <v>0.697247706422018</v>
      </c>
      <c r="H45" s="522"/>
      <c r="I45" s="522"/>
      <c r="J45" s="531">
        <f>4*S4</f>
        <v>8.4</v>
      </c>
      <c r="K45" s="515"/>
      <c r="L45" s="515"/>
      <c r="M45" s="515">
        <v>4</v>
      </c>
      <c r="N45" s="515"/>
      <c r="O45" s="515"/>
    </row>
    <row r="46" ht="20.1" customHeight="1" spans="1:15">
      <c r="A46" s="538"/>
      <c r="B46" s="519">
        <v>42</v>
      </c>
      <c r="C46" s="61">
        <v>4069</v>
      </c>
      <c r="D46" s="529" t="s">
        <v>844</v>
      </c>
      <c r="E46" s="522">
        <f t="shared" si="3"/>
        <v>21.615592341444</v>
      </c>
      <c r="F46" s="522">
        <f>1.75/1.15</f>
        <v>1.52173913043478</v>
      </c>
      <c r="G46" s="522">
        <f>0.68/1.09</f>
        <v>0.623853211009174</v>
      </c>
      <c r="H46" s="522">
        <v>0.03</v>
      </c>
      <c r="I46" s="522">
        <f>1*P4</f>
        <v>8.1</v>
      </c>
      <c r="J46" s="531">
        <f>5.4*S4</f>
        <v>11.34</v>
      </c>
      <c r="K46" s="515"/>
      <c r="L46" s="515"/>
      <c r="M46" s="515">
        <v>5.4</v>
      </c>
      <c r="N46" s="515"/>
      <c r="O46" s="515"/>
    </row>
    <row r="47" ht="20.1" customHeight="1" spans="1:15">
      <c r="A47" s="538"/>
      <c r="B47" s="519">
        <v>43</v>
      </c>
      <c r="C47" s="61">
        <v>4070</v>
      </c>
      <c r="D47" s="529" t="s">
        <v>845</v>
      </c>
      <c r="E47" s="522">
        <f t="shared" si="3"/>
        <v>30.8168288791384</v>
      </c>
      <c r="F47" s="522">
        <f>2.97/1.15</f>
        <v>2.58260869565217</v>
      </c>
      <c r="G47" s="522">
        <f>1.16/1.09</f>
        <v>1.06422018348624</v>
      </c>
      <c r="H47" s="522">
        <v>0.05</v>
      </c>
      <c r="I47" s="522">
        <f>1.3*P4</f>
        <v>10.53</v>
      </c>
      <c r="J47" s="531">
        <f>7.9*S4</f>
        <v>16.59</v>
      </c>
      <c r="K47" s="515"/>
      <c r="L47" s="515"/>
      <c r="M47" s="515">
        <v>7.9</v>
      </c>
      <c r="N47" s="515"/>
      <c r="O47" s="515"/>
    </row>
    <row r="48" ht="20.1" customHeight="1" spans="1:15">
      <c r="A48" s="538"/>
      <c r="B48" s="519">
        <v>44</v>
      </c>
      <c r="C48" s="61">
        <v>5005</v>
      </c>
      <c r="D48" s="529" t="s">
        <v>846</v>
      </c>
      <c r="E48" s="522">
        <f t="shared" si="3"/>
        <v>106.674064619067</v>
      </c>
      <c r="F48" s="522">
        <f>16.5/1.15</f>
        <v>14.3478260869565</v>
      </c>
      <c r="G48" s="522">
        <f>23.42/1.09</f>
        <v>21.4862385321101</v>
      </c>
      <c r="H48" s="522">
        <v>6.19</v>
      </c>
      <c r="I48" s="522">
        <f>2.9*P4</f>
        <v>23.49</v>
      </c>
      <c r="J48" s="531">
        <f>19.6*S4</f>
        <v>41.16</v>
      </c>
      <c r="K48" s="515"/>
      <c r="L48" s="515"/>
      <c r="M48" s="515">
        <v>19.6</v>
      </c>
      <c r="N48" s="515"/>
      <c r="O48" s="515"/>
    </row>
    <row r="49" ht="20.1" customHeight="1" spans="1:15">
      <c r="A49" s="538"/>
      <c r="B49" s="519">
        <v>45</v>
      </c>
      <c r="C49" s="61">
        <v>5008</v>
      </c>
      <c r="D49" s="529" t="s">
        <v>847</v>
      </c>
      <c r="E49" s="522">
        <f t="shared" si="3"/>
        <v>46.9637814120463</v>
      </c>
      <c r="F49" s="522">
        <f>3.21/1.15</f>
        <v>2.79130434782609</v>
      </c>
      <c r="G49" s="522">
        <f>6.51/1.09</f>
        <v>5.97247706422018</v>
      </c>
      <c r="H49" s="522">
        <v>0.58</v>
      </c>
      <c r="I49" s="522">
        <f>1.3*P4</f>
        <v>10.53</v>
      </c>
      <c r="J49" s="531">
        <f>12.9*S4</f>
        <v>27.09</v>
      </c>
      <c r="K49" s="515"/>
      <c r="L49" s="515"/>
      <c r="M49" s="515">
        <v>12.9</v>
      </c>
      <c r="N49" s="515"/>
      <c r="O49" s="515"/>
    </row>
    <row r="50" ht="20.1" customHeight="1" spans="1:15">
      <c r="A50" s="538"/>
      <c r="B50" s="519">
        <v>46</v>
      </c>
      <c r="C50" s="61">
        <v>5009</v>
      </c>
      <c r="D50" s="529" t="s">
        <v>848</v>
      </c>
      <c r="E50" s="522">
        <f t="shared" si="3"/>
        <v>26.7734822497008</v>
      </c>
      <c r="F50" s="522">
        <f>0.83/1.15</f>
        <v>0.721739130434783</v>
      </c>
      <c r="G50" s="522">
        <f>2.28/1.09</f>
        <v>2.09174311926605</v>
      </c>
      <c r="H50" s="522">
        <v>0.2</v>
      </c>
      <c r="I50" s="522">
        <f>1.3*P4</f>
        <v>10.53</v>
      </c>
      <c r="J50" s="531">
        <f>6.3*S4</f>
        <v>13.23</v>
      </c>
      <c r="K50" s="537"/>
      <c r="L50" s="537"/>
      <c r="M50" s="537">
        <v>6.3</v>
      </c>
      <c r="N50" s="515"/>
      <c r="O50" s="515"/>
    </row>
    <row r="51" ht="20.1" customHeight="1" spans="1:15">
      <c r="A51" s="538"/>
      <c r="B51" s="519">
        <v>47</v>
      </c>
      <c r="C51" s="61">
        <v>5010</v>
      </c>
      <c r="D51" s="529" t="s">
        <v>849</v>
      </c>
      <c r="E51" s="522">
        <f t="shared" si="3"/>
        <v>56.1757120063821</v>
      </c>
      <c r="F51" s="522">
        <f>2.38/1.15</f>
        <v>2.0695652173913</v>
      </c>
      <c r="G51" s="522">
        <f>6.95/1.09</f>
        <v>6.37614678899082</v>
      </c>
      <c r="H51" s="522">
        <v>0.57</v>
      </c>
      <c r="I51" s="522">
        <f>2.4*P4</f>
        <v>19.44</v>
      </c>
      <c r="J51" s="531">
        <f>13.2*S4</f>
        <v>27.72</v>
      </c>
      <c r="K51" s="541"/>
      <c r="L51" s="541"/>
      <c r="M51" s="541">
        <v>13.2</v>
      </c>
      <c r="N51" s="515"/>
      <c r="O51" s="515"/>
    </row>
    <row r="52" ht="20.1" customHeight="1" spans="1:15">
      <c r="A52" s="538"/>
      <c r="B52" s="519">
        <v>48</v>
      </c>
      <c r="C52" s="61">
        <v>7002</v>
      </c>
      <c r="D52" s="546" t="s">
        <v>850</v>
      </c>
      <c r="E52" s="522">
        <f t="shared" si="3"/>
        <v>46.8632987634623</v>
      </c>
      <c r="F52" s="522">
        <f>1.52/1.15</f>
        <v>1.32173913043478</v>
      </c>
      <c r="G52" s="522">
        <f>3.13/1.09</f>
        <v>2.87155963302752</v>
      </c>
      <c r="H52" s="522">
        <v>0.43</v>
      </c>
      <c r="I52" s="522">
        <f>1.3*P4</f>
        <v>10.53</v>
      </c>
      <c r="J52" s="531">
        <f>15.1*S4</f>
        <v>31.71</v>
      </c>
      <c r="K52" s="541"/>
      <c r="L52" s="541"/>
      <c r="M52" s="541">
        <v>15.1</v>
      </c>
      <c r="N52" s="515"/>
      <c r="O52" s="515"/>
    </row>
    <row r="53" ht="20.1" customHeight="1" spans="1:15">
      <c r="A53" s="538"/>
      <c r="B53" s="519">
        <v>49</v>
      </c>
      <c r="C53" s="61">
        <v>7006</v>
      </c>
      <c r="D53" s="546" t="s">
        <v>851</v>
      </c>
      <c r="E53" s="522">
        <f t="shared" si="3"/>
        <v>46.7913282808137</v>
      </c>
      <c r="F53" s="522">
        <f>3.98/1.15</f>
        <v>3.46086956521739</v>
      </c>
      <c r="G53" s="522">
        <f>7.14/1.09</f>
        <v>6.55045871559633</v>
      </c>
      <c r="H53" s="522">
        <v>1.05</v>
      </c>
      <c r="I53" s="522">
        <f>1.3*$P$4</f>
        <v>10.53</v>
      </c>
      <c r="J53" s="531">
        <f>12*$S$4</f>
        <v>25.2</v>
      </c>
      <c r="K53" s="537"/>
      <c r="L53" s="537"/>
      <c r="M53" s="537">
        <v>12</v>
      </c>
      <c r="N53" s="515"/>
      <c r="O53" s="515"/>
    </row>
    <row r="54" ht="20.1" customHeight="1" spans="1:15">
      <c r="A54" s="538"/>
      <c r="B54" s="519">
        <v>50</v>
      </c>
      <c r="C54" s="61">
        <v>7015</v>
      </c>
      <c r="D54" s="546" t="s">
        <v>852</v>
      </c>
      <c r="E54" s="522">
        <f t="shared" si="3"/>
        <v>33.808861986438</v>
      </c>
      <c r="F54" s="522">
        <f>1.44/1.15</f>
        <v>1.25217391304348</v>
      </c>
      <c r="G54" s="522">
        <f>3.08/1.09</f>
        <v>2.8256880733945</v>
      </c>
      <c r="H54" s="522">
        <v>0.5</v>
      </c>
      <c r="I54" s="522">
        <f>1.8*$P$4</f>
        <v>14.58</v>
      </c>
      <c r="J54" s="531">
        <f>4.9*$R$4</f>
        <v>14.651</v>
      </c>
      <c r="K54" s="537"/>
      <c r="L54" s="537"/>
      <c r="M54" s="537"/>
      <c r="N54" s="515"/>
      <c r="O54" s="515"/>
    </row>
    <row r="55" ht="20.1" customHeight="1" spans="1:15">
      <c r="A55" s="538"/>
      <c r="B55" s="519">
        <v>51</v>
      </c>
      <c r="C55" s="61">
        <v>7019</v>
      </c>
      <c r="D55" s="546" t="s">
        <v>853</v>
      </c>
      <c r="E55" s="522">
        <f t="shared" si="3"/>
        <v>70.7402688472278</v>
      </c>
      <c r="F55" s="522">
        <f>3.26/1.15</f>
        <v>2.83478260869565</v>
      </c>
      <c r="G55" s="522">
        <f>6.74/1.09</f>
        <v>6.18348623853211</v>
      </c>
      <c r="H55" s="522">
        <v>1.02</v>
      </c>
      <c r="I55" s="522">
        <f>2.4*P4</f>
        <v>19.44</v>
      </c>
      <c r="J55" s="531">
        <f>13.8*$R$4</f>
        <v>41.262</v>
      </c>
      <c r="K55" s="537"/>
      <c r="L55" s="537">
        <v>13.8</v>
      </c>
      <c r="M55" s="537"/>
      <c r="N55" s="515"/>
      <c r="O55" s="515"/>
    </row>
    <row r="56" ht="20.1" customHeight="1" spans="1:15">
      <c r="A56" s="538"/>
      <c r="B56" s="519">
        <v>52</v>
      </c>
      <c r="C56" s="61">
        <v>8014</v>
      </c>
      <c r="D56" s="529" t="s">
        <v>854</v>
      </c>
      <c r="E56" s="522">
        <f t="shared" si="3"/>
        <v>27.3221579577184</v>
      </c>
      <c r="F56" s="522">
        <f>0.62/1.15</f>
        <v>0.539130434782609</v>
      </c>
      <c r="G56" s="522">
        <f>2.87/1.09</f>
        <v>2.63302752293578</v>
      </c>
      <c r="H56" s="522">
        <v>1.02</v>
      </c>
      <c r="I56" s="522">
        <f>1.3*P4</f>
        <v>10.53</v>
      </c>
      <c r="J56" s="531">
        <f>6*S4</f>
        <v>12.6</v>
      </c>
      <c r="K56" s="515"/>
      <c r="L56" s="515"/>
      <c r="M56" s="515">
        <v>6</v>
      </c>
      <c r="N56" s="515"/>
      <c r="O56" s="515"/>
    </row>
    <row r="57" ht="20.1" customHeight="1" spans="1:15">
      <c r="A57" s="538"/>
      <c r="B57" s="519">
        <v>53</v>
      </c>
      <c r="C57" s="547">
        <v>8017</v>
      </c>
      <c r="D57" s="529" t="s">
        <v>855</v>
      </c>
      <c r="E57" s="522">
        <f t="shared" si="3"/>
        <v>30.0418867171919</v>
      </c>
      <c r="F57" s="522">
        <f>0.48/1.15</f>
        <v>0.417391304347826</v>
      </c>
      <c r="G57" s="522">
        <f>2.61/1.09</f>
        <v>2.39449541284404</v>
      </c>
      <c r="H57" s="522">
        <v>0.95</v>
      </c>
      <c r="I57" s="522">
        <f>1.3*P4</f>
        <v>10.53</v>
      </c>
      <c r="J57" s="531">
        <f>7.5*S4</f>
        <v>15.75</v>
      </c>
      <c r="K57" s="515"/>
      <c r="L57" s="515"/>
      <c r="M57" s="515">
        <v>7.5</v>
      </c>
      <c r="N57" s="515"/>
      <c r="O57" s="515"/>
    </row>
    <row r="58" ht="20.1" customHeight="1" spans="1:15">
      <c r="A58" s="538"/>
      <c r="B58" s="519">
        <v>54</v>
      </c>
      <c r="C58" s="61">
        <v>8033</v>
      </c>
      <c r="D58" s="546" t="s">
        <v>856</v>
      </c>
      <c r="E58" s="522">
        <f t="shared" si="3"/>
        <v>31.1021858795373</v>
      </c>
      <c r="F58" s="522">
        <f>0.33/1.15</f>
        <v>0.28695652173913</v>
      </c>
      <c r="G58" s="522">
        <f>0.3/1.09</f>
        <v>0.275229357798165</v>
      </c>
      <c r="H58" s="522">
        <v>0.09</v>
      </c>
      <c r="I58" s="522"/>
      <c r="J58" s="531">
        <f>14.5*S4</f>
        <v>30.45</v>
      </c>
      <c r="K58" s="537"/>
      <c r="L58" s="537"/>
      <c r="M58" s="537">
        <v>14.5</v>
      </c>
      <c r="N58" s="515"/>
      <c r="O58" s="515"/>
    </row>
    <row r="59" ht="20.1" customHeight="1" spans="1:15">
      <c r="A59" s="538"/>
      <c r="B59" s="519">
        <v>55</v>
      </c>
      <c r="C59" s="61">
        <v>8036</v>
      </c>
      <c r="D59" s="529" t="s">
        <v>857</v>
      </c>
      <c r="E59" s="522">
        <f t="shared" si="3"/>
        <v>64.7095053849222</v>
      </c>
      <c r="F59" s="522">
        <f>1.03/1.15</f>
        <v>0.895652173913044</v>
      </c>
      <c r="G59" s="522">
        <f>0.68/1.09</f>
        <v>0.623853211009174</v>
      </c>
      <c r="H59" s="522">
        <v>0.19</v>
      </c>
      <c r="I59" s="522"/>
      <c r="J59" s="531">
        <f>30*S4</f>
        <v>63</v>
      </c>
      <c r="K59" s="515"/>
      <c r="L59" s="515"/>
      <c r="M59" s="515">
        <v>30</v>
      </c>
      <c r="N59" s="515"/>
      <c r="O59" s="515"/>
    </row>
    <row r="60" ht="20.1" customHeight="1" spans="1:15">
      <c r="A60" s="538"/>
      <c r="B60" s="519">
        <v>56</v>
      </c>
      <c r="C60" s="61">
        <v>8041</v>
      </c>
      <c r="D60" s="529" t="s">
        <v>858</v>
      </c>
      <c r="E60" s="522">
        <f t="shared" si="3"/>
        <v>183.499692859992</v>
      </c>
      <c r="F60" s="522">
        <f>1.35/1.15</f>
        <v>1.17391304347826</v>
      </c>
      <c r="G60" s="522">
        <f>3.2/1.09</f>
        <v>2.93577981651376</v>
      </c>
      <c r="H60" s="522">
        <v>0.65</v>
      </c>
      <c r="I60" s="522">
        <f>1.3*P4</f>
        <v>10.53</v>
      </c>
      <c r="J60" s="531">
        <f>80.1*S4</f>
        <v>168.21</v>
      </c>
      <c r="K60" s="515"/>
      <c r="L60" s="515"/>
      <c r="M60" s="515">
        <v>80.1</v>
      </c>
      <c r="N60" s="515">
        <v>8.1</v>
      </c>
      <c r="O60" s="515">
        <v>3.2</v>
      </c>
    </row>
    <row r="61" ht="20.1" customHeight="1" spans="1:15">
      <c r="A61" s="538"/>
      <c r="B61" s="519">
        <v>57</v>
      </c>
      <c r="C61" s="61">
        <v>8044</v>
      </c>
      <c r="D61" s="529" t="s">
        <v>859</v>
      </c>
      <c r="E61" s="522">
        <f t="shared" si="3"/>
        <v>25.1611447945752</v>
      </c>
      <c r="F61" s="522">
        <f>0.53/1.15</f>
        <v>0.460869565217391</v>
      </c>
      <c r="G61" s="522">
        <f>1.45/1.09</f>
        <v>1.3302752293578</v>
      </c>
      <c r="H61" s="522">
        <v>0.24</v>
      </c>
      <c r="I61" s="522">
        <f>1.3*P4</f>
        <v>10.53</v>
      </c>
      <c r="J61" s="531">
        <f>6*S4</f>
        <v>12.6</v>
      </c>
      <c r="K61" s="515"/>
      <c r="L61" s="515"/>
      <c r="M61" s="500">
        <v>6</v>
      </c>
    </row>
    <row r="62" ht="20.1" customHeight="1" spans="1:15">
      <c r="A62" s="538"/>
      <c r="B62" s="519">
        <v>58</v>
      </c>
      <c r="C62" s="61">
        <v>8047</v>
      </c>
      <c r="D62" s="529" t="s">
        <v>860</v>
      </c>
      <c r="E62" s="522">
        <f t="shared" si="3"/>
        <v>49.5248942959713</v>
      </c>
      <c r="F62" s="522">
        <f>1.18/1.15</f>
        <v>1.02608695652174</v>
      </c>
      <c r="G62" s="522">
        <f>1.71/1.09</f>
        <v>1.56880733944954</v>
      </c>
      <c r="H62" s="522">
        <v>0.28</v>
      </c>
      <c r="I62" s="522">
        <f>1.3*P4</f>
        <v>10.53</v>
      </c>
      <c r="J62" s="531">
        <f>17.2*S4</f>
        <v>36.12</v>
      </c>
      <c r="K62" s="515"/>
      <c r="L62" s="515"/>
      <c r="M62" s="515">
        <v>17.2</v>
      </c>
      <c r="N62" s="515"/>
      <c r="O62" s="515"/>
    </row>
    <row r="63" ht="20.1" customHeight="1" spans="1:15">
      <c r="A63" s="538" t="s">
        <v>861</v>
      </c>
      <c r="B63" s="519">
        <v>59</v>
      </c>
      <c r="C63" s="61">
        <v>8048</v>
      </c>
      <c r="D63" s="529" t="s">
        <v>862</v>
      </c>
      <c r="E63" s="522">
        <f t="shared" si="3"/>
        <v>29.949194256083</v>
      </c>
      <c r="F63" s="522">
        <f>1.6/1.15</f>
        <v>1.39130434782609</v>
      </c>
      <c r="G63" s="522">
        <f>2.69/1.09</f>
        <v>2.46788990825688</v>
      </c>
      <c r="H63" s="522">
        <v>0.44</v>
      </c>
      <c r="I63" s="522">
        <f>1.3*P4</f>
        <v>10.53</v>
      </c>
      <c r="J63" s="531">
        <f>7.2*S4</f>
        <v>15.12</v>
      </c>
      <c r="K63" s="515"/>
      <c r="L63" s="515"/>
      <c r="M63" s="515">
        <v>7.2</v>
      </c>
      <c r="N63" s="515"/>
      <c r="O63" s="515"/>
    </row>
    <row r="64" ht="20.1" customHeight="1" spans="1:15">
      <c r="A64" s="548"/>
      <c r="B64" s="519">
        <v>60</v>
      </c>
      <c r="C64" s="61" t="s">
        <v>863</v>
      </c>
      <c r="D64" s="529" t="s">
        <v>864</v>
      </c>
      <c r="E64" s="522">
        <f t="shared" si="3"/>
        <v>51.5359533306741</v>
      </c>
      <c r="F64" s="522">
        <f>30.48/1.15</f>
        <v>26.504347826087</v>
      </c>
      <c r="G64" s="522">
        <f>20.63/1.09</f>
        <v>18.9266055045872</v>
      </c>
      <c r="H64" s="522">
        <v>2.1</v>
      </c>
      <c r="I64" s="522">
        <f>2.4*P29</f>
        <v>0</v>
      </c>
      <c r="J64" s="531">
        <f>26.7*T4</f>
        <v>4.005</v>
      </c>
      <c r="K64" s="515"/>
      <c r="L64" s="515"/>
      <c r="M64" s="515">
        <v>26.7</v>
      </c>
      <c r="N64" s="515"/>
      <c r="O64" s="515"/>
    </row>
    <row r="65" customHeight="1" spans="2:15">
      <c r="B65" s="519">
        <v>61</v>
      </c>
      <c r="C65" s="549" t="s">
        <v>865</v>
      </c>
      <c r="D65" s="550" t="s">
        <v>866</v>
      </c>
      <c r="E65" s="551">
        <f t="shared" si="3"/>
        <v>25.1400007977663</v>
      </c>
      <c r="F65" s="552">
        <f>1.49/1.15</f>
        <v>1.29565217391304</v>
      </c>
      <c r="G65" s="552">
        <f>0.02/1.09</f>
        <v>0.018348623853211</v>
      </c>
      <c r="H65" s="552"/>
      <c r="I65" s="551">
        <f>2*P4</f>
        <v>16.2</v>
      </c>
      <c r="J65" s="553">
        <f>2.48*Q4</f>
        <v>7.626</v>
      </c>
      <c r="K65" s="537">
        <v>2.48</v>
      </c>
      <c r="L65" s="537"/>
    </row>
    <row r="66" customHeight="1" spans="2:15">
      <c r="D66" s="554" t="s">
        <v>867</v>
      </c>
      <c r="E66" s="555">
        <f t="shared" si="3"/>
        <v>59.1073833992095</v>
      </c>
      <c r="F66" s="555">
        <f>8.36/1.15</f>
        <v>7.2695652173913</v>
      </c>
      <c r="G66" s="555">
        <f>10.87/1.1</f>
        <v>9.88181818181818</v>
      </c>
      <c r="H66" s="556">
        <v>0.39</v>
      </c>
      <c r="I66" s="555">
        <f>2.4*P4</f>
        <v>19.44</v>
      </c>
      <c r="J66" s="557">
        <f>7.4*R4</f>
        <v>22.126</v>
      </c>
      <c r="K66" s="558"/>
      <c r="L66" s="559">
        <v>7.4</v>
      </c>
      <c r="O66" s="500">
        <f>0.35*60*0.7*6.5</f>
        <v>95.55</v>
      </c>
    </row>
  </sheetData>
  <mergeCells count="8">
    <mergeCell ref="B1:J1"/>
    <mergeCell ref="F2:J2"/>
    <mergeCell ref="P2:U2"/>
    <mergeCell ref="A2:A3"/>
    <mergeCell ref="B2:B3"/>
    <mergeCell ref="C2:C3"/>
    <mergeCell ref="D2:D3"/>
    <mergeCell ref="E2:E3"/>
  </mergeCells>
  <pageMargins left="0.751388888888889" right="0.751388888888889" top="0.979166666666667" bottom="0.979166666666667" header="0.511805555555556" footer="0.511805555555556"/>
  <pageSetup paperSize="9" firstPageNumber="151" orientation="portrait" useFirstPageNumber="1"/>
  <headerFooter alignWithMargins="0" scaleWithDoc="0">
    <oddFooter>&amp;C&amp;P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83"/>
  <sheetViews>
    <sheetView zoomScale="85" zoomScaleNormal="85" topLeftCell="A20" workbookViewId="0">
      <selection activeCell="F22" sqref="F22"/>
    </sheetView>
  </sheetViews>
  <sheetFormatPr defaultColWidth="9" defaultRowHeight="20.1" customHeight="1"/>
  <cols>
    <col min="1" max="1" width="5.625" style="93" customWidth="1"/>
    <col min="2" max="2" width="16.125" style="92" customWidth="1"/>
    <col min="3" max="3" width="9.5" style="93" customWidth="1"/>
    <col min="4" max="4" width="11.625" style="356" customWidth="1"/>
    <col min="5" max="5" width="12.875" style="93" customWidth="1"/>
    <col min="6" max="6" width="12.75" style="231" customWidth="1"/>
    <col min="7" max="7" width="13.75" style="92" customWidth="1"/>
    <col min="8" max="8" width="9" style="92"/>
    <col min="9" max="9" width="12.625" style="92"/>
    <col min="10" max="16384" width="9" style="92"/>
  </cols>
  <sheetData>
    <row r="1" customHeight="1" spans="1:7">
      <c r="A1" s="432" t="s">
        <v>868</v>
      </c>
      <c r="B1" s="432"/>
      <c r="C1" s="432"/>
      <c r="D1" s="432"/>
      <c r="E1" s="432"/>
      <c r="F1" s="432"/>
      <c r="G1" s="432"/>
    </row>
    <row r="2" customHeight="1" spans="1:7">
      <c r="A2" s="396" t="s">
        <v>869</v>
      </c>
      <c r="B2" s="397"/>
      <c r="C2" s="310" t="s">
        <v>17</v>
      </c>
      <c r="D2" s="310" t="s">
        <v>870</v>
      </c>
      <c r="E2" s="311" t="s">
        <v>871</v>
      </c>
      <c r="F2" s="312"/>
      <c r="G2" s="313"/>
    </row>
    <row r="3" customHeight="1" spans="1:7">
      <c r="A3" s="398" t="s">
        <v>507</v>
      </c>
      <c r="B3" s="399"/>
      <c r="C3" s="400" t="s">
        <v>872</v>
      </c>
      <c r="D3" s="320"/>
      <c r="E3" s="401"/>
      <c r="F3" s="61" t="s">
        <v>873</v>
      </c>
      <c r="G3" s="318" t="s">
        <v>874</v>
      </c>
    </row>
    <row r="4" customHeight="1" spans="1:7">
      <c r="A4" s="319" t="s">
        <v>875</v>
      </c>
      <c r="B4" s="320"/>
      <c r="C4" s="320"/>
      <c r="D4" s="320"/>
      <c r="E4" s="320"/>
      <c r="F4" s="320"/>
      <c r="G4" s="321"/>
    </row>
    <row r="5" customHeight="1" spans="1:7">
      <c r="A5" s="433" t="s">
        <v>876</v>
      </c>
      <c r="B5" s="434"/>
      <c r="C5" s="434"/>
      <c r="D5" s="434"/>
      <c r="E5" s="434"/>
      <c r="F5" s="434"/>
      <c r="G5" s="435"/>
    </row>
    <row r="6" customHeight="1" spans="1:7">
      <c r="A6" s="314" t="s">
        <v>34</v>
      </c>
      <c r="B6" s="436" t="s">
        <v>761</v>
      </c>
      <c r="C6" s="437"/>
      <c r="D6" s="317" t="s">
        <v>60</v>
      </c>
      <c r="E6" s="326" t="s">
        <v>877</v>
      </c>
      <c r="F6" s="61" t="s">
        <v>878</v>
      </c>
      <c r="G6" s="318" t="s">
        <v>879</v>
      </c>
    </row>
    <row r="7" customHeight="1" spans="1:7">
      <c r="A7" s="314" t="s">
        <v>8</v>
      </c>
      <c r="B7" s="327" t="s">
        <v>880</v>
      </c>
      <c r="C7" s="328"/>
      <c r="D7" s="317"/>
      <c r="E7" s="326"/>
      <c r="F7" s="147"/>
      <c r="G7" s="329">
        <f>G8+G35</f>
        <v>32955.2815646422</v>
      </c>
    </row>
    <row r="8" customHeight="1" spans="1:7">
      <c r="A8" s="314" t="s">
        <v>881</v>
      </c>
      <c r="B8" s="327" t="s">
        <v>882</v>
      </c>
      <c r="C8" s="328"/>
      <c r="D8" s="317"/>
      <c r="E8" s="326"/>
      <c r="F8" s="147"/>
      <c r="G8" s="329">
        <f>G9+G12+G24+G32</f>
        <v>30973.0089893254</v>
      </c>
    </row>
    <row r="9" customHeight="1" spans="1:7">
      <c r="A9" s="314" t="s">
        <v>17</v>
      </c>
      <c r="B9" s="327" t="s">
        <v>510</v>
      </c>
      <c r="C9" s="328"/>
      <c r="D9" s="317"/>
      <c r="E9" s="326"/>
      <c r="F9" s="147"/>
      <c r="G9" s="329">
        <f>SUM(G10:G11)</f>
        <v>5431.128</v>
      </c>
    </row>
    <row r="10" customHeight="1" spans="1:7">
      <c r="A10" s="314"/>
      <c r="B10" s="327" t="s">
        <v>704</v>
      </c>
      <c r="C10" s="328"/>
      <c r="D10" s="317" t="s">
        <v>705</v>
      </c>
      <c r="E10" s="423">
        <v>438</v>
      </c>
      <c r="F10" s="423">
        <f>主要材料预算!D19</f>
        <v>8.1</v>
      </c>
      <c r="G10" s="329">
        <f t="shared" ref="G10:G13" si="0">E10*F10</f>
        <v>3547.8</v>
      </c>
    </row>
    <row r="11" customHeight="1" spans="1:7">
      <c r="A11" s="314"/>
      <c r="B11" s="327" t="s">
        <v>706</v>
      </c>
      <c r="C11" s="328"/>
      <c r="D11" s="317" t="s">
        <v>705</v>
      </c>
      <c r="E11" s="423">
        <v>326.4</v>
      </c>
      <c r="F11" s="423">
        <f>主要材料预算!D20</f>
        <v>5.77</v>
      </c>
      <c r="G11" s="329">
        <f t="shared" si="0"/>
        <v>1883.328</v>
      </c>
    </row>
    <row r="12" customHeight="1" spans="1:7">
      <c r="A12" s="314" t="s">
        <v>19</v>
      </c>
      <c r="B12" s="327" t="s">
        <v>511</v>
      </c>
      <c r="C12" s="328"/>
      <c r="D12" s="317"/>
      <c r="E12" s="326"/>
      <c r="F12" s="147"/>
      <c r="G12" s="329">
        <f>SUM(G13:G23)</f>
        <v>22122.578733</v>
      </c>
    </row>
    <row r="13" customHeight="1" spans="1:7">
      <c r="A13" s="314"/>
      <c r="B13" s="327" t="s">
        <v>883</v>
      </c>
      <c r="C13" s="328"/>
      <c r="D13" s="317" t="s">
        <v>70</v>
      </c>
      <c r="E13" s="326">
        <v>0.15</v>
      </c>
      <c r="F13" s="147">
        <f>主要材料预算!L6</f>
        <v>2209.125</v>
      </c>
      <c r="G13" s="329">
        <f t="shared" si="0"/>
        <v>331.36875</v>
      </c>
    </row>
    <row r="14" customHeight="1" spans="1:7">
      <c r="A14" s="314"/>
      <c r="B14" s="327" t="s">
        <v>884</v>
      </c>
      <c r="C14" s="328"/>
      <c r="D14" s="317" t="s">
        <v>695</v>
      </c>
      <c r="E14" s="326">
        <v>302</v>
      </c>
      <c r="F14" s="147">
        <v>5.5</v>
      </c>
      <c r="G14" s="329">
        <f t="shared" ref="G14:G22" si="1">E14*F14</f>
        <v>1661</v>
      </c>
    </row>
    <row r="15" customHeight="1" spans="1:7">
      <c r="A15" s="314"/>
      <c r="B15" s="327" t="s">
        <v>885</v>
      </c>
      <c r="C15" s="328"/>
      <c r="D15" s="317" t="s">
        <v>695</v>
      </c>
      <c r="E15" s="326">
        <v>7.13</v>
      </c>
      <c r="F15" s="147">
        <v>4.44</v>
      </c>
      <c r="G15" s="329">
        <f t="shared" si="1"/>
        <v>31.6572</v>
      </c>
    </row>
    <row r="16" customHeight="1" spans="1:7">
      <c r="A16" s="314"/>
      <c r="B16" s="327" t="s">
        <v>886</v>
      </c>
      <c r="C16" s="328"/>
      <c r="D16" s="317" t="s">
        <v>695</v>
      </c>
      <c r="E16" s="326">
        <v>17.03</v>
      </c>
      <c r="F16" s="147">
        <v>4.5</v>
      </c>
      <c r="G16" s="329">
        <f t="shared" si="1"/>
        <v>76.635</v>
      </c>
    </row>
    <row r="17" customHeight="1" spans="1:7">
      <c r="A17" s="314"/>
      <c r="B17" s="327" t="s">
        <v>887</v>
      </c>
      <c r="C17" s="328"/>
      <c r="D17" s="317" t="s">
        <v>695</v>
      </c>
      <c r="E17" s="326">
        <v>22.86</v>
      </c>
      <c r="F17" s="147">
        <v>5.15</v>
      </c>
      <c r="G17" s="329">
        <f t="shared" si="1"/>
        <v>117.729</v>
      </c>
    </row>
    <row r="18" customHeight="1" spans="1:7">
      <c r="A18" s="314"/>
      <c r="B18" s="327" t="s">
        <v>888</v>
      </c>
      <c r="C18" s="328"/>
      <c r="D18" s="317" t="s">
        <v>695</v>
      </c>
      <c r="E18" s="326">
        <v>10.62</v>
      </c>
      <c r="F18" s="147">
        <v>7.45</v>
      </c>
      <c r="G18" s="329">
        <f t="shared" si="1"/>
        <v>79.119</v>
      </c>
    </row>
    <row r="19" customHeight="1" spans="1:7">
      <c r="A19" s="314"/>
      <c r="B19" s="327" t="s">
        <v>889</v>
      </c>
      <c r="C19" s="328"/>
      <c r="D19" s="317" t="s">
        <v>695</v>
      </c>
      <c r="E19" s="326">
        <v>35.75</v>
      </c>
      <c r="F19" s="147">
        <v>6.39</v>
      </c>
      <c r="G19" s="329">
        <f t="shared" si="1"/>
        <v>228.4425</v>
      </c>
    </row>
    <row r="20" customHeight="1" spans="1:7">
      <c r="A20" s="314"/>
      <c r="B20" s="327" t="s">
        <v>890</v>
      </c>
      <c r="C20" s="328"/>
      <c r="D20" s="317" t="s">
        <v>695</v>
      </c>
      <c r="E20" s="326">
        <v>0.56</v>
      </c>
      <c r="F20" s="147">
        <v>5.97</v>
      </c>
      <c r="G20" s="329">
        <f t="shared" si="1"/>
        <v>3.3432</v>
      </c>
    </row>
    <row r="21" customHeight="1" spans="1:7">
      <c r="A21" s="314"/>
      <c r="B21" s="327" t="s">
        <v>891</v>
      </c>
      <c r="C21" s="328"/>
      <c r="D21" s="317" t="s">
        <v>70</v>
      </c>
      <c r="E21" s="326">
        <v>103</v>
      </c>
      <c r="F21" s="147">
        <f>混凝土单价计算表!M10</f>
        <v>183.26455</v>
      </c>
      <c r="G21" s="329">
        <f t="shared" si="1"/>
        <v>18876.24865</v>
      </c>
    </row>
    <row r="22" customHeight="1" spans="1:7">
      <c r="A22" s="314"/>
      <c r="B22" s="327" t="s">
        <v>892</v>
      </c>
      <c r="C22" s="328"/>
      <c r="D22" s="317" t="s">
        <v>70</v>
      </c>
      <c r="E22" s="326">
        <v>120</v>
      </c>
      <c r="F22" s="147">
        <f>主要材料预算!D16</f>
        <v>4.15</v>
      </c>
      <c r="G22" s="329">
        <f t="shared" si="1"/>
        <v>498</v>
      </c>
    </row>
    <row r="23" customHeight="1" spans="1:7">
      <c r="A23" s="314"/>
      <c r="B23" s="327" t="s">
        <v>893</v>
      </c>
      <c r="C23" s="328"/>
      <c r="D23" s="317" t="s">
        <v>894</v>
      </c>
      <c r="E23" s="152">
        <v>1</v>
      </c>
      <c r="F23" s="147">
        <f>SUM(G13:G22)</f>
        <v>21903.5433</v>
      </c>
      <c r="G23" s="329">
        <f>E23*F23/100</f>
        <v>219.035433</v>
      </c>
    </row>
    <row r="24" customHeight="1" spans="1:7">
      <c r="A24" s="314" t="s">
        <v>21</v>
      </c>
      <c r="B24" s="327" t="s">
        <v>895</v>
      </c>
      <c r="C24" s="328"/>
      <c r="D24" s="317"/>
      <c r="E24" s="147"/>
      <c r="F24" s="147"/>
      <c r="G24" s="329">
        <f>SUM(G25:G31)</f>
        <v>1013.60510767052</v>
      </c>
    </row>
    <row r="25" customHeight="1" spans="1:7">
      <c r="A25" s="314"/>
      <c r="B25" s="327" t="s">
        <v>822</v>
      </c>
      <c r="C25" s="328"/>
      <c r="D25" s="317" t="s">
        <v>896</v>
      </c>
      <c r="E25" s="147">
        <v>1.08</v>
      </c>
      <c r="F25" s="147">
        <f>施工机械台时费!E28</f>
        <v>49.389824491424</v>
      </c>
      <c r="G25" s="329">
        <f t="shared" ref="G25:G30" si="2">E25*F25</f>
        <v>53.3410104507379</v>
      </c>
    </row>
    <row r="26" customHeight="1" spans="1:7">
      <c r="A26" s="314"/>
      <c r="B26" s="327" t="s">
        <v>897</v>
      </c>
      <c r="C26" s="328"/>
      <c r="D26" s="317" t="s">
        <v>896</v>
      </c>
      <c r="E26" s="147">
        <v>0.06</v>
      </c>
      <c r="F26" s="147">
        <f>施工机械台时费!E40</f>
        <v>62.3342780215397</v>
      </c>
      <c r="G26" s="329">
        <f t="shared" si="2"/>
        <v>3.74005668129238</v>
      </c>
    </row>
    <row r="27" customHeight="1" spans="1:7">
      <c r="A27" s="314"/>
      <c r="B27" s="327" t="s">
        <v>898</v>
      </c>
      <c r="C27" s="328"/>
      <c r="D27" s="317" t="s">
        <v>896</v>
      </c>
      <c r="E27" s="147">
        <v>0.99</v>
      </c>
      <c r="F27" s="147">
        <f>施工机械台时费!E58</f>
        <v>31.1021858795373</v>
      </c>
      <c r="G27" s="329">
        <f t="shared" si="2"/>
        <v>30.7911640207419</v>
      </c>
    </row>
    <row r="28" customHeight="1" spans="1:7">
      <c r="A28" s="314"/>
      <c r="B28" s="327" t="s">
        <v>899</v>
      </c>
      <c r="C28" s="328"/>
      <c r="D28" s="317" t="s">
        <v>896</v>
      </c>
      <c r="E28" s="147">
        <v>18.54</v>
      </c>
      <c r="F28" s="147">
        <f>施工机械台时费!E21</f>
        <v>37.4199521340247</v>
      </c>
      <c r="G28" s="329">
        <f t="shared" si="2"/>
        <v>693.765912564818</v>
      </c>
    </row>
    <row r="29" customHeight="1" spans="1:7">
      <c r="A29" s="314"/>
      <c r="B29" s="327" t="s">
        <v>900</v>
      </c>
      <c r="C29" s="328"/>
      <c r="D29" s="317" t="s">
        <v>896</v>
      </c>
      <c r="E29" s="147">
        <v>23.5</v>
      </c>
      <c r="F29" s="147">
        <f>施工机械台时费!E22</f>
        <v>3.07752692461109</v>
      </c>
      <c r="G29" s="329">
        <f t="shared" si="2"/>
        <v>72.3218827283606</v>
      </c>
    </row>
    <row r="30" customHeight="1" spans="1:7">
      <c r="A30" s="314"/>
      <c r="B30" s="327" t="s">
        <v>901</v>
      </c>
      <c r="C30" s="328"/>
      <c r="D30" s="317" t="s">
        <v>896</v>
      </c>
      <c r="E30" s="147">
        <v>83</v>
      </c>
      <c r="F30" s="147">
        <f>施工机械台时费!E36</f>
        <v>0.813242919824491</v>
      </c>
      <c r="G30" s="329">
        <f t="shared" si="2"/>
        <v>67.4991623454328</v>
      </c>
    </row>
    <row r="31" customHeight="1" spans="1:7">
      <c r="A31" s="314"/>
      <c r="B31" s="327" t="s">
        <v>902</v>
      </c>
      <c r="C31" s="328"/>
      <c r="D31" s="317" t="s">
        <v>894</v>
      </c>
      <c r="E31" s="152">
        <v>10</v>
      </c>
      <c r="F31" s="147">
        <f>SUM(G25:G30)</f>
        <v>921.459188791384</v>
      </c>
      <c r="G31" s="329">
        <f>E31*F31/100</f>
        <v>92.1459188791384</v>
      </c>
    </row>
    <row r="32" customHeight="1" spans="1:7">
      <c r="A32" s="314" t="s">
        <v>23</v>
      </c>
      <c r="B32" s="327" t="s">
        <v>513</v>
      </c>
      <c r="C32" s="328"/>
      <c r="D32" s="317"/>
      <c r="E32" s="147"/>
      <c r="F32" s="147"/>
      <c r="G32" s="329">
        <f>SUM(G33:G34)</f>
        <v>2405.69714865489</v>
      </c>
    </row>
    <row r="33" customHeight="1" spans="1:7">
      <c r="A33" s="314"/>
      <c r="B33" s="327" t="s">
        <v>903</v>
      </c>
      <c r="C33" s="328"/>
      <c r="D33" s="317" t="s">
        <v>70</v>
      </c>
      <c r="E33" s="147">
        <v>103</v>
      </c>
      <c r="F33" s="147">
        <f>G1441/100</f>
        <v>5.03319379720782</v>
      </c>
      <c r="G33" s="329">
        <f t="shared" ref="G33:G37" si="3">E33*F33</f>
        <v>518.418961112405</v>
      </c>
    </row>
    <row r="34" customHeight="1" spans="1:7">
      <c r="A34" s="314"/>
      <c r="B34" s="327" t="s">
        <v>904</v>
      </c>
      <c r="C34" s="328"/>
      <c r="D34" s="317" t="s">
        <v>70</v>
      </c>
      <c r="E34" s="147">
        <v>103</v>
      </c>
      <c r="F34" s="147">
        <f>G1469/100</f>
        <v>18.3230891994416</v>
      </c>
      <c r="G34" s="329">
        <f t="shared" si="3"/>
        <v>1887.27818754248</v>
      </c>
    </row>
    <row r="35" customHeight="1" spans="1:7">
      <c r="A35" s="314" t="s">
        <v>905</v>
      </c>
      <c r="B35" s="327" t="s">
        <v>514</v>
      </c>
      <c r="C35" s="328"/>
      <c r="D35" s="317"/>
      <c r="E35" s="332">
        <f>G8</f>
        <v>30973.0089893254</v>
      </c>
      <c r="F35" s="155">
        <f>费率表!$F$12</f>
        <v>0.064</v>
      </c>
      <c r="G35" s="329">
        <f t="shared" si="3"/>
        <v>1982.27257531683</v>
      </c>
    </row>
    <row r="36" customHeight="1" spans="1:7">
      <c r="A36" s="314" t="s">
        <v>10</v>
      </c>
      <c r="B36" s="327" t="s">
        <v>770</v>
      </c>
      <c r="C36" s="328"/>
      <c r="D36" s="317"/>
      <c r="E36" s="326">
        <f>G7</f>
        <v>32955.2815646422</v>
      </c>
      <c r="F36" s="155">
        <f>费率表!$F$13</f>
        <v>0.085</v>
      </c>
      <c r="G36" s="329">
        <f t="shared" si="3"/>
        <v>2801.19893299459</v>
      </c>
    </row>
    <row r="37" customHeight="1" spans="1:7">
      <c r="A37" s="314" t="s">
        <v>12</v>
      </c>
      <c r="B37" s="327" t="s">
        <v>771</v>
      </c>
      <c r="C37" s="328"/>
      <c r="D37" s="317"/>
      <c r="E37" s="326">
        <f>G7+G36</f>
        <v>35756.4804976368</v>
      </c>
      <c r="F37" s="156">
        <f>费率表!$F$14</f>
        <v>0.07</v>
      </c>
      <c r="G37" s="329">
        <f t="shared" si="3"/>
        <v>2502.95363483458</v>
      </c>
    </row>
    <row r="38" customHeight="1" spans="1:7">
      <c r="A38" s="314" t="s">
        <v>15</v>
      </c>
      <c r="B38" s="327" t="s">
        <v>517</v>
      </c>
      <c r="C38" s="328"/>
      <c r="D38" s="317"/>
      <c r="E38" s="326"/>
      <c r="F38" s="157"/>
      <c r="G38" s="329">
        <f>SUM(G39:G42)</f>
        <v>6789.00959310362</v>
      </c>
    </row>
    <row r="39" customHeight="1" spans="1:7">
      <c r="A39" s="314"/>
      <c r="B39" s="327" t="s">
        <v>729</v>
      </c>
      <c r="C39" s="328"/>
      <c r="D39" s="317" t="s">
        <v>204</v>
      </c>
      <c r="E39" s="326">
        <f>E21*混凝土单价计算表!E7</f>
        <v>31.641291</v>
      </c>
      <c r="F39" s="438">
        <f>主要材料预算!N5</f>
        <v>139.17214</v>
      </c>
      <c r="G39" s="329">
        <f t="shared" ref="G39:G44" si="4">E39*F39</f>
        <v>4403.58618083274</v>
      </c>
    </row>
    <row r="40" customHeight="1" spans="1:7">
      <c r="A40" s="314"/>
      <c r="B40" s="327" t="s">
        <v>684</v>
      </c>
      <c r="C40" s="328"/>
      <c r="D40" s="317" t="s">
        <v>70</v>
      </c>
      <c r="E40" s="326">
        <f>E21*混凝土单价计算表!$G$7</f>
        <v>56.62734</v>
      </c>
      <c r="F40" s="147"/>
      <c r="G40" s="329">
        <f t="shared" si="4"/>
        <v>0</v>
      </c>
    </row>
    <row r="41" customHeight="1" spans="1:7">
      <c r="A41" s="314"/>
      <c r="B41" s="327" t="s">
        <v>687</v>
      </c>
      <c r="C41" s="328"/>
      <c r="D41" s="317" t="s">
        <v>70</v>
      </c>
      <c r="E41" s="326">
        <f>E21*混凝土单价计算表!I7</f>
        <v>86.667084</v>
      </c>
      <c r="F41" s="438">
        <f>主要材料预算!N9</f>
        <v>26.7921</v>
      </c>
      <c r="G41" s="329">
        <f t="shared" si="4"/>
        <v>2321.9931812364</v>
      </c>
    </row>
    <row r="42" customHeight="1" spans="1:7">
      <c r="A42" s="314"/>
      <c r="B42" s="327" t="s">
        <v>696</v>
      </c>
      <c r="C42" s="328"/>
      <c r="D42" s="317" t="s">
        <v>695</v>
      </c>
      <c r="E42" s="326">
        <f>E25*7.2+E26*5.8</f>
        <v>8.124</v>
      </c>
      <c r="F42" s="438">
        <f>主要材料预算!N14</f>
        <v>7.8077586206897</v>
      </c>
      <c r="G42" s="329">
        <f t="shared" si="4"/>
        <v>63.4302310344831</v>
      </c>
    </row>
    <row r="43" customHeight="1" spans="1:7">
      <c r="A43" s="314" t="s">
        <v>906</v>
      </c>
      <c r="B43" s="327" t="s">
        <v>772</v>
      </c>
      <c r="C43" s="328"/>
      <c r="D43" s="317"/>
      <c r="E43" s="326">
        <f>G7+G36++G37+G38</f>
        <v>45048.443725575</v>
      </c>
      <c r="F43" s="156">
        <f>费率表!$F$15</f>
        <v>0.09</v>
      </c>
      <c r="G43" s="329">
        <f t="shared" si="4"/>
        <v>4054.35993530175</v>
      </c>
    </row>
    <row r="44" customHeight="1" spans="1:7">
      <c r="A44" s="314"/>
      <c r="B44" s="327" t="s">
        <v>907</v>
      </c>
      <c r="C44" s="328"/>
      <c r="D44" s="317"/>
      <c r="E44" s="326">
        <f>G7+G36+G37+G38+G43</f>
        <v>49102.8036608768</v>
      </c>
      <c r="F44" s="156">
        <f>费率表!$I$19</f>
        <v>0.03</v>
      </c>
      <c r="G44" s="329">
        <f t="shared" si="4"/>
        <v>1473.0841098263</v>
      </c>
    </row>
    <row r="45" customHeight="1" spans="1:7">
      <c r="A45" s="335"/>
      <c r="B45" s="336" t="s">
        <v>908</v>
      </c>
      <c r="C45" s="337"/>
      <c r="D45" s="338"/>
      <c r="E45" s="339"/>
      <c r="F45" s="161"/>
      <c r="G45" s="340">
        <f>G7+G36+G37+G38+G43+G44</f>
        <v>50575.8877707031</v>
      </c>
    </row>
    <row r="47" customHeight="1" spans="1:7">
      <c r="A47" s="394" t="s">
        <v>868</v>
      </c>
      <c r="B47" s="394"/>
      <c r="C47" s="394"/>
      <c r="D47" s="394"/>
      <c r="E47" s="394"/>
      <c r="F47" s="394"/>
      <c r="G47" s="394"/>
    </row>
    <row r="48" customHeight="1" spans="1:7">
      <c r="A48" s="309" t="s">
        <v>869</v>
      </c>
      <c r="B48" s="310"/>
      <c r="C48" s="310" t="s">
        <v>19</v>
      </c>
      <c r="D48" s="310" t="s">
        <v>870</v>
      </c>
      <c r="E48" s="184" t="s">
        <v>909</v>
      </c>
      <c r="F48" s="185"/>
      <c r="G48" s="186"/>
    </row>
    <row r="49" customHeight="1" spans="1:7">
      <c r="A49" s="314" t="s">
        <v>507</v>
      </c>
      <c r="B49" s="315"/>
      <c r="C49" s="316" t="s">
        <v>910</v>
      </c>
      <c r="D49" s="316"/>
      <c r="E49" s="316"/>
      <c r="F49" s="61" t="s">
        <v>873</v>
      </c>
      <c r="G49" s="318" t="s">
        <v>874</v>
      </c>
    </row>
    <row r="50" customHeight="1" spans="1:7">
      <c r="A50" s="319" t="s">
        <v>911</v>
      </c>
      <c r="B50" s="320"/>
      <c r="C50" s="320"/>
      <c r="D50" s="320"/>
      <c r="E50" s="320"/>
      <c r="F50" s="320"/>
      <c r="G50" s="321"/>
    </row>
    <row r="51" customHeight="1" spans="1:7">
      <c r="A51" s="322" t="s">
        <v>912</v>
      </c>
      <c r="B51" s="323"/>
      <c r="C51" s="324"/>
      <c r="D51" s="324"/>
      <c r="E51" s="324"/>
      <c r="F51" s="324"/>
      <c r="G51" s="325"/>
    </row>
    <row r="52" customHeight="1" spans="1:7">
      <c r="A52" s="314" t="s">
        <v>34</v>
      </c>
      <c r="B52" s="317" t="s">
        <v>761</v>
      </c>
      <c r="C52" s="317"/>
      <c r="D52" s="317" t="s">
        <v>60</v>
      </c>
      <c r="E52" s="326" t="s">
        <v>877</v>
      </c>
      <c r="F52" s="61" t="s">
        <v>878</v>
      </c>
      <c r="G52" s="318" t="s">
        <v>879</v>
      </c>
    </row>
    <row r="53" customHeight="1" spans="1:7">
      <c r="A53" s="314" t="s">
        <v>8</v>
      </c>
      <c r="B53" s="327" t="s">
        <v>880</v>
      </c>
      <c r="C53" s="328"/>
      <c r="D53" s="317"/>
      <c r="E53" s="326"/>
      <c r="F53" s="147"/>
      <c r="G53" s="329">
        <f>G54+G81</f>
        <v>39475.1378383672</v>
      </c>
    </row>
    <row r="54" customHeight="1" spans="1:7">
      <c r="A54" s="314" t="s">
        <v>881</v>
      </c>
      <c r="B54" s="327" t="s">
        <v>882</v>
      </c>
      <c r="C54" s="328"/>
      <c r="D54" s="317"/>
      <c r="E54" s="326"/>
      <c r="F54" s="147"/>
      <c r="G54" s="329">
        <f>G55+G58+G69+G78</f>
        <v>37100.693457112</v>
      </c>
    </row>
    <row r="55" customHeight="1" spans="1:7">
      <c r="A55" s="314" t="s">
        <v>17</v>
      </c>
      <c r="B55" s="327" t="s">
        <v>510</v>
      </c>
      <c r="C55" s="328"/>
      <c r="D55" s="317"/>
      <c r="E55" s="326"/>
      <c r="F55" s="147"/>
      <c r="G55" s="329">
        <f>SUM(G56:G57)</f>
        <v>8086.096</v>
      </c>
    </row>
    <row r="56" customHeight="1" spans="1:7">
      <c r="A56" s="314"/>
      <c r="B56" s="327" t="s">
        <v>704</v>
      </c>
      <c r="C56" s="328"/>
      <c r="D56" s="317" t="s">
        <v>705</v>
      </c>
      <c r="E56" s="423">
        <v>714.2</v>
      </c>
      <c r="F56" s="423">
        <f>主要材料预算!$D$19</f>
        <v>8.1</v>
      </c>
      <c r="G56" s="329">
        <f t="shared" ref="G56:G59" si="5">E56*F56</f>
        <v>5785.02</v>
      </c>
    </row>
    <row r="57" customHeight="1" spans="1:7">
      <c r="A57" s="314"/>
      <c r="B57" s="327" t="s">
        <v>706</v>
      </c>
      <c r="C57" s="328"/>
      <c r="D57" s="317" t="s">
        <v>705</v>
      </c>
      <c r="E57" s="423">
        <v>398.8</v>
      </c>
      <c r="F57" s="423">
        <f>主要材料预算!$D$20</f>
        <v>5.77</v>
      </c>
      <c r="G57" s="329">
        <f t="shared" si="5"/>
        <v>2301.076</v>
      </c>
    </row>
    <row r="58" customHeight="1" spans="1:7">
      <c r="A58" s="314" t="s">
        <v>19</v>
      </c>
      <c r="B58" s="327" t="s">
        <v>511</v>
      </c>
      <c r="C58" s="328"/>
      <c r="D58" s="317"/>
      <c r="E58" s="326"/>
      <c r="F58" s="147"/>
      <c r="G58" s="329">
        <f>SUM(G59:G68)</f>
        <v>24649.259106</v>
      </c>
    </row>
    <row r="59" customHeight="1" spans="1:7">
      <c r="A59" s="314"/>
      <c r="B59" s="327" t="s">
        <v>883</v>
      </c>
      <c r="C59" s="328"/>
      <c r="D59" s="317" t="s">
        <v>70</v>
      </c>
      <c r="E59" s="326">
        <v>0.77</v>
      </c>
      <c r="F59" s="147">
        <f>主要材料预算!$L$6</f>
        <v>2209.125</v>
      </c>
      <c r="G59" s="329">
        <f t="shared" si="5"/>
        <v>1701.02625</v>
      </c>
    </row>
    <row r="60" customHeight="1" spans="1:7">
      <c r="A60" s="314"/>
      <c r="B60" s="327" t="s">
        <v>885</v>
      </c>
      <c r="C60" s="328"/>
      <c r="D60" s="317" t="s">
        <v>695</v>
      </c>
      <c r="E60" s="326">
        <v>49.98</v>
      </c>
      <c r="F60" s="147">
        <f>基础材料!$D$9</f>
        <v>4.44</v>
      </c>
      <c r="G60" s="329">
        <f t="shared" ref="G60:G67" si="6">E60*F60</f>
        <v>221.9112</v>
      </c>
    </row>
    <row r="61" customHeight="1" spans="1:7">
      <c r="A61" s="314"/>
      <c r="B61" s="327" t="s">
        <v>886</v>
      </c>
      <c r="C61" s="328"/>
      <c r="D61" s="317" t="s">
        <v>695</v>
      </c>
      <c r="E61" s="326">
        <v>157.88</v>
      </c>
      <c r="F61" s="147">
        <f>基础材料!$D$5</f>
        <v>4.5</v>
      </c>
      <c r="G61" s="329">
        <f t="shared" si="6"/>
        <v>710.46</v>
      </c>
    </row>
    <row r="62" customHeight="1" spans="1:7">
      <c r="A62" s="314"/>
      <c r="B62" s="327" t="s">
        <v>887</v>
      </c>
      <c r="C62" s="328"/>
      <c r="D62" s="317" t="s">
        <v>695</v>
      </c>
      <c r="E62" s="326">
        <v>160.33</v>
      </c>
      <c r="F62" s="147">
        <f>基础材料!$D$8</f>
        <v>5.15</v>
      </c>
      <c r="G62" s="329">
        <f t="shared" si="6"/>
        <v>825.6995</v>
      </c>
    </row>
    <row r="63" customHeight="1" spans="1:7">
      <c r="A63" s="314"/>
      <c r="B63" s="327" t="s">
        <v>913</v>
      </c>
      <c r="C63" s="328"/>
      <c r="D63" s="317" t="s">
        <v>695</v>
      </c>
      <c r="E63" s="326">
        <v>41.07</v>
      </c>
      <c r="F63" s="147">
        <f>基础材料!$D$3</f>
        <v>4.04</v>
      </c>
      <c r="G63" s="329">
        <f t="shared" si="6"/>
        <v>165.9228</v>
      </c>
    </row>
    <row r="64" customHeight="1" spans="1:7">
      <c r="A64" s="314"/>
      <c r="B64" s="327" t="s">
        <v>889</v>
      </c>
      <c r="C64" s="328"/>
      <c r="D64" s="317" t="s">
        <v>695</v>
      </c>
      <c r="E64" s="326">
        <v>211.36</v>
      </c>
      <c r="F64" s="147">
        <f>基础材料!$D$7</f>
        <v>6.39</v>
      </c>
      <c r="G64" s="329">
        <f t="shared" si="6"/>
        <v>1350.5904</v>
      </c>
    </row>
    <row r="65" customHeight="1" spans="1:7">
      <c r="A65" s="314"/>
      <c r="B65" s="327" t="s">
        <v>890</v>
      </c>
      <c r="C65" s="328"/>
      <c r="D65" s="317" t="s">
        <v>695</v>
      </c>
      <c r="E65" s="326">
        <v>3.95</v>
      </c>
      <c r="F65" s="147">
        <f>基础材料!$D$57</f>
        <v>5.97</v>
      </c>
      <c r="G65" s="329">
        <f t="shared" si="6"/>
        <v>23.5815</v>
      </c>
    </row>
    <row r="66" customHeight="1" spans="1:7">
      <c r="A66" s="314"/>
      <c r="B66" s="327" t="s">
        <v>891</v>
      </c>
      <c r="C66" s="328"/>
      <c r="D66" s="317" t="s">
        <v>70</v>
      </c>
      <c r="E66" s="326">
        <v>103</v>
      </c>
      <c r="F66" s="147">
        <f>混凝土单价计算表!$M$10</f>
        <v>183.26455</v>
      </c>
      <c r="G66" s="329">
        <f t="shared" si="6"/>
        <v>18876.24865</v>
      </c>
    </row>
    <row r="67" customHeight="1" spans="1:7">
      <c r="A67" s="314"/>
      <c r="B67" s="327" t="s">
        <v>892</v>
      </c>
      <c r="C67" s="328"/>
      <c r="D67" s="317" t="s">
        <v>70</v>
      </c>
      <c r="E67" s="326">
        <v>70</v>
      </c>
      <c r="F67" s="147">
        <f>主要材料预算!$D$16</f>
        <v>4.15</v>
      </c>
      <c r="G67" s="329">
        <f t="shared" si="6"/>
        <v>290.5</v>
      </c>
    </row>
    <row r="68" customHeight="1" spans="1:7">
      <c r="A68" s="314"/>
      <c r="B68" s="327" t="s">
        <v>893</v>
      </c>
      <c r="C68" s="328"/>
      <c r="D68" s="317" t="s">
        <v>894</v>
      </c>
      <c r="E68" s="152">
        <v>2</v>
      </c>
      <c r="F68" s="147">
        <f>SUM(G59:G67)</f>
        <v>24165.9403</v>
      </c>
      <c r="G68" s="329">
        <f>E68*F68/100</f>
        <v>483.318806</v>
      </c>
    </row>
    <row r="69" customHeight="1" spans="1:7">
      <c r="A69" s="314" t="s">
        <v>21</v>
      </c>
      <c r="B69" s="327" t="s">
        <v>895</v>
      </c>
      <c r="C69" s="328"/>
      <c r="D69" s="317"/>
      <c r="E69" s="147"/>
      <c r="F69" s="147"/>
      <c r="G69" s="329">
        <f>SUM(G70:G77)</f>
        <v>1959.64120245712</v>
      </c>
    </row>
    <row r="70" customHeight="1" spans="1:7">
      <c r="A70" s="314"/>
      <c r="B70" s="327" t="s">
        <v>822</v>
      </c>
      <c r="C70" s="328"/>
      <c r="D70" s="317" t="s">
        <v>896</v>
      </c>
      <c r="E70" s="147">
        <v>1.92</v>
      </c>
      <c r="F70" s="147">
        <f>施工机械台时费!$E$28</f>
        <v>49.389824491424</v>
      </c>
      <c r="G70" s="329">
        <f t="shared" ref="G70:G76" si="7">E70*F70</f>
        <v>94.8284630235341</v>
      </c>
    </row>
    <row r="71" customHeight="1" spans="1:7">
      <c r="A71" s="314"/>
      <c r="B71" s="327" t="s">
        <v>914</v>
      </c>
      <c r="C71" s="328"/>
      <c r="D71" s="317" t="s">
        <v>896</v>
      </c>
      <c r="E71" s="147">
        <v>0.24</v>
      </c>
      <c r="F71" s="147">
        <f>施工机械台时费!$E$40</f>
        <v>62.3342780215397</v>
      </c>
      <c r="G71" s="329">
        <f t="shared" si="7"/>
        <v>14.9602267251695</v>
      </c>
    </row>
    <row r="72" customHeight="1" spans="1:7">
      <c r="A72" s="314"/>
      <c r="B72" s="327" t="s">
        <v>836</v>
      </c>
      <c r="C72" s="328"/>
      <c r="D72" s="317" t="s">
        <v>896</v>
      </c>
      <c r="E72" s="147">
        <v>2.94</v>
      </c>
      <c r="F72" s="147">
        <f>施工机械台时费!$E$38</f>
        <v>153.509325887515</v>
      </c>
      <c r="G72" s="329">
        <f t="shared" si="7"/>
        <v>451.317418109294</v>
      </c>
    </row>
    <row r="73" customHeight="1" spans="1:7">
      <c r="A73" s="314"/>
      <c r="B73" s="327" t="s">
        <v>898</v>
      </c>
      <c r="C73" s="328"/>
      <c r="D73" s="317" t="s">
        <v>896</v>
      </c>
      <c r="E73" s="147">
        <v>7.02</v>
      </c>
      <c r="F73" s="147">
        <f>施工机械台时费!$E$58</f>
        <v>31.1021858795373</v>
      </c>
      <c r="G73" s="329">
        <f t="shared" si="7"/>
        <v>218.337344874352</v>
      </c>
    </row>
    <row r="74" customHeight="1" spans="1:7">
      <c r="A74" s="314"/>
      <c r="B74" s="327" t="s">
        <v>899</v>
      </c>
      <c r="C74" s="328"/>
      <c r="D74" s="317" t="s">
        <v>896</v>
      </c>
      <c r="E74" s="147">
        <v>18.54</v>
      </c>
      <c r="F74" s="147">
        <f>施工机械台时费!$E$21</f>
        <v>37.4199521340247</v>
      </c>
      <c r="G74" s="329">
        <f t="shared" si="7"/>
        <v>693.765912564818</v>
      </c>
    </row>
    <row r="75" customHeight="1" spans="1:7">
      <c r="A75" s="314"/>
      <c r="B75" s="327" t="s">
        <v>900</v>
      </c>
      <c r="C75" s="328"/>
      <c r="D75" s="317" t="s">
        <v>896</v>
      </c>
      <c r="E75" s="147">
        <v>30</v>
      </c>
      <c r="F75" s="147">
        <f>施工机械台时费!$E$22</f>
        <v>3.07752692461109</v>
      </c>
      <c r="G75" s="329">
        <f t="shared" si="7"/>
        <v>92.3258077383327</v>
      </c>
    </row>
    <row r="76" customHeight="1" spans="1:7">
      <c r="A76" s="314"/>
      <c r="B76" s="327" t="s">
        <v>901</v>
      </c>
      <c r="C76" s="328"/>
      <c r="D76" s="317" t="s">
        <v>896</v>
      </c>
      <c r="E76" s="147">
        <v>83</v>
      </c>
      <c r="F76" s="147">
        <f>施工机械台时费!$E$36</f>
        <v>0.813242919824491</v>
      </c>
      <c r="G76" s="329">
        <f t="shared" si="7"/>
        <v>67.4991623454328</v>
      </c>
    </row>
    <row r="77" customHeight="1" spans="1:7">
      <c r="A77" s="314"/>
      <c r="B77" s="327" t="s">
        <v>902</v>
      </c>
      <c r="C77" s="328"/>
      <c r="D77" s="317" t="s">
        <v>894</v>
      </c>
      <c r="E77" s="152">
        <v>20</v>
      </c>
      <c r="F77" s="147">
        <f>SUM(G70:G76)</f>
        <v>1633.03433538093</v>
      </c>
      <c r="G77" s="329">
        <f>E77*F77/100</f>
        <v>326.606867076187</v>
      </c>
    </row>
    <row r="78" customHeight="1" spans="1:7">
      <c r="A78" s="314" t="s">
        <v>23</v>
      </c>
      <c r="B78" s="327" t="s">
        <v>513</v>
      </c>
      <c r="C78" s="328"/>
      <c r="D78" s="317"/>
      <c r="E78" s="147"/>
      <c r="F78" s="147"/>
      <c r="G78" s="329">
        <f>SUM(G79:G80)</f>
        <v>2405.69714865489</v>
      </c>
    </row>
    <row r="79" customHeight="1" spans="1:7">
      <c r="A79" s="314"/>
      <c r="B79" s="327" t="s">
        <v>903</v>
      </c>
      <c r="C79" s="328"/>
      <c r="D79" s="317" t="s">
        <v>70</v>
      </c>
      <c r="E79" s="147">
        <v>103</v>
      </c>
      <c r="F79" s="147">
        <f>$G$1441/100</f>
        <v>5.03319379720782</v>
      </c>
      <c r="G79" s="329">
        <f t="shared" ref="G79:G83" si="8">E79*F79</f>
        <v>518.418961112405</v>
      </c>
    </row>
    <row r="80" customHeight="1" spans="1:7">
      <c r="A80" s="314"/>
      <c r="B80" s="327" t="s">
        <v>904</v>
      </c>
      <c r="C80" s="328"/>
      <c r="D80" s="317" t="s">
        <v>70</v>
      </c>
      <c r="E80" s="147">
        <v>103</v>
      </c>
      <c r="F80" s="147">
        <f>$G$1469/100</f>
        <v>18.3230891994416</v>
      </c>
      <c r="G80" s="329">
        <f t="shared" si="8"/>
        <v>1887.27818754248</v>
      </c>
    </row>
    <row r="81" customHeight="1" spans="1:7">
      <c r="A81" s="314" t="s">
        <v>905</v>
      </c>
      <c r="B81" s="327" t="s">
        <v>514</v>
      </c>
      <c r="C81" s="328"/>
      <c r="D81" s="317"/>
      <c r="E81" s="332">
        <f>G54</f>
        <v>37100.693457112</v>
      </c>
      <c r="F81" s="155">
        <f>费率表!$F$12</f>
        <v>0.064</v>
      </c>
      <c r="G81" s="329">
        <f t="shared" si="8"/>
        <v>2374.44438125517</v>
      </c>
    </row>
    <row r="82" customHeight="1" spans="1:7">
      <c r="A82" s="314" t="s">
        <v>10</v>
      </c>
      <c r="B82" s="327" t="s">
        <v>770</v>
      </c>
      <c r="C82" s="328"/>
      <c r="D82" s="317"/>
      <c r="E82" s="326">
        <f>G53</f>
        <v>39475.1378383672</v>
      </c>
      <c r="F82" s="155">
        <f>费率表!$F$13</f>
        <v>0.085</v>
      </c>
      <c r="G82" s="329">
        <f t="shared" si="8"/>
        <v>3355.38671626121</v>
      </c>
    </row>
    <row r="83" customHeight="1" spans="1:7">
      <c r="A83" s="314" t="s">
        <v>12</v>
      </c>
      <c r="B83" s="327" t="s">
        <v>771</v>
      </c>
      <c r="C83" s="328"/>
      <c r="D83" s="317"/>
      <c r="E83" s="326">
        <f>G53+G82</f>
        <v>42830.5245546284</v>
      </c>
      <c r="F83" s="156">
        <f>费率表!$F$14</f>
        <v>0.07</v>
      </c>
      <c r="G83" s="329">
        <f t="shared" si="8"/>
        <v>2998.13671882399</v>
      </c>
    </row>
    <row r="84" customHeight="1" spans="1:7">
      <c r="A84" s="314" t="s">
        <v>15</v>
      </c>
      <c r="B84" s="327" t="s">
        <v>517</v>
      </c>
      <c r="C84" s="328"/>
      <c r="D84" s="317"/>
      <c r="E84" s="326"/>
      <c r="F84" s="157"/>
      <c r="G84" s="329">
        <f>SUM(G85:G88)</f>
        <v>7313.42327627242</v>
      </c>
    </row>
    <row r="85" customHeight="1" spans="1:7">
      <c r="A85" s="314"/>
      <c r="B85" s="327" t="s">
        <v>729</v>
      </c>
      <c r="C85" s="328"/>
      <c r="D85" s="317" t="s">
        <v>204</v>
      </c>
      <c r="E85" s="326">
        <f>E66*混凝土单价计算表!$E$10</f>
        <v>35.02</v>
      </c>
      <c r="F85" s="438">
        <f>主要材料预算!$N$5</f>
        <v>139.17214</v>
      </c>
      <c r="G85" s="329">
        <f t="shared" ref="G85:G90" si="9">E85*F85</f>
        <v>4873.8083428</v>
      </c>
    </row>
    <row r="86" customHeight="1" spans="1:7">
      <c r="A86" s="314"/>
      <c r="B86" s="327" t="s">
        <v>684</v>
      </c>
      <c r="C86" s="328"/>
      <c r="D86" s="317" t="s">
        <v>70</v>
      </c>
      <c r="E86" s="326">
        <f>E66*混凝土单价计算表!$G$10</f>
        <v>54.384</v>
      </c>
      <c r="F86" s="147"/>
      <c r="G86" s="329">
        <f t="shared" si="9"/>
        <v>0</v>
      </c>
    </row>
    <row r="87" customHeight="1" spans="1:7">
      <c r="A87" s="314"/>
      <c r="B87" s="327" t="s">
        <v>687</v>
      </c>
      <c r="C87" s="328"/>
      <c r="D87" s="317" t="s">
        <v>70</v>
      </c>
      <c r="E87" s="326">
        <f>E66*混凝土单价计算表!$I$10</f>
        <v>86.623</v>
      </c>
      <c r="F87" s="438">
        <f>主要材料预算!$N$9</f>
        <v>26.7921</v>
      </c>
      <c r="G87" s="329">
        <f t="shared" si="9"/>
        <v>2320.8120783</v>
      </c>
    </row>
    <row r="88" customHeight="1" spans="1:7">
      <c r="A88" s="314"/>
      <c r="B88" s="327" t="s">
        <v>696</v>
      </c>
      <c r="C88" s="328"/>
      <c r="D88" s="317" t="s">
        <v>695</v>
      </c>
      <c r="E88" s="326">
        <f>E70*施工机械台时费!$K$28+施工机械台时费!$K$40*混凝土!E71</f>
        <v>15.216</v>
      </c>
      <c r="F88" s="438">
        <f>主要材料预算!$N$14</f>
        <v>7.8077586206897</v>
      </c>
      <c r="G88" s="329">
        <f t="shared" si="9"/>
        <v>118.802855172414</v>
      </c>
    </row>
    <row r="89" customHeight="1" spans="1:7">
      <c r="A89" s="314" t="s">
        <v>906</v>
      </c>
      <c r="B89" s="327" t="s">
        <v>772</v>
      </c>
      <c r="C89" s="328"/>
      <c r="D89" s="317"/>
      <c r="E89" s="326">
        <f>G53+G82++G83+G84</f>
        <v>53142.0845497248</v>
      </c>
      <c r="F89" s="156">
        <f>费率表!$F$15</f>
        <v>0.09</v>
      </c>
      <c r="G89" s="329">
        <f t="shared" si="9"/>
        <v>4782.78760947523</v>
      </c>
    </row>
    <row r="90" customHeight="1" spans="1:7">
      <c r="A90" s="314"/>
      <c r="B90" s="327" t="s">
        <v>907</v>
      </c>
      <c r="C90" s="328"/>
      <c r="D90" s="317"/>
      <c r="E90" s="326">
        <f>G53+G82+G83+G84+G89</f>
        <v>57924.8721592</v>
      </c>
      <c r="F90" s="156">
        <f>费率表!$I$19</f>
        <v>0.03</v>
      </c>
      <c r="G90" s="329">
        <f t="shared" si="9"/>
        <v>1737.746164776</v>
      </c>
    </row>
    <row r="91" customHeight="1" spans="1:7">
      <c r="A91" s="335"/>
      <c r="B91" s="336" t="s">
        <v>908</v>
      </c>
      <c r="C91" s="337"/>
      <c r="D91" s="338"/>
      <c r="E91" s="339"/>
      <c r="F91" s="161"/>
      <c r="G91" s="340">
        <f>G53+G82+G83+G84+G89+G90</f>
        <v>59662.618323976</v>
      </c>
    </row>
    <row r="94" customHeight="1" spans="1:7">
      <c r="A94" s="394" t="s">
        <v>868</v>
      </c>
      <c r="B94" s="394"/>
      <c r="C94" s="394"/>
      <c r="D94" s="394"/>
      <c r="E94" s="394"/>
      <c r="F94" s="394"/>
      <c r="G94" s="394"/>
    </row>
    <row r="95" customHeight="1" spans="1:7">
      <c r="A95" s="309" t="s">
        <v>869</v>
      </c>
      <c r="B95" s="310"/>
      <c r="C95" s="310" t="s">
        <v>19</v>
      </c>
      <c r="D95" s="310" t="s">
        <v>870</v>
      </c>
      <c r="E95" s="311" t="s">
        <v>915</v>
      </c>
      <c r="F95" s="312"/>
      <c r="G95" s="313"/>
    </row>
    <row r="96" customHeight="1" spans="1:7">
      <c r="A96" s="314" t="s">
        <v>507</v>
      </c>
      <c r="B96" s="315"/>
      <c r="C96" s="316" t="s">
        <v>916</v>
      </c>
      <c r="D96" s="316"/>
      <c r="E96" s="316"/>
      <c r="F96" s="61" t="s">
        <v>873</v>
      </c>
      <c r="G96" s="318" t="s">
        <v>874</v>
      </c>
    </row>
    <row r="97" customHeight="1" spans="1:7">
      <c r="A97" s="319" t="s">
        <v>917</v>
      </c>
      <c r="B97" s="320"/>
      <c r="C97" s="320"/>
      <c r="D97" s="320"/>
      <c r="E97" s="320"/>
      <c r="F97" s="320"/>
      <c r="G97" s="321"/>
    </row>
    <row r="98" customHeight="1" spans="1:7">
      <c r="A98" s="322" t="s">
        <v>912</v>
      </c>
      <c r="B98" s="323"/>
      <c r="C98" s="324"/>
      <c r="D98" s="324"/>
      <c r="E98" s="324"/>
      <c r="F98" s="324"/>
      <c r="G98" s="325"/>
    </row>
    <row r="99" customHeight="1" spans="1:7">
      <c r="A99" s="314" t="s">
        <v>34</v>
      </c>
      <c r="B99" s="317" t="s">
        <v>761</v>
      </c>
      <c r="C99" s="317"/>
      <c r="D99" s="317" t="s">
        <v>60</v>
      </c>
      <c r="E99" s="326" t="s">
        <v>877</v>
      </c>
      <c r="F99" s="61" t="s">
        <v>878</v>
      </c>
      <c r="G99" s="318" t="s">
        <v>879</v>
      </c>
    </row>
    <row r="100" customHeight="1" spans="1:7">
      <c r="A100" s="314" t="s">
        <v>8</v>
      </c>
      <c r="B100" s="327" t="s">
        <v>880</v>
      </c>
      <c r="C100" s="328"/>
      <c r="D100" s="317"/>
      <c r="E100" s="326"/>
      <c r="F100" s="147"/>
      <c r="G100" s="329">
        <f>G101+G125</f>
        <v>37653.7329500592</v>
      </c>
    </row>
    <row r="101" customHeight="1" spans="1:7">
      <c r="A101" s="314" t="s">
        <v>881</v>
      </c>
      <c r="B101" s="327" t="s">
        <v>882</v>
      </c>
      <c r="C101" s="328"/>
      <c r="D101" s="317"/>
      <c r="E101" s="326"/>
      <c r="F101" s="147"/>
      <c r="G101" s="329">
        <f>G102+G105+G115+G122</f>
        <v>35388.8467575745</v>
      </c>
    </row>
    <row r="102" customHeight="1" spans="1:7">
      <c r="A102" s="314" t="s">
        <v>17</v>
      </c>
      <c r="B102" s="327" t="s">
        <v>510</v>
      </c>
      <c r="C102" s="328"/>
      <c r="D102" s="317"/>
      <c r="E102" s="326"/>
      <c r="F102" s="147"/>
      <c r="G102" s="329">
        <f>SUM(G103:G104)</f>
        <v>10315.646</v>
      </c>
    </row>
    <row r="103" customHeight="1" spans="1:7">
      <c r="A103" s="314"/>
      <c r="B103" s="327" t="s">
        <v>704</v>
      </c>
      <c r="C103" s="328"/>
      <c r="D103" s="317" t="s">
        <v>705</v>
      </c>
      <c r="E103" s="423">
        <v>1003.7</v>
      </c>
      <c r="F103" s="423">
        <f>主要材料预算!D19</f>
        <v>8.1</v>
      </c>
      <c r="G103" s="329">
        <f t="shared" ref="G103:G106" si="10">E103*F103</f>
        <v>8129.97</v>
      </c>
    </row>
    <row r="104" customHeight="1" spans="1:7">
      <c r="A104" s="314"/>
      <c r="B104" s="327" t="s">
        <v>706</v>
      </c>
      <c r="C104" s="328"/>
      <c r="D104" s="317" t="s">
        <v>705</v>
      </c>
      <c r="E104" s="423">
        <v>378.8</v>
      </c>
      <c r="F104" s="423">
        <f>主要材料预算!D20</f>
        <v>5.77</v>
      </c>
      <c r="G104" s="329">
        <f t="shared" si="10"/>
        <v>2185.676</v>
      </c>
    </row>
    <row r="105" customHeight="1" spans="1:7">
      <c r="A105" s="314" t="s">
        <v>19</v>
      </c>
      <c r="B105" s="327" t="s">
        <v>511</v>
      </c>
      <c r="C105" s="328"/>
      <c r="D105" s="317"/>
      <c r="E105" s="326"/>
      <c r="F105" s="147"/>
      <c r="G105" s="329">
        <f>SUM(G106:G114)</f>
        <v>21305.405558772</v>
      </c>
    </row>
    <row r="106" customHeight="1" spans="1:7">
      <c r="A106" s="314"/>
      <c r="B106" s="327" t="s">
        <v>883</v>
      </c>
      <c r="C106" s="328"/>
      <c r="D106" s="317" t="s">
        <v>70</v>
      </c>
      <c r="E106" s="326">
        <v>0.71</v>
      </c>
      <c r="F106" s="147">
        <f>主要材料预算!L6</f>
        <v>2209.125</v>
      </c>
      <c r="G106" s="329">
        <f t="shared" si="10"/>
        <v>1568.47875</v>
      </c>
    </row>
    <row r="107" customHeight="1" spans="1:7">
      <c r="A107" s="314"/>
      <c r="B107" s="327" t="s">
        <v>885</v>
      </c>
      <c r="C107" s="328"/>
      <c r="D107" s="317" t="s">
        <v>695</v>
      </c>
      <c r="E107" s="326">
        <v>68.86</v>
      </c>
      <c r="F107" s="147">
        <v>4.44</v>
      </c>
      <c r="G107" s="329">
        <f t="shared" ref="G107:G113" si="11">E107*F107</f>
        <v>305.7384</v>
      </c>
    </row>
    <row r="108" customHeight="1" spans="1:7">
      <c r="A108" s="314"/>
      <c r="B108" s="327" t="s">
        <v>886</v>
      </c>
      <c r="C108" s="328"/>
      <c r="D108" s="317" t="s">
        <v>695</v>
      </c>
      <c r="E108" s="326">
        <v>36.77</v>
      </c>
      <c r="F108" s="147">
        <v>4.5</v>
      </c>
      <c r="G108" s="329">
        <f t="shared" si="11"/>
        <v>165.465</v>
      </c>
    </row>
    <row r="109" customHeight="1" spans="1:7">
      <c r="A109" s="314"/>
      <c r="B109" s="327" t="s">
        <v>887</v>
      </c>
      <c r="C109" s="328"/>
      <c r="D109" s="317" t="s">
        <v>695</v>
      </c>
      <c r="E109" s="326">
        <v>30.87</v>
      </c>
      <c r="F109" s="147">
        <v>5.15</v>
      </c>
      <c r="G109" s="329">
        <f t="shared" si="11"/>
        <v>158.9805</v>
      </c>
    </row>
    <row r="110" customHeight="1" spans="1:7">
      <c r="A110" s="314"/>
      <c r="B110" s="327" t="s">
        <v>889</v>
      </c>
      <c r="C110" s="328"/>
      <c r="D110" s="317" t="s">
        <v>695</v>
      </c>
      <c r="E110" s="326">
        <v>273.78</v>
      </c>
      <c r="F110" s="147">
        <v>6.39</v>
      </c>
      <c r="G110" s="329">
        <f t="shared" si="11"/>
        <v>1749.4542</v>
      </c>
    </row>
    <row r="111" customHeight="1" spans="1:7">
      <c r="A111" s="314"/>
      <c r="B111" s="327" t="s">
        <v>890</v>
      </c>
      <c r="C111" s="328"/>
      <c r="D111" s="317" t="s">
        <v>695</v>
      </c>
      <c r="E111" s="326">
        <v>5.75</v>
      </c>
      <c r="F111" s="147">
        <v>5.97</v>
      </c>
      <c r="G111" s="329">
        <f t="shared" si="11"/>
        <v>34.3275</v>
      </c>
    </row>
    <row r="112" customHeight="1" spans="1:7">
      <c r="A112" s="314"/>
      <c r="B112" s="327" t="s">
        <v>918</v>
      </c>
      <c r="C112" s="328"/>
      <c r="D112" s="317" t="s">
        <v>70</v>
      </c>
      <c r="E112" s="326">
        <v>103</v>
      </c>
      <c r="F112" s="147">
        <f>混凝土单价计算表!M5</f>
        <v>161.3078462</v>
      </c>
      <c r="G112" s="329">
        <f t="shared" si="11"/>
        <v>16614.7081586</v>
      </c>
    </row>
    <row r="113" customHeight="1" spans="1:7">
      <c r="A113" s="314"/>
      <c r="B113" s="327" t="s">
        <v>892</v>
      </c>
      <c r="C113" s="328"/>
      <c r="D113" s="317" t="s">
        <v>70</v>
      </c>
      <c r="E113" s="326">
        <v>70</v>
      </c>
      <c r="F113" s="147">
        <f>主要材料预算!D16</f>
        <v>4.15</v>
      </c>
      <c r="G113" s="329">
        <f t="shared" si="11"/>
        <v>290.5</v>
      </c>
    </row>
    <row r="114" customHeight="1" spans="1:7">
      <c r="A114" s="314"/>
      <c r="B114" s="327" t="s">
        <v>893</v>
      </c>
      <c r="C114" s="328"/>
      <c r="D114" s="317" t="s">
        <v>894</v>
      </c>
      <c r="E114" s="152">
        <v>2</v>
      </c>
      <c r="F114" s="147">
        <f>SUM(G106:G113)</f>
        <v>20887.6525086</v>
      </c>
      <c r="G114" s="329">
        <f>E114*F114/100</f>
        <v>417.753050172</v>
      </c>
    </row>
    <row r="115" customHeight="1" spans="1:7">
      <c r="A115" s="314" t="s">
        <v>21</v>
      </c>
      <c r="B115" s="327" t="s">
        <v>895</v>
      </c>
      <c r="C115" s="328"/>
      <c r="D115" s="317"/>
      <c r="E115" s="147"/>
      <c r="F115" s="147"/>
      <c r="G115" s="329">
        <f>SUM(G116:G121)</f>
        <v>1362.09805014759</v>
      </c>
    </row>
    <row r="116" customHeight="1" spans="1:7">
      <c r="A116" s="314"/>
      <c r="B116" s="327" t="s">
        <v>900</v>
      </c>
      <c r="C116" s="328"/>
      <c r="D116" s="317" t="s">
        <v>896</v>
      </c>
      <c r="E116" s="147">
        <v>30</v>
      </c>
      <c r="F116" s="147">
        <f>施工机械台时费!E22</f>
        <v>3.07752692461109</v>
      </c>
      <c r="G116" s="329">
        <f t="shared" ref="G116:G120" si="12">E116*F116</f>
        <v>92.3258077383327</v>
      </c>
    </row>
    <row r="117" customHeight="1" spans="1:7">
      <c r="A117" s="314"/>
      <c r="B117" s="327" t="s">
        <v>899</v>
      </c>
      <c r="C117" s="328"/>
      <c r="D117" s="317" t="s">
        <v>896</v>
      </c>
      <c r="E117" s="147">
        <v>18.54</v>
      </c>
      <c r="F117" s="147">
        <f>施工机械台时费!E21</f>
        <v>37.4199521340247</v>
      </c>
      <c r="G117" s="329">
        <f t="shared" si="12"/>
        <v>693.765912564818</v>
      </c>
    </row>
    <row r="118" customHeight="1" spans="1:7">
      <c r="A118" s="314"/>
      <c r="B118" s="327" t="s">
        <v>901</v>
      </c>
      <c r="C118" s="328"/>
      <c r="D118" s="317" t="s">
        <v>896</v>
      </c>
      <c r="E118" s="147">
        <v>83</v>
      </c>
      <c r="F118" s="147">
        <f>施工机械台时费!E36</f>
        <v>0.813242919824491</v>
      </c>
      <c r="G118" s="329">
        <f t="shared" si="12"/>
        <v>67.4991623454328</v>
      </c>
    </row>
    <row r="119" customHeight="1" spans="1:7">
      <c r="A119" s="314"/>
      <c r="B119" s="327" t="s">
        <v>822</v>
      </c>
      <c r="C119" s="328"/>
      <c r="D119" s="317" t="s">
        <v>896</v>
      </c>
      <c r="E119" s="147">
        <v>0.29</v>
      </c>
      <c r="F119" s="147">
        <f>施工机械台时费!E28</f>
        <v>49.389824491424</v>
      </c>
      <c r="G119" s="329">
        <f t="shared" si="12"/>
        <v>14.323049102513</v>
      </c>
    </row>
    <row r="120" customHeight="1" spans="1:7">
      <c r="A120" s="314"/>
      <c r="B120" s="327" t="s">
        <v>898</v>
      </c>
      <c r="C120" s="328"/>
      <c r="D120" s="317" t="s">
        <v>896</v>
      </c>
      <c r="E120" s="147">
        <v>8.59</v>
      </c>
      <c r="F120" s="147">
        <f>施工机械台时费!E58</f>
        <v>31.1021858795373</v>
      </c>
      <c r="G120" s="329">
        <f t="shared" si="12"/>
        <v>267.167776705225</v>
      </c>
    </row>
    <row r="121" customHeight="1" spans="1:7">
      <c r="A121" s="314"/>
      <c r="B121" s="327" t="s">
        <v>902</v>
      </c>
      <c r="C121" s="328"/>
      <c r="D121" s="317" t="s">
        <v>894</v>
      </c>
      <c r="E121" s="152">
        <v>20</v>
      </c>
      <c r="F121" s="147">
        <f>SUM(G116:G120)</f>
        <v>1135.08170845632</v>
      </c>
      <c r="G121" s="329">
        <f>E121*F121/100</f>
        <v>227.016341691264</v>
      </c>
    </row>
    <row r="122" customHeight="1" spans="1:7">
      <c r="A122" s="314" t="s">
        <v>23</v>
      </c>
      <c r="B122" s="327" t="s">
        <v>513</v>
      </c>
      <c r="C122" s="328"/>
      <c r="D122" s="317"/>
      <c r="E122" s="147"/>
      <c r="F122" s="147"/>
      <c r="G122" s="329">
        <f>SUM(G123:G124)</f>
        <v>2405.69714865489</v>
      </c>
    </row>
    <row r="123" customHeight="1" spans="1:7">
      <c r="A123" s="314"/>
      <c r="B123" s="327" t="s">
        <v>903</v>
      </c>
      <c r="C123" s="328"/>
      <c r="D123" s="317" t="s">
        <v>70</v>
      </c>
      <c r="E123" s="147">
        <v>103</v>
      </c>
      <c r="F123" s="147">
        <f>G1441/100</f>
        <v>5.03319379720782</v>
      </c>
      <c r="G123" s="329">
        <f t="shared" ref="G123:G127" si="13">E123*F123</f>
        <v>518.418961112405</v>
      </c>
    </row>
    <row r="124" customHeight="1" spans="1:7">
      <c r="A124" s="314"/>
      <c r="B124" s="327" t="s">
        <v>904</v>
      </c>
      <c r="C124" s="328"/>
      <c r="D124" s="317" t="s">
        <v>70</v>
      </c>
      <c r="E124" s="147">
        <v>103</v>
      </c>
      <c r="F124" s="147">
        <f>G1469/100</f>
        <v>18.3230891994416</v>
      </c>
      <c r="G124" s="329">
        <f t="shared" si="13"/>
        <v>1887.27818754248</v>
      </c>
    </row>
    <row r="125" customHeight="1" spans="1:7">
      <c r="A125" s="314" t="s">
        <v>905</v>
      </c>
      <c r="B125" s="327" t="s">
        <v>514</v>
      </c>
      <c r="C125" s="328"/>
      <c r="D125" s="317"/>
      <c r="E125" s="332">
        <f>G101</f>
        <v>35388.8467575745</v>
      </c>
      <c r="F125" s="155">
        <f>费率表!$F$12</f>
        <v>0.064</v>
      </c>
      <c r="G125" s="329">
        <f t="shared" si="13"/>
        <v>2264.88619248477</v>
      </c>
    </row>
    <row r="126" customHeight="1" spans="1:7">
      <c r="A126" s="314" t="s">
        <v>10</v>
      </c>
      <c r="B126" s="327" t="s">
        <v>770</v>
      </c>
      <c r="C126" s="328"/>
      <c r="D126" s="317"/>
      <c r="E126" s="326">
        <f>G100</f>
        <v>37653.7329500592</v>
      </c>
      <c r="F126" s="155">
        <f>费率表!$F$13</f>
        <v>0.085</v>
      </c>
      <c r="G126" s="329">
        <f t="shared" si="13"/>
        <v>3200.56730075504</v>
      </c>
    </row>
    <row r="127" customHeight="1" spans="1:7">
      <c r="A127" s="314" t="s">
        <v>12</v>
      </c>
      <c r="B127" s="327" t="s">
        <v>771</v>
      </c>
      <c r="C127" s="328"/>
      <c r="D127" s="317"/>
      <c r="E127" s="326">
        <f>G100+G126</f>
        <v>40854.3002508143</v>
      </c>
      <c r="F127" s="156">
        <f>费率表!$F$14</f>
        <v>0.07</v>
      </c>
      <c r="G127" s="329">
        <f t="shared" si="13"/>
        <v>2859.801017557</v>
      </c>
    </row>
    <row r="128" customHeight="1" spans="1:7">
      <c r="A128" s="314" t="s">
        <v>15</v>
      </c>
      <c r="B128" s="327" t="s">
        <v>517</v>
      </c>
      <c r="C128" s="328"/>
      <c r="D128" s="317"/>
      <c r="E128" s="326"/>
      <c r="F128" s="157"/>
      <c r="G128" s="329">
        <f>SUM(G129:G132)</f>
        <v>5848.51067812724</v>
      </c>
    </row>
    <row r="129" customHeight="1" spans="1:7">
      <c r="A129" s="314"/>
      <c r="B129" s="327" t="s">
        <v>729</v>
      </c>
      <c r="C129" s="328"/>
      <c r="D129" s="317" t="s">
        <v>204</v>
      </c>
      <c r="E129" s="326">
        <f>E112*混凝土单价计算表!E5</f>
        <v>25.23059572</v>
      </c>
      <c r="F129" s="438">
        <f>主要材料预算!N5</f>
        <v>139.17214</v>
      </c>
      <c r="G129" s="329">
        <f t="shared" ref="G129:G134" si="14">E129*F129</f>
        <v>3511.39599982724</v>
      </c>
    </row>
    <row r="130" customHeight="1" spans="1:7">
      <c r="A130" s="314"/>
      <c r="B130" s="327" t="s">
        <v>684</v>
      </c>
      <c r="C130" s="328"/>
      <c r="D130" s="317" t="s">
        <v>70</v>
      </c>
      <c r="E130" s="326">
        <f>E112*混凝土单价计算表!$G$5</f>
        <v>57.73768</v>
      </c>
      <c r="F130" s="147"/>
      <c r="G130" s="329">
        <f t="shared" si="14"/>
        <v>0</v>
      </c>
    </row>
    <row r="131" customHeight="1" spans="1:7">
      <c r="A131" s="314"/>
      <c r="B131" s="327" t="s">
        <v>687</v>
      </c>
      <c r="C131" s="328"/>
      <c r="D131" s="317" t="s">
        <v>70</v>
      </c>
      <c r="E131" s="326">
        <f>E112*混凝土单价计算表!I5</f>
        <v>86.623</v>
      </c>
      <c r="F131" s="438">
        <f>主要材料预算!N9</f>
        <v>26.7921</v>
      </c>
      <c r="G131" s="329">
        <f t="shared" si="14"/>
        <v>2320.8120783</v>
      </c>
    </row>
    <row r="132" customHeight="1" spans="1:7">
      <c r="A132" s="314"/>
      <c r="B132" s="327" t="s">
        <v>696</v>
      </c>
      <c r="C132" s="328"/>
      <c r="D132" s="317" t="s">
        <v>695</v>
      </c>
      <c r="E132" s="326">
        <f>E119*7.2</f>
        <v>2.088</v>
      </c>
      <c r="F132" s="438">
        <f>主要材料预算!N14</f>
        <v>7.8077586206897</v>
      </c>
      <c r="G132" s="329">
        <f t="shared" si="14"/>
        <v>16.3026000000001</v>
      </c>
    </row>
    <row r="133" customHeight="1" spans="1:7">
      <c r="A133" s="314" t="s">
        <v>906</v>
      </c>
      <c r="B133" s="327" t="s">
        <v>772</v>
      </c>
      <c r="C133" s="328"/>
      <c r="D133" s="317"/>
      <c r="E133" s="326">
        <f>G100+G126++G127+G128</f>
        <v>49562.6119464985</v>
      </c>
      <c r="F133" s="156">
        <f>费率表!$F$15</f>
        <v>0.09</v>
      </c>
      <c r="G133" s="329">
        <f t="shared" si="14"/>
        <v>4460.63507518487</v>
      </c>
    </row>
    <row r="134" customHeight="1" spans="1:7">
      <c r="A134" s="314"/>
      <c r="B134" s="327" t="s">
        <v>907</v>
      </c>
      <c r="C134" s="328"/>
      <c r="D134" s="317"/>
      <c r="E134" s="326">
        <f>G100+G126+G127+G128+G133</f>
        <v>54023.2470216834</v>
      </c>
      <c r="F134" s="156">
        <f>费率表!$I$19</f>
        <v>0.03</v>
      </c>
      <c r="G134" s="329">
        <f t="shared" si="14"/>
        <v>1620.6974106505</v>
      </c>
    </row>
    <row r="135" customHeight="1" spans="1:7">
      <c r="A135" s="335"/>
      <c r="B135" s="336" t="s">
        <v>908</v>
      </c>
      <c r="C135" s="337"/>
      <c r="D135" s="338"/>
      <c r="E135" s="339"/>
      <c r="F135" s="161"/>
      <c r="G135" s="340">
        <f>G100+G126+G127+G128+G133+G134</f>
        <v>55643.9444323339</v>
      </c>
    </row>
    <row r="137" customHeight="1" spans="1:7">
      <c r="A137" s="394" t="s">
        <v>868</v>
      </c>
      <c r="B137" s="394"/>
      <c r="C137" s="394"/>
      <c r="D137" s="394"/>
      <c r="E137" s="394"/>
      <c r="F137" s="394"/>
      <c r="G137" s="394"/>
    </row>
    <row r="138" customHeight="1" spans="1:7">
      <c r="A138" s="309" t="s">
        <v>869</v>
      </c>
      <c r="B138" s="310"/>
      <c r="C138" s="310" t="s">
        <v>21</v>
      </c>
      <c r="D138" s="310" t="s">
        <v>870</v>
      </c>
      <c r="E138" s="311" t="s">
        <v>919</v>
      </c>
      <c r="F138" s="312"/>
      <c r="G138" s="313"/>
    </row>
    <row r="139" customHeight="1" spans="1:7">
      <c r="A139" s="314" t="s">
        <v>507</v>
      </c>
      <c r="B139" s="315"/>
      <c r="C139" s="316" t="s">
        <v>920</v>
      </c>
      <c r="D139" s="316"/>
      <c r="E139" s="316"/>
      <c r="F139" s="61" t="s">
        <v>873</v>
      </c>
      <c r="G139" s="318" t="s">
        <v>874</v>
      </c>
    </row>
    <row r="140" customHeight="1" spans="1:7">
      <c r="A140" s="319" t="s">
        <v>917</v>
      </c>
      <c r="B140" s="320"/>
      <c r="C140" s="320"/>
      <c r="D140" s="320"/>
      <c r="E140" s="320"/>
      <c r="F140" s="320"/>
      <c r="G140" s="321"/>
    </row>
    <row r="141" customHeight="1" spans="1:7">
      <c r="A141" s="322" t="s">
        <v>912</v>
      </c>
      <c r="B141" s="323"/>
      <c r="C141" s="324"/>
      <c r="D141" s="324"/>
      <c r="E141" s="324"/>
      <c r="F141" s="324"/>
      <c r="G141" s="325"/>
    </row>
    <row r="142" customHeight="1" spans="1:7">
      <c r="A142" s="314" t="s">
        <v>34</v>
      </c>
      <c r="B142" s="317" t="s">
        <v>761</v>
      </c>
      <c r="C142" s="317"/>
      <c r="D142" s="317" t="s">
        <v>60</v>
      </c>
      <c r="E142" s="326" t="s">
        <v>877</v>
      </c>
      <c r="F142" s="61" t="s">
        <v>878</v>
      </c>
      <c r="G142" s="318" t="s">
        <v>879</v>
      </c>
    </row>
    <row r="143" customHeight="1" spans="1:7">
      <c r="A143" s="314" t="s">
        <v>8</v>
      </c>
      <c r="B143" s="327" t="s">
        <v>880</v>
      </c>
      <c r="C143" s="328"/>
      <c r="D143" s="317"/>
      <c r="E143" s="326"/>
      <c r="F143" s="147"/>
      <c r="G143" s="329">
        <f>G144+G168</f>
        <v>43828.3209314221</v>
      </c>
    </row>
    <row r="144" customHeight="1" spans="1:7">
      <c r="A144" s="314" t="s">
        <v>881</v>
      </c>
      <c r="B144" s="327" t="s">
        <v>882</v>
      </c>
      <c r="C144" s="328"/>
      <c r="D144" s="317"/>
      <c r="E144" s="326"/>
      <c r="F144" s="147"/>
      <c r="G144" s="329">
        <f>G145+G148+G158+G165</f>
        <v>41192.0309505847</v>
      </c>
    </row>
    <row r="145" customHeight="1" spans="1:7">
      <c r="A145" s="314" t="s">
        <v>17</v>
      </c>
      <c r="B145" s="327" t="s">
        <v>510</v>
      </c>
      <c r="C145" s="328"/>
      <c r="D145" s="317"/>
      <c r="E145" s="326"/>
      <c r="F145" s="147"/>
      <c r="G145" s="329">
        <f>SUM(G146:G147)</f>
        <v>13059.396</v>
      </c>
    </row>
    <row r="146" customHeight="1" spans="1:7">
      <c r="A146" s="314"/>
      <c r="B146" s="327" t="s">
        <v>704</v>
      </c>
      <c r="C146" s="328"/>
      <c r="D146" s="317" t="s">
        <v>705</v>
      </c>
      <c r="E146" s="423">
        <v>1271.2</v>
      </c>
      <c r="F146" s="423">
        <f>主要材料预算!$D$19</f>
        <v>8.1</v>
      </c>
      <c r="G146" s="329">
        <f t="shared" ref="G146:G149" si="15">E146*F146</f>
        <v>10296.72</v>
      </c>
    </row>
    <row r="147" customHeight="1" spans="1:7">
      <c r="A147" s="314"/>
      <c r="B147" s="327" t="s">
        <v>706</v>
      </c>
      <c r="C147" s="328"/>
      <c r="D147" s="317" t="s">
        <v>705</v>
      </c>
      <c r="E147" s="423">
        <v>478.8</v>
      </c>
      <c r="F147" s="423">
        <f>主要材料预算!$D$20</f>
        <v>5.77</v>
      </c>
      <c r="G147" s="329">
        <f t="shared" si="15"/>
        <v>2762.676</v>
      </c>
    </row>
    <row r="148" customHeight="1" spans="1:7">
      <c r="A148" s="314" t="s">
        <v>19</v>
      </c>
      <c r="B148" s="327" t="s">
        <v>511</v>
      </c>
      <c r="C148" s="328"/>
      <c r="D148" s="317"/>
      <c r="E148" s="326"/>
      <c r="F148" s="147"/>
      <c r="G148" s="329">
        <f>SUM(G149:G157)</f>
        <v>24290.1960897</v>
      </c>
    </row>
    <row r="149" customHeight="1" spans="1:7">
      <c r="A149" s="314"/>
      <c r="B149" s="327" t="s">
        <v>883</v>
      </c>
      <c r="C149" s="328"/>
      <c r="D149" s="317" t="s">
        <v>70</v>
      </c>
      <c r="E149" s="326">
        <v>0.98</v>
      </c>
      <c r="F149" s="147">
        <f>主要材料预算!$L$6</f>
        <v>2209.125</v>
      </c>
      <c r="G149" s="329">
        <f t="shared" si="15"/>
        <v>2164.9425</v>
      </c>
    </row>
    <row r="150" customHeight="1" spans="1:7">
      <c r="A150" s="314"/>
      <c r="B150" s="327" t="s">
        <v>885</v>
      </c>
      <c r="C150" s="328"/>
      <c r="D150" s="317" t="s">
        <v>695</v>
      </c>
      <c r="E150" s="326">
        <v>103.85</v>
      </c>
      <c r="F150" s="147">
        <f>基础材料!$D$9</f>
        <v>4.44</v>
      </c>
      <c r="G150" s="329">
        <f t="shared" ref="G150:G156" si="16">E150*F150</f>
        <v>461.094</v>
      </c>
    </row>
    <row r="151" customHeight="1" spans="1:7">
      <c r="A151" s="314"/>
      <c r="B151" s="327" t="s">
        <v>886</v>
      </c>
      <c r="C151" s="328"/>
      <c r="D151" s="317" t="s">
        <v>695</v>
      </c>
      <c r="E151" s="326">
        <v>73.88</v>
      </c>
      <c r="F151" s="147">
        <f>基础材料!$D$5</f>
        <v>4.5</v>
      </c>
      <c r="G151" s="329">
        <f t="shared" si="16"/>
        <v>332.46</v>
      </c>
    </row>
    <row r="152" customHeight="1" spans="1:7">
      <c r="A152" s="314"/>
      <c r="B152" s="327" t="s">
        <v>887</v>
      </c>
      <c r="C152" s="328"/>
      <c r="D152" s="317" t="s">
        <v>695</v>
      </c>
      <c r="E152" s="326">
        <v>48</v>
      </c>
      <c r="F152" s="147">
        <f>基础材料!$D$8</f>
        <v>5.15</v>
      </c>
      <c r="G152" s="329">
        <f t="shared" si="16"/>
        <v>247.2</v>
      </c>
    </row>
    <row r="153" customHeight="1" spans="1:7">
      <c r="A153" s="314"/>
      <c r="B153" s="327" t="s">
        <v>889</v>
      </c>
      <c r="C153" s="328"/>
      <c r="D153" s="317" t="s">
        <v>695</v>
      </c>
      <c r="E153" s="326">
        <v>328.9</v>
      </c>
      <c r="F153" s="147">
        <f>基础材料!$D$7</f>
        <v>6.39</v>
      </c>
      <c r="G153" s="329">
        <f t="shared" si="16"/>
        <v>2101.671</v>
      </c>
    </row>
    <row r="154" customHeight="1" spans="1:7">
      <c r="A154" s="314"/>
      <c r="B154" s="327" t="s">
        <v>890</v>
      </c>
      <c r="C154" s="328"/>
      <c r="D154" s="317" t="s">
        <v>695</v>
      </c>
      <c r="E154" s="326">
        <v>6.91</v>
      </c>
      <c r="F154" s="147">
        <f>基础材料!$D$57</f>
        <v>5.97</v>
      </c>
      <c r="G154" s="329">
        <f t="shared" si="16"/>
        <v>41.2527</v>
      </c>
    </row>
    <row r="155" customHeight="1" spans="1:7">
      <c r="A155" s="314"/>
      <c r="B155" s="327" t="s">
        <v>921</v>
      </c>
      <c r="C155" s="328"/>
      <c r="D155" s="317" t="s">
        <v>70</v>
      </c>
      <c r="E155" s="326">
        <v>103</v>
      </c>
      <c r="F155" s="147">
        <f>混凝土单价计算表!$M$7</f>
        <v>176.454345</v>
      </c>
      <c r="G155" s="329">
        <f t="shared" si="16"/>
        <v>18174.797535</v>
      </c>
    </row>
    <row r="156" customHeight="1" spans="1:7">
      <c r="A156" s="314"/>
      <c r="B156" s="327" t="s">
        <v>892</v>
      </c>
      <c r="C156" s="328"/>
      <c r="D156" s="317" t="s">
        <v>70</v>
      </c>
      <c r="E156" s="326">
        <v>70</v>
      </c>
      <c r="F156" s="147">
        <f>主要材料预算!$D$16</f>
        <v>4.15</v>
      </c>
      <c r="G156" s="329">
        <f t="shared" si="16"/>
        <v>290.5</v>
      </c>
    </row>
    <row r="157" customHeight="1" spans="1:7">
      <c r="A157" s="314"/>
      <c r="B157" s="327" t="s">
        <v>893</v>
      </c>
      <c r="C157" s="328"/>
      <c r="D157" s="317" t="s">
        <v>894</v>
      </c>
      <c r="E157" s="152">
        <v>2</v>
      </c>
      <c r="F157" s="147">
        <f>SUM(G149:G156)</f>
        <v>23813.917735</v>
      </c>
      <c r="G157" s="329">
        <f>E157*F157/100</f>
        <v>476.2783547</v>
      </c>
    </row>
    <row r="158" customHeight="1" spans="1:7">
      <c r="A158" s="314" t="s">
        <v>21</v>
      </c>
      <c r="B158" s="327" t="s">
        <v>895</v>
      </c>
      <c r="C158" s="328"/>
      <c r="D158" s="317"/>
      <c r="E158" s="147"/>
      <c r="F158" s="147"/>
      <c r="G158" s="329">
        <f>SUM(G159:G164)</f>
        <v>1436.74171222976</v>
      </c>
    </row>
    <row r="159" customHeight="1" spans="1:7">
      <c r="A159" s="314"/>
      <c r="B159" s="327" t="s">
        <v>900</v>
      </c>
      <c r="C159" s="328"/>
      <c r="D159" s="317" t="s">
        <v>896</v>
      </c>
      <c r="E159" s="147">
        <v>30</v>
      </c>
      <c r="F159" s="147">
        <f>施工机械台时费!$E$22</f>
        <v>3.07752692461109</v>
      </c>
      <c r="G159" s="329">
        <f t="shared" ref="G159:G163" si="17">E159*F159</f>
        <v>92.3258077383327</v>
      </c>
    </row>
    <row r="160" customHeight="1" spans="1:7">
      <c r="A160" s="314"/>
      <c r="B160" s="327" t="s">
        <v>899</v>
      </c>
      <c r="C160" s="328"/>
      <c r="D160" s="317" t="s">
        <v>896</v>
      </c>
      <c r="E160" s="147">
        <v>18.54</v>
      </c>
      <c r="F160" s="147">
        <f>施工机械台时费!$E$21</f>
        <v>37.4199521340247</v>
      </c>
      <c r="G160" s="329">
        <f t="shared" si="17"/>
        <v>693.765912564818</v>
      </c>
    </row>
    <row r="161" customHeight="1" spans="1:7">
      <c r="A161" s="314"/>
      <c r="B161" s="327" t="s">
        <v>901</v>
      </c>
      <c r="C161" s="328"/>
      <c r="D161" s="317" t="s">
        <v>896</v>
      </c>
      <c r="E161" s="147">
        <v>83</v>
      </c>
      <c r="F161" s="147">
        <f>施工机械台时费!$E$36</f>
        <v>0.813242919824491</v>
      </c>
      <c r="G161" s="329">
        <f t="shared" si="17"/>
        <v>67.4991623454328</v>
      </c>
    </row>
    <row r="162" customHeight="1" spans="1:7">
      <c r="A162" s="314"/>
      <c r="B162" s="327" t="s">
        <v>822</v>
      </c>
      <c r="C162" s="328"/>
      <c r="D162" s="317" t="s">
        <v>896</v>
      </c>
      <c r="E162" s="147">
        <v>0.46</v>
      </c>
      <c r="F162" s="147">
        <f>施工机械台时费!$E$28</f>
        <v>49.389824491424</v>
      </c>
      <c r="G162" s="329">
        <f t="shared" si="17"/>
        <v>22.719319266055</v>
      </c>
    </row>
    <row r="163" customHeight="1" spans="1:7">
      <c r="A163" s="314"/>
      <c r="B163" s="327" t="s">
        <v>898</v>
      </c>
      <c r="C163" s="328"/>
      <c r="D163" s="317" t="s">
        <v>896</v>
      </c>
      <c r="E163" s="147">
        <v>10.32</v>
      </c>
      <c r="F163" s="147">
        <f>施工机械台时费!$E$58</f>
        <v>31.1021858795373</v>
      </c>
      <c r="G163" s="329">
        <f t="shared" si="17"/>
        <v>320.974558276825</v>
      </c>
    </row>
    <row r="164" customHeight="1" spans="1:7">
      <c r="A164" s="314"/>
      <c r="B164" s="327" t="s">
        <v>902</v>
      </c>
      <c r="C164" s="328"/>
      <c r="D164" s="317" t="s">
        <v>894</v>
      </c>
      <c r="E164" s="152">
        <v>20</v>
      </c>
      <c r="F164" s="147">
        <f>SUM(G159:G163)</f>
        <v>1197.28476019146</v>
      </c>
      <c r="G164" s="329">
        <f>E164*F164/100</f>
        <v>239.456952038293</v>
      </c>
    </row>
    <row r="165" customHeight="1" spans="1:7">
      <c r="A165" s="314" t="s">
        <v>23</v>
      </c>
      <c r="B165" s="327" t="s">
        <v>513</v>
      </c>
      <c r="C165" s="328"/>
      <c r="D165" s="317"/>
      <c r="E165" s="147"/>
      <c r="F165" s="147"/>
      <c r="G165" s="329">
        <f>SUM(G166:G167)</f>
        <v>2405.69714865489</v>
      </c>
    </row>
    <row r="166" customHeight="1" spans="1:7">
      <c r="A166" s="314"/>
      <c r="B166" s="327" t="s">
        <v>903</v>
      </c>
      <c r="C166" s="328"/>
      <c r="D166" s="317" t="s">
        <v>70</v>
      </c>
      <c r="E166" s="147">
        <v>103</v>
      </c>
      <c r="F166" s="147">
        <f>$G$1441/100</f>
        <v>5.03319379720782</v>
      </c>
      <c r="G166" s="329">
        <f t="shared" ref="G166:G170" si="18">E166*F166</f>
        <v>518.418961112405</v>
      </c>
    </row>
    <row r="167" customHeight="1" spans="1:7">
      <c r="A167" s="314"/>
      <c r="B167" s="327" t="s">
        <v>904</v>
      </c>
      <c r="C167" s="328"/>
      <c r="D167" s="317" t="s">
        <v>70</v>
      </c>
      <c r="E167" s="147">
        <v>103</v>
      </c>
      <c r="F167" s="147">
        <f>$G$1469/100</f>
        <v>18.3230891994416</v>
      </c>
      <c r="G167" s="329">
        <f t="shared" si="18"/>
        <v>1887.27818754248</v>
      </c>
    </row>
    <row r="168" customHeight="1" spans="1:7">
      <c r="A168" s="314" t="s">
        <v>905</v>
      </c>
      <c r="B168" s="327" t="s">
        <v>514</v>
      </c>
      <c r="C168" s="328"/>
      <c r="D168" s="317"/>
      <c r="E168" s="332">
        <f>G144</f>
        <v>41192.0309505847</v>
      </c>
      <c r="F168" s="155">
        <f>费率表!$F$12</f>
        <v>0.064</v>
      </c>
      <c r="G168" s="329">
        <f t="shared" si="18"/>
        <v>2636.28998083742</v>
      </c>
    </row>
    <row r="169" customHeight="1" spans="1:7">
      <c r="A169" s="314" t="s">
        <v>10</v>
      </c>
      <c r="B169" s="327" t="s">
        <v>770</v>
      </c>
      <c r="C169" s="328"/>
      <c r="D169" s="317"/>
      <c r="E169" s="326">
        <f>G143</f>
        <v>43828.3209314221</v>
      </c>
      <c r="F169" s="155">
        <f>费率表!$F$13</f>
        <v>0.085</v>
      </c>
      <c r="G169" s="329">
        <f t="shared" si="18"/>
        <v>3725.40727917088</v>
      </c>
    </row>
    <row r="170" customHeight="1" spans="1:7">
      <c r="A170" s="314" t="s">
        <v>12</v>
      </c>
      <c r="B170" s="327" t="s">
        <v>771</v>
      </c>
      <c r="C170" s="328"/>
      <c r="D170" s="317"/>
      <c r="E170" s="326">
        <f>G143+G169</f>
        <v>47553.7282105929</v>
      </c>
      <c r="F170" s="156">
        <f>费率表!$F$14</f>
        <v>0.07</v>
      </c>
      <c r="G170" s="329">
        <f t="shared" si="18"/>
        <v>3328.76097474151</v>
      </c>
    </row>
    <row r="171" customHeight="1" spans="1:7">
      <c r="A171" s="314" t="s">
        <v>15</v>
      </c>
      <c r="B171" s="327" t="s">
        <v>517</v>
      </c>
      <c r="C171" s="328"/>
      <c r="D171" s="317"/>
      <c r="E171" s="326"/>
      <c r="F171" s="157"/>
      <c r="G171" s="329">
        <f>SUM(G172:G175)</f>
        <v>6751.43865862086</v>
      </c>
    </row>
    <row r="172" customHeight="1" spans="1:7">
      <c r="A172" s="314"/>
      <c r="B172" s="327" t="s">
        <v>729</v>
      </c>
      <c r="C172" s="328"/>
      <c r="D172" s="317" t="s">
        <v>204</v>
      </c>
      <c r="E172" s="326">
        <f>E155*混凝土单价计算表!$E$7</f>
        <v>31.641291</v>
      </c>
      <c r="F172" s="438">
        <f>主要材料预算!$N$5</f>
        <v>139.17214</v>
      </c>
      <c r="G172" s="329">
        <f t="shared" ref="G172:G177" si="19">E172*F172</f>
        <v>4403.58618083274</v>
      </c>
    </row>
    <row r="173" customHeight="1" spans="1:7">
      <c r="A173" s="314"/>
      <c r="B173" s="327" t="s">
        <v>684</v>
      </c>
      <c r="C173" s="328"/>
      <c r="D173" s="317" t="s">
        <v>70</v>
      </c>
      <c r="E173" s="326">
        <f>E155*混凝土单价计算表!$G$7</f>
        <v>56.62734</v>
      </c>
      <c r="F173" s="147"/>
      <c r="G173" s="329">
        <f t="shared" si="19"/>
        <v>0</v>
      </c>
    </row>
    <row r="174" customHeight="1" spans="1:7">
      <c r="A174" s="314"/>
      <c r="B174" s="327" t="s">
        <v>687</v>
      </c>
      <c r="C174" s="328"/>
      <c r="D174" s="317" t="s">
        <v>70</v>
      </c>
      <c r="E174" s="326">
        <f>E155*混凝土单价计算表!$I$7</f>
        <v>86.667084</v>
      </c>
      <c r="F174" s="438">
        <f>主要材料预算!$N$9</f>
        <v>26.7921</v>
      </c>
      <c r="G174" s="329">
        <f t="shared" si="19"/>
        <v>2321.9931812364</v>
      </c>
    </row>
    <row r="175" customHeight="1" spans="1:7">
      <c r="A175" s="314"/>
      <c r="B175" s="327" t="s">
        <v>696</v>
      </c>
      <c r="C175" s="328"/>
      <c r="D175" s="317" t="s">
        <v>695</v>
      </c>
      <c r="E175" s="326">
        <f>E162*7.2</f>
        <v>3.312</v>
      </c>
      <c r="F175" s="438">
        <f>主要材料预算!$N$14</f>
        <v>7.8077586206897</v>
      </c>
      <c r="G175" s="329">
        <f t="shared" si="19"/>
        <v>25.8592965517243</v>
      </c>
    </row>
    <row r="176" customHeight="1" spans="1:7">
      <c r="A176" s="314" t="s">
        <v>906</v>
      </c>
      <c r="B176" s="327" t="s">
        <v>772</v>
      </c>
      <c r="C176" s="328"/>
      <c r="D176" s="317"/>
      <c r="E176" s="326">
        <f>G143+G169++G170+G171</f>
        <v>57633.9278439553</v>
      </c>
      <c r="F176" s="156">
        <f>费率表!$F$15</f>
        <v>0.09</v>
      </c>
      <c r="G176" s="329">
        <f t="shared" si="19"/>
        <v>5187.05350595598</v>
      </c>
    </row>
    <row r="177" customHeight="1" spans="1:7">
      <c r="A177" s="314"/>
      <c r="B177" s="327" t="s">
        <v>907</v>
      </c>
      <c r="C177" s="328"/>
      <c r="D177" s="317"/>
      <c r="E177" s="326">
        <f>G143+G169+G170+G171+G176</f>
        <v>62820.9813499113</v>
      </c>
      <c r="F177" s="156">
        <f>费率表!$I$19</f>
        <v>0.03</v>
      </c>
      <c r="G177" s="329">
        <f t="shared" si="19"/>
        <v>1884.62944049734</v>
      </c>
    </row>
    <row r="178" customHeight="1" spans="1:7">
      <c r="A178" s="335"/>
      <c r="B178" s="336" t="s">
        <v>908</v>
      </c>
      <c r="C178" s="337"/>
      <c r="D178" s="338"/>
      <c r="E178" s="339"/>
      <c r="F178" s="161"/>
      <c r="G178" s="340">
        <f>G143+G169+G170+G171+G176+G177</f>
        <v>64705.6107904086</v>
      </c>
    </row>
    <row r="179" customHeight="1" spans="1:7">
      <c r="A179" s="227"/>
      <c r="B179" s="227"/>
      <c r="C179" s="227"/>
      <c r="D179" s="227"/>
      <c r="E179" s="228"/>
      <c r="F179" s="123"/>
      <c r="G179" s="228"/>
    </row>
    <row r="180" customHeight="1" spans="1:7">
      <c r="A180" s="394" t="s">
        <v>868</v>
      </c>
      <c r="B180" s="394"/>
      <c r="C180" s="394"/>
      <c r="D180" s="394"/>
      <c r="E180" s="394"/>
      <c r="F180" s="394"/>
      <c r="G180" s="394"/>
    </row>
    <row r="181" customHeight="1" spans="1:7">
      <c r="A181" s="403" t="s">
        <v>869</v>
      </c>
      <c r="B181" s="404"/>
      <c r="C181" s="404" t="s">
        <v>25</v>
      </c>
      <c r="D181" s="404" t="s">
        <v>870</v>
      </c>
      <c r="E181" s="405" t="s">
        <v>922</v>
      </c>
      <c r="F181" s="406"/>
      <c r="G181" s="407"/>
    </row>
    <row r="182" customHeight="1" spans="1:7">
      <c r="A182" s="408" t="s">
        <v>507</v>
      </c>
      <c r="B182" s="409"/>
      <c r="C182" s="410" t="s">
        <v>923</v>
      </c>
      <c r="D182" s="410"/>
      <c r="E182" s="410"/>
      <c r="F182" s="439" t="s">
        <v>873</v>
      </c>
      <c r="G182" s="412" t="s">
        <v>874</v>
      </c>
    </row>
    <row r="183" customHeight="1" spans="1:7">
      <c r="A183" s="413" t="s">
        <v>924</v>
      </c>
      <c r="B183" s="414"/>
      <c r="C183" s="414"/>
      <c r="D183" s="414"/>
      <c r="E183" s="414"/>
      <c r="F183" s="414"/>
      <c r="G183" s="415"/>
    </row>
    <row r="184" customHeight="1" spans="1:7">
      <c r="A184" s="322" t="s">
        <v>912</v>
      </c>
      <c r="B184" s="323"/>
      <c r="C184" s="324"/>
      <c r="D184" s="324"/>
      <c r="E184" s="324"/>
      <c r="F184" s="324"/>
      <c r="G184" s="325"/>
    </row>
    <row r="185" customHeight="1" spans="1:7">
      <c r="A185" s="314" t="s">
        <v>34</v>
      </c>
      <c r="B185" s="317" t="s">
        <v>761</v>
      </c>
      <c r="C185" s="317"/>
      <c r="D185" s="317" t="s">
        <v>60</v>
      </c>
      <c r="E185" s="326" t="s">
        <v>877</v>
      </c>
      <c r="F185" s="61" t="s">
        <v>878</v>
      </c>
      <c r="G185" s="318" t="s">
        <v>879</v>
      </c>
    </row>
    <row r="186" customHeight="1" spans="1:7">
      <c r="A186" s="314" t="s">
        <v>8</v>
      </c>
      <c r="B186" s="327" t="s">
        <v>880</v>
      </c>
      <c r="C186" s="328"/>
      <c r="D186" s="317"/>
      <c r="E186" s="326"/>
      <c r="F186" s="147"/>
      <c r="G186" s="329">
        <f>G187+G213</f>
        <v>35065.1203954533</v>
      </c>
    </row>
    <row r="187" customHeight="1" spans="1:7">
      <c r="A187" s="314" t="s">
        <v>881</v>
      </c>
      <c r="B187" s="327" t="s">
        <v>882</v>
      </c>
      <c r="C187" s="328"/>
      <c r="D187" s="317"/>
      <c r="E187" s="326"/>
      <c r="F187" s="147"/>
      <c r="G187" s="329">
        <f>G188+G191+G202+G210</f>
        <v>32955.9402212907</v>
      </c>
    </row>
    <row r="188" customHeight="1" spans="1:7">
      <c r="A188" s="314" t="s">
        <v>17</v>
      </c>
      <c r="B188" s="327" t="s">
        <v>510</v>
      </c>
      <c r="C188" s="328"/>
      <c r="D188" s="317"/>
      <c r="E188" s="326"/>
      <c r="F188" s="147"/>
      <c r="G188" s="329">
        <f>SUM(G189:G190)</f>
        <v>8850.076</v>
      </c>
    </row>
    <row r="189" customHeight="1" spans="1:7">
      <c r="A189" s="314"/>
      <c r="B189" s="327" t="s">
        <v>704</v>
      </c>
      <c r="C189" s="328"/>
      <c r="D189" s="317" t="s">
        <v>705</v>
      </c>
      <c r="E189" s="423">
        <v>778.6</v>
      </c>
      <c r="F189" s="423">
        <f>主要材料预算!$D$19</f>
        <v>8.1</v>
      </c>
      <c r="G189" s="329">
        <f t="shared" ref="G189:G192" si="20">E189*F189</f>
        <v>6306.66</v>
      </c>
    </row>
    <row r="190" customHeight="1" spans="1:7">
      <c r="A190" s="314"/>
      <c r="B190" s="327" t="s">
        <v>706</v>
      </c>
      <c r="C190" s="328"/>
      <c r="D190" s="317" t="s">
        <v>705</v>
      </c>
      <c r="E190" s="423">
        <v>440.8</v>
      </c>
      <c r="F190" s="423">
        <f>主要材料预算!$D$20</f>
        <v>5.77</v>
      </c>
      <c r="G190" s="329">
        <f t="shared" si="20"/>
        <v>2543.416</v>
      </c>
    </row>
    <row r="191" customHeight="1" spans="1:7">
      <c r="A191" s="314" t="s">
        <v>19</v>
      </c>
      <c r="B191" s="327" t="s">
        <v>511</v>
      </c>
      <c r="C191" s="328"/>
      <c r="D191" s="317"/>
      <c r="E191" s="326"/>
      <c r="F191" s="147"/>
      <c r="G191" s="329">
        <f>SUM(G192:G201)</f>
        <v>20514.3942597</v>
      </c>
    </row>
    <row r="192" customHeight="1" spans="1:7">
      <c r="A192" s="314"/>
      <c r="B192" s="327" t="s">
        <v>883</v>
      </c>
      <c r="C192" s="328"/>
      <c r="D192" s="317" t="s">
        <v>70</v>
      </c>
      <c r="E192" s="326">
        <v>0.34</v>
      </c>
      <c r="F192" s="147">
        <f>主要材料预算!$L$6</f>
        <v>2209.125</v>
      </c>
      <c r="G192" s="329">
        <f t="shared" si="20"/>
        <v>751.1025</v>
      </c>
    </row>
    <row r="193" customHeight="1" spans="1:7">
      <c r="A193" s="314"/>
      <c r="B193" s="327" t="s">
        <v>885</v>
      </c>
      <c r="C193" s="328"/>
      <c r="D193" s="317" t="s">
        <v>695</v>
      </c>
      <c r="E193" s="326">
        <v>7.52</v>
      </c>
      <c r="F193" s="147">
        <f>基础材料!$D$9</f>
        <v>4.44</v>
      </c>
      <c r="G193" s="329">
        <f t="shared" ref="G193:G200" si="21">E193*F193</f>
        <v>33.3888</v>
      </c>
    </row>
    <row r="194" customHeight="1" spans="1:7">
      <c r="A194" s="314"/>
      <c r="B194" s="327" t="s">
        <v>886</v>
      </c>
      <c r="C194" s="328"/>
      <c r="D194" s="317" t="s">
        <v>695</v>
      </c>
      <c r="E194" s="326">
        <v>18.69</v>
      </c>
      <c r="F194" s="147">
        <f>基础材料!$D$5</f>
        <v>4.5</v>
      </c>
      <c r="G194" s="329">
        <f t="shared" si="21"/>
        <v>84.105</v>
      </c>
    </row>
    <row r="195" customHeight="1" spans="1:7">
      <c r="A195" s="314"/>
      <c r="B195" s="327" t="s">
        <v>887</v>
      </c>
      <c r="C195" s="328"/>
      <c r="D195" s="317" t="s">
        <v>695</v>
      </c>
      <c r="E195" s="326">
        <v>25.11</v>
      </c>
      <c r="F195" s="147">
        <f>基础材料!$D$8</f>
        <v>5.15</v>
      </c>
      <c r="G195" s="329">
        <f t="shared" si="21"/>
        <v>129.3165</v>
      </c>
    </row>
    <row r="196" customHeight="1" spans="1:7">
      <c r="A196" s="314"/>
      <c r="B196" s="327" t="s">
        <v>913</v>
      </c>
      <c r="C196" s="328"/>
      <c r="D196" s="317" t="s">
        <v>695</v>
      </c>
      <c r="E196" s="326">
        <v>0.58</v>
      </c>
      <c r="F196" s="147">
        <f>基础材料!$D$3</f>
        <v>4.04</v>
      </c>
      <c r="G196" s="329">
        <f t="shared" si="21"/>
        <v>2.3432</v>
      </c>
    </row>
    <row r="197" customHeight="1" spans="1:7">
      <c r="A197" s="314"/>
      <c r="B197" s="327" t="s">
        <v>889</v>
      </c>
      <c r="C197" s="328"/>
      <c r="D197" s="317" t="s">
        <v>695</v>
      </c>
      <c r="E197" s="326">
        <v>29.17</v>
      </c>
      <c r="F197" s="147">
        <f>基础材料!$D$7</f>
        <v>6.39</v>
      </c>
      <c r="G197" s="329">
        <f t="shared" si="21"/>
        <v>186.3963</v>
      </c>
    </row>
    <row r="198" customHeight="1" spans="1:7">
      <c r="A198" s="314"/>
      <c r="B198" s="327" t="s">
        <v>890</v>
      </c>
      <c r="C198" s="328"/>
      <c r="D198" s="317" t="s">
        <v>695</v>
      </c>
      <c r="E198" s="326">
        <v>0.62</v>
      </c>
      <c r="F198" s="147">
        <f>基础材料!$D$57</f>
        <v>5.97</v>
      </c>
      <c r="G198" s="329">
        <f t="shared" si="21"/>
        <v>3.7014</v>
      </c>
    </row>
    <row r="199" customHeight="1" spans="1:7">
      <c r="A199" s="314"/>
      <c r="B199" s="327" t="s">
        <v>925</v>
      </c>
      <c r="C199" s="328"/>
      <c r="D199" s="317" t="s">
        <v>70</v>
      </c>
      <c r="E199" s="331">
        <v>103</v>
      </c>
      <c r="F199" s="147">
        <f>混凝土单价计算表!$M$7</f>
        <v>176.454345</v>
      </c>
      <c r="G199" s="329">
        <f t="shared" si="21"/>
        <v>18174.797535</v>
      </c>
    </row>
    <row r="200" customHeight="1" spans="1:7">
      <c r="A200" s="314"/>
      <c r="B200" s="327" t="s">
        <v>892</v>
      </c>
      <c r="C200" s="328"/>
      <c r="D200" s="317" t="s">
        <v>70</v>
      </c>
      <c r="E200" s="331">
        <v>180</v>
      </c>
      <c r="F200" s="147">
        <f>主要材料预算!$D$16</f>
        <v>4.15</v>
      </c>
      <c r="G200" s="329">
        <f t="shared" si="21"/>
        <v>747</v>
      </c>
    </row>
    <row r="201" customHeight="1" spans="1:7">
      <c r="A201" s="314"/>
      <c r="B201" s="327" t="s">
        <v>893</v>
      </c>
      <c r="C201" s="328"/>
      <c r="D201" s="317" t="s">
        <v>894</v>
      </c>
      <c r="E201" s="152">
        <v>2</v>
      </c>
      <c r="F201" s="147">
        <f>SUM(G192:G200)</f>
        <v>20112.151235</v>
      </c>
      <c r="G201" s="329">
        <f>E201*F201/100</f>
        <v>402.2430247</v>
      </c>
    </row>
    <row r="202" customHeight="1" spans="1:7">
      <c r="A202" s="314" t="s">
        <v>21</v>
      </c>
      <c r="B202" s="327" t="s">
        <v>895</v>
      </c>
      <c r="C202" s="328"/>
      <c r="D202" s="317"/>
      <c r="E202" s="147"/>
      <c r="F202" s="147"/>
      <c r="G202" s="329">
        <f>SUM(G203:G209)</f>
        <v>1185.77281293578</v>
      </c>
    </row>
    <row r="203" customHeight="1" spans="1:7">
      <c r="A203" s="314"/>
      <c r="B203" s="327" t="s">
        <v>822</v>
      </c>
      <c r="C203" s="328"/>
      <c r="D203" s="317" t="s">
        <v>896</v>
      </c>
      <c r="E203" s="147">
        <v>0.5</v>
      </c>
      <c r="F203" s="147">
        <f>施工机械台时费!$E$28</f>
        <v>49.389824491424</v>
      </c>
      <c r="G203" s="329">
        <f t="shared" ref="G203:G208" si="22">E203*F203</f>
        <v>24.694912245712</v>
      </c>
    </row>
    <row r="204" customHeight="1" spans="1:7">
      <c r="A204" s="314"/>
      <c r="B204" s="327" t="s">
        <v>926</v>
      </c>
      <c r="C204" s="328"/>
      <c r="D204" s="317" t="s">
        <v>896</v>
      </c>
      <c r="E204" s="147">
        <v>0.96</v>
      </c>
      <c r="F204" s="147">
        <f>施工机械台时费!$E$40</f>
        <v>62.3342780215397</v>
      </c>
      <c r="G204" s="329">
        <f t="shared" si="22"/>
        <v>59.8409069006781</v>
      </c>
    </row>
    <row r="205" customHeight="1" spans="1:7">
      <c r="A205" s="314"/>
      <c r="B205" s="327" t="s">
        <v>898</v>
      </c>
      <c r="C205" s="328"/>
      <c r="D205" s="317" t="s">
        <v>896</v>
      </c>
      <c r="E205" s="147">
        <v>1.06</v>
      </c>
      <c r="F205" s="147">
        <f>施工机械台时费!$E$58</f>
        <v>31.1021858795373</v>
      </c>
      <c r="G205" s="329">
        <f t="shared" si="22"/>
        <v>32.9683170323095</v>
      </c>
    </row>
    <row r="206" customHeight="1" spans="1:7">
      <c r="A206" s="314"/>
      <c r="B206" s="327" t="s">
        <v>899</v>
      </c>
      <c r="C206" s="328"/>
      <c r="D206" s="317" t="s">
        <v>896</v>
      </c>
      <c r="E206" s="147">
        <v>18.54</v>
      </c>
      <c r="F206" s="147">
        <f>施工机械台时费!$E$21</f>
        <v>37.4199521340247</v>
      </c>
      <c r="G206" s="329">
        <f t="shared" si="22"/>
        <v>693.765912564818</v>
      </c>
    </row>
    <row r="207" customHeight="1" spans="1:7">
      <c r="A207" s="314"/>
      <c r="B207" s="327" t="s">
        <v>900</v>
      </c>
      <c r="C207" s="328"/>
      <c r="D207" s="317" t="s">
        <v>896</v>
      </c>
      <c r="E207" s="147">
        <v>49.5</v>
      </c>
      <c r="F207" s="147">
        <f>施工机械台时费!$E$22</f>
        <v>3.07752692461109</v>
      </c>
      <c r="G207" s="329">
        <f t="shared" si="22"/>
        <v>152.337582768249</v>
      </c>
    </row>
    <row r="208" customHeight="1" spans="1:7">
      <c r="A208" s="314"/>
      <c r="B208" s="327" t="s">
        <v>901</v>
      </c>
      <c r="C208" s="328"/>
      <c r="D208" s="317" t="s">
        <v>896</v>
      </c>
      <c r="E208" s="147">
        <v>83</v>
      </c>
      <c r="F208" s="147">
        <f>施工机械台时费!$E$36</f>
        <v>0.813242919824491</v>
      </c>
      <c r="G208" s="329">
        <f t="shared" si="22"/>
        <v>67.4991623454328</v>
      </c>
    </row>
    <row r="209" customHeight="1" spans="1:7">
      <c r="A209" s="314"/>
      <c r="B209" s="327" t="s">
        <v>902</v>
      </c>
      <c r="C209" s="328"/>
      <c r="D209" s="317" t="s">
        <v>894</v>
      </c>
      <c r="E209" s="152">
        <v>15</v>
      </c>
      <c r="F209" s="147">
        <f>SUM(G203:G208)</f>
        <v>1031.1067938572</v>
      </c>
      <c r="G209" s="329">
        <f>E209*F209/100</f>
        <v>154.66601907858</v>
      </c>
    </row>
    <row r="210" customHeight="1" spans="1:7">
      <c r="A210" s="314" t="s">
        <v>23</v>
      </c>
      <c r="B210" s="327" t="s">
        <v>513</v>
      </c>
      <c r="C210" s="328"/>
      <c r="D210" s="317"/>
      <c r="E210" s="147"/>
      <c r="F210" s="147"/>
      <c r="G210" s="329">
        <f>SUM(G211:G212)</f>
        <v>2405.69714865489</v>
      </c>
    </row>
    <row r="211" customHeight="1" spans="1:7">
      <c r="A211" s="314"/>
      <c r="B211" s="327" t="s">
        <v>903</v>
      </c>
      <c r="C211" s="328"/>
      <c r="D211" s="317" t="s">
        <v>70</v>
      </c>
      <c r="E211" s="147">
        <v>103</v>
      </c>
      <c r="F211" s="147">
        <f>$G$1441/100</f>
        <v>5.03319379720782</v>
      </c>
      <c r="G211" s="329">
        <f t="shared" ref="G211:G215" si="23">E211*F211</f>
        <v>518.418961112405</v>
      </c>
    </row>
    <row r="212" customHeight="1" spans="1:7">
      <c r="A212" s="314"/>
      <c r="B212" s="327" t="s">
        <v>904</v>
      </c>
      <c r="C212" s="328"/>
      <c r="D212" s="317" t="s">
        <v>70</v>
      </c>
      <c r="E212" s="147">
        <v>103</v>
      </c>
      <c r="F212" s="147">
        <f>$G$1469/100</f>
        <v>18.3230891994416</v>
      </c>
      <c r="G212" s="329">
        <f t="shared" si="23"/>
        <v>1887.27818754248</v>
      </c>
    </row>
    <row r="213" customHeight="1" spans="1:7">
      <c r="A213" s="314" t="s">
        <v>905</v>
      </c>
      <c r="B213" s="327" t="s">
        <v>514</v>
      </c>
      <c r="C213" s="328"/>
      <c r="D213" s="317"/>
      <c r="E213" s="332">
        <f>G187</f>
        <v>32955.9402212907</v>
      </c>
      <c r="F213" s="155">
        <f>费率表!$F$12</f>
        <v>0.064</v>
      </c>
      <c r="G213" s="329">
        <f t="shared" si="23"/>
        <v>2109.1801741626</v>
      </c>
    </row>
    <row r="214" customHeight="1" spans="1:7">
      <c r="A214" s="314" t="s">
        <v>10</v>
      </c>
      <c r="B214" s="327" t="s">
        <v>770</v>
      </c>
      <c r="C214" s="328"/>
      <c r="D214" s="317"/>
      <c r="E214" s="326">
        <f>G186</f>
        <v>35065.1203954533</v>
      </c>
      <c r="F214" s="155">
        <f>费率表!$F$13</f>
        <v>0.085</v>
      </c>
      <c r="G214" s="329">
        <f t="shared" si="23"/>
        <v>2980.53523361353</v>
      </c>
    </row>
    <row r="215" customHeight="1" spans="1:7">
      <c r="A215" s="314" t="s">
        <v>12</v>
      </c>
      <c r="B215" s="327" t="s">
        <v>771</v>
      </c>
      <c r="C215" s="328"/>
      <c r="D215" s="317"/>
      <c r="E215" s="326">
        <f>G186+G214</f>
        <v>38045.6556290668</v>
      </c>
      <c r="F215" s="156">
        <f>费率表!$F$14</f>
        <v>0.07</v>
      </c>
      <c r="G215" s="329">
        <f t="shared" si="23"/>
        <v>2663.19589403468</v>
      </c>
    </row>
    <row r="216" customHeight="1" spans="1:7">
      <c r="A216" s="314" t="s">
        <v>15</v>
      </c>
      <c r="B216" s="327" t="s">
        <v>517</v>
      </c>
      <c r="C216" s="328"/>
      <c r="D216" s="317"/>
      <c r="E216" s="326"/>
      <c r="F216" s="157"/>
      <c r="G216" s="329">
        <f>SUM(G217:G220)</f>
        <v>6797.16089310362</v>
      </c>
    </row>
    <row r="217" customHeight="1" spans="1:7">
      <c r="A217" s="314"/>
      <c r="B217" s="327" t="s">
        <v>729</v>
      </c>
      <c r="C217" s="328"/>
      <c r="D217" s="317" t="s">
        <v>204</v>
      </c>
      <c r="E217" s="326">
        <f>E199*混凝土单价计算表!$E$7</f>
        <v>31.641291</v>
      </c>
      <c r="F217" s="438">
        <f>主要材料预算!$N$5</f>
        <v>139.17214</v>
      </c>
      <c r="G217" s="329">
        <f t="shared" ref="G217:G222" si="24">E217*F217</f>
        <v>4403.58618083274</v>
      </c>
    </row>
    <row r="218" customHeight="1" spans="1:7">
      <c r="A218" s="314"/>
      <c r="B218" s="327" t="s">
        <v>684</v>
      </c>
      <c r="C218" s="328"/>
      <c r="D218" s="317" t="s">
        <v>70</v>
      </c>
      <c r="E218" s="326">
        <f>E199*混凝土单价计算表!$G$7</f>
        <v>56.62734</v>
      </c>
      <c r="F218" s="147"/>
      <c r="G218" s="329">
        <f t="shared" si="24"/>
        <v>0</v>
      </c>
    </row>
    <row r="219" customHeight="1" spans="1:7">
      <c r="A219" s="314"/>
      <c r="B219" s="327" t="s">
        <v>687</v>
      </c>
      <c r="C219" s="328"/>
      <c r="D219" s="317" t="s">
        <v>70</v>
      </c>
      <c r="E219" s="326">
        <f>E199*混凝土单价计算表!$I$7</f>
        <v>86.667084</v>
      </c>
      <c r="F219" s="438">
        <f>主要材料预算!$N$9</f>
        <v>26.7921</v>
      </c>
      <c r="G219" s="329">
        <f t="shared" si="24"/>
        <v>2321.9931812364</v>
      </c>
    </row>
    <row r="220" customHeight="1" spans="1:7">
      <c r="A220" s="314"/>
      <c r="B220" s="327" t="s">
        <v>696</v>
      </c>
      <c r="C220" s="328"/>
      <c r="D220" s="317" t="s">
        <v>695</v>
      </c>
      <c r="E220" s="326">
        <f>E203*施工机械台时费!K28+施工机械台时费!K40*混凝土!E204</f>
        <v>9.168</v>
      </c>
      <c r="F220" s="438">
        <f>主要材料预算!$N$14</f>
        <v>7.8077586206897</v>
      </c>
      <c r="G220" s="329">
        <f t="shared" si="24"/>
        <v>71.5815310344832</v>
      </c>
    </row>
    <row r="221" customHeight="1" spans="1:7">
      <c r="A221" s="314" t="s">
        <v>906</v>
      </c>
      <c r="B221" s="327" t="s">
        <v>772</v>
      </c>
      <c r="C221" s="328"/>
      <c r="D221" s="317"/>
      <c r="E221" s="326">
        <f>G186+G214++G215+G216</f>
        <v>47506.0124162051</v>
      </c>
      <c r="F221" s="156">
        <f>费率表!$F$15</f>
        <v>0.09</v>
      </c>
      <c r="G221" s="329">
        <f t="shared" si="24"/>
        <v>4275.54111745846</v>
      </c>
    </row>
    <row r="222" customHeight="1" spans="1:7">
      <c r="A222" s="314"/>
      <c r="B222" s="327" t="s">
        <v>907</v>
      </c>
      <c r="C222" s="328"/>
      <c r="D222" s="317"/>
      <c r="E222" s="326">
        <f>G186+G214+G215+G216+G221</f>
        <v>51781.5535336636</v>
      </c>
      <c r="F222" s="156">
        <f>费率表!$I$19</f>
        <v>0.03</v>
      </c>
      <c r="G222" s="329">
        <f t="shared" si="24"/>
        <v>1553.44660600991</v>
      </c>
    </row>
    <row r="223" customHeight="1" spans="1:7">
      <c r="A223" s="335"/>
      <c r="B223" s="336" t="s">
        <v>908</v>
      </c>
      <c r="C223" s="337"/>
      <c r="D223" s="338"/>
      <c r="E223" s="339"/>
      <c r="F223" s="161"/>
      <c r="G223" s="340">
        <f>G186+G214+G215+G216+G221+G222</f>
        <v>53335.0001396735</v>
      </c>
    </row>
    <row r="224" customHeight="1" spans="1:7">
      <c r="A224" s="227"/>
      <c r="B224" s="227"/>
      <c r="C224" s="227"/>
      <c r="D224" s="227"/>
      <c r="E224" s="228"/>
      <c r="F224" s="123"/>
      <c r="G224" s="228"/>
    </row>
    <row r="225" customHeight="1" spans="1:7">
      <c r="A225" s="227"/>
      <c r="B225" s="227"/>
      <c r="C225" s="227"/>
      <c r="D225" s="227"/>
      <c r="E225" s="228"/>
      <c r="F225" s="123"/>
      <c r="G225" s="228"/>
    </row>
    <row r="226" customHeight="1" spans="1:7">
      <c r="A226" s="227"/>
      <c r="B226" s="227"/>
      <c r="C226" s="227"/>
      <c r="D226" s="227"/>
      <c r="E226" s="228"/>
      <c r="F226" s="123"/>
      <c r="G226" s="228"/>
    </row>
    <row r="227" customHeight="1" spans="1:7">
      <c r="A227" s="394" t="s">
        <v>868</v>
      </c>
      <c r="B227" s="394"/>
      <c r="C227" s="394"/>
      <c r="D227" s="394"/>
      <c r="E227" s="394"/>
      <c r="F227" s="394"/>
      <c r="G227" s="394"/>
    </row>
    <row r="228" customHeight="1" spans="1:7">
      <c r="A228" s="309" t="s">
        <v>869</v>
      </c>
      <c r="B228" s="310"/>
      <c r="C228" s="310" t="s">
        <v>23</v>
      </c>
      <c r="D228" s="310" t="s">
        <v>870</v>
      </c>
      <c r="E228" s="311" t="s">
        <v>927</v>
      </c>
      <c r="F228" s="312"/>
      <c r="G228" s="313"/>
    </row>
    <row r="229" customHeight="1" spans="1:7">
      <c r="A229" s="314" t="s">
        <v>507</v>
      </c>
      <c r="B229" s="315"/>
      <c r="C229" s="316" t="s">
        <v>928</v>
      </c>
      <c r="D229" s="316"/>
      <c r="E229" s="316"/>
      <c r="F229" s="61" t="s">
        <v>873</v>
      </c>
      <c r="G229" s="318" t="s">
        <v>874</v>
      </c>
    </row>
    <row r="230" customHeight="1" spans="1:7">
      <c r="A230" s="319" t="s">
        <v>929</v>
      </c>
      <c r="B230" s="320"/>
      <c r="C230" s="320"/>
      <c r="D230" s="320"/>
      <c r="E230" s="320"/>
      <c r="F230" s="320"/>
      <c r="G230" s="321"/>
    </row>
    <row r="231" customHeight="1" spans="1:7">
      <c r="A231" s="322" t="s">
        <v>912</v>
      </c>
      <c r="B231" s="323"/>
      <c r="C231" s="324"/>
      <c r="D231" s="324"/>
      <c r="E231" s="324"/>
      <c r="F231" s="324"/>
      <c r="G231" s="325"/>
    </row>
    <row r="232" customHeight="1" spans="1:7">
      <c r="A232" s="314" t="s">
        <v>34</v>
      </c>
      <c r="B232" s="317" t="s">
        <v>761</v>
      </c>
      <c r="C232" s="317"/>
      <c r="D232" s="317" t="s">
        <v>60</v>
      </c>
      <c r="E232" s="326" t="s">
        <v>877</v>
      </c>
      <c r="F232" s="61" t="s">
        <v>878</v>
      </c>
      <c r="G232" s="318" t="s">
        <v>879</v>
      </c>
    </row>
    <row r="233" customHeight="1" spans="1:7">
      <c r="A233" s="314" t="s">
        <v>8</v>
      </c>
      <c r="B233" s="327" t="s">
        <v>880</v>
      </c>
      <c r="C233" s="328"/>
      <c r="D233" s="317"/>
      <c r="E233" s="326"/>
      <c r="F233" s="147"/>
      <c r="G233" s="329">
        <f>G234+G258</f>
        <v>45744.824016751</v>
      </c>
    </row>
    <row r="234" customHeight="1" spans="1:7">
      <c r="A234" s="314" t="s">
        <v>881</v>
      </c>
      <c r="B234" s="327" t="s">
        <v>882</v>
      </c>
      <c r="C234" s="328"/>
      <c r="D234" s="317"/>
      <c r="E234" s="326"/>
      <c r="F234" s="147"/>
      <c r="G234" s="329">
        <f>G235+G238+G248+G255</f>
        <v>42993.2556548411</v>
      </c>
    </row>
    <row r="235" customHeight="1" spans="1:7">
      <c r="A235" s="314" t="s">
        <v>17</v>
      </c>
      <c r="B235" s="327" t="s">
        <v>510</v>
      </c>
      <c r="C235" s="328"/>
      <c r="D235" s="317"/>
      <c r="E235" s="326"/>
      <c r="F235" s="147"/>
      <c r="G235" s="329">
        <f>SUM(G236:G237)</f>
        <v>15609.106</v>
      </c>
    </row>
    <row r="236" customHeight="1" spans="1:7">
      <c r="A236" s="314"/>
      <c r="B236" s="327" t="s">
        <v>704</v>
      </c>
      <c r="C236" s="328"/>
      <c r="D236" s="317" t="s">
        <v>705</v>
      </c>
      <c r="E236" s="423">
        <v>1604.5</v>
      </c>
      <c r="F236" s="423">
        <f>主要材料预算!$D$19</f>
        <v>8.1</v>
      </c>
      <c r="G236" s="329">
        <f t="shared" ref="G236:G239" si="25">E236*F236</f>
        <v>12996.45</v>
      </c>
    </row>
    <row r="237" customHeight="1" spans="1:7">
      <c r="A237" s="314"/>
      <c r="B237" s="327" t="s">
        <v>706</v>
      </c>
      <c r="C237" s="328"/>
      <c r="D237" s="317" t="s">
        <v>705</v>
      </c>
      <c r="E237" s="423">
        <v>452.8</v>
      </c>
      <c r="F237" s="423">
        <f>主要材料预算!$D$20</f>
        <v>5.77</v>
      </c>
      <c r="G237" s="329">
        <f t="shared" si="25"/>
        <v>2612.656</v>
      </c>
    </row>
    <row r="238" customHeight="1" spans="1:7">
      <c r="A238" s="314" t="s">
        <v>19</v>
      </c>
      <c r="B238" s="327" t="s">
        <v>511</v>
      </c>
      <c r="C238" s="328"/>
      <c r="D238" s="317"/>
      <c r="E238" s="326"/>
      <c r="F238" s="147"/>
      <c r="G238" s="329">
        <f>SUM(G239:G247)</f>
        <v>23813.7055377</v>
      </c>
    </row>
    <row r="239" customHeight="1" spans="1:7">
      <c r="A239" s="314"/>
      <c r="B239" s="327" t="s">
        <v>883</v>
      </c>
      <c r="C239" s="328"/>
      <c r="D239" s="317" t="s">
        <v>70</v>
      </c>
      <c r="E239" s="326">
        <v>0.14</v>
      </c>
      <c r="F239" s="147">
        <f>主要材料预算!$L$6</f>
        <v>2209.125</v>
      </c>
      <c r="G239" s="329">
        <f t="shared" si="25"/>
        <v>309.2775</v>
      </c>
    </row>
    <row r="240" customHeight="1" spans="1:7">
      <c r="A240" s="314"/>
      <c r="B240" s="327" t="s">
        <v>885</v>
      </c>
      <c r="C240" s="328"/>
      <c r="D240" s="317" t="s">
        <v>695</v>
      </c>
      <c r="E240" s="326">
        <v>339.3</v>
      </c>
      <c r="F240" s="147">
        <f>基础材料!$D$9</f>
        <v>4.44</v>
      </c>
      <c r="G240" s="329">
        <f t="shared" ref="G240:G246" si="26">E240*F240</f>
        <v>1506.492</v>
      </c>
    </row>
    <row r="241" customHeight="1" spans="1:7">
      <c r="A241" s="314"/>
      <c r="B241" s="327" t="s">
        <v>886</v>
      </c>
      <c r="C241" s="328"/>
      <c r="D241" s="317" t="s">
        <v>695</v>
      </c>
      <c r="E241" s="326">
        <v>148.47</v>
      </c>
      <c r="F241" s="147">
        <f>基础材料!$D$5</f>
        <v>4.5</v>
      </c>
      <c r="G241" s="329">
        <f t="shared" si="26"/>
        <v>668.115</v>
      </c>
    </row>
    <row r="242" customHeight="1" spans="1:7">
      <c r="A242" s="314"/>
      <c r="B242" s="327" t="s">
        <v>887</v>
      </c>
      <c r="C242" s="328"/>
      <c r="D242" s="317" t="s">
        <v>695</v>
      </c>
      <c r="E242" s="326">
        <v>167.84</v>
      </c>
      <c r="F242" s="147">
        <f>基础材料!$D$8</f>
        <v>5.15</v>
      </c>
      <c r="G242" s="329">
        <f t="shared" si="26"/>
        <v>864.376</v>
      </c>
    </row>
    <row r="243" customHeight="1" spans="1:7">
      <c r="A243" s="314"/>
      <c r="B243" s="327" t="s">
        <v>889</v>
      </c>
      <c r="C243" s="328"/>
      <c r="D243" s="317" t="s">
        <v>695</v>
      </c>
      <c r="E243" s="326">
        <v>180.9</v>
      </c>
      <c r="F243" s="147">
        <f>基础材料!$D$7</f>
        <v>6.39</v>
      </c>
      <c r="G243" s="329">
        <f t="shared" si="26"/>
        <v>1155.951</v>
      </c>
    </row>
    <row r="244" customHeight="1" spans="1:7">
      <c r="A244" s="314"/>
      <c r="B244" s="327" t="s">
        <v>890</v>
      </c>
      <c r="C244" s="328"/>
      <c r="D244" s="317" t="s">
        <v>695</v>
      </c>
      <c r="E244" s="326">
        <v>0.63</v>
      </c>
      <c r="F244" s="147">
        <f>基础材料!$D$57</f>
        <v>5.97</v>
      </c>
      <c r="G244" s="329">
        <f t="shared" si="26"/>
        <v>3.7611</v>
      </c>
    </row>
    <row r="245" customHeight="1" spans="1:7">
      <c r="A245" s="314"/>
      <c r="B245" s="327" t="s">
        <v>925</v>
      </c>
      <c r="C245" s="328"/>
      <c r="D245" s="317" t="s">
        <v>70</v>
      </c>
      <c r="E245" s="331">
        <v>103</v>
      </c>
      <c r="F245" s="147">
        <f>混凝土单价计算表!$M$7</f>
        <v>176.454345</v>
      </c>
      <c r="G245" s="329">
        <f t="shared" si="26"/>
        <v>18174.797535</v>
      </c>
    </row>
    <row r="246" customHeight="1" spans="1:7">
      <c r="A246" s="314"/>
      <c r="B246" s="327" t="s">
        <v>892</v>
      </c>
      <c r="C246" s="328"/>
      <c r="D246" s="317" t="s">
        <v>70</v>
      </c>
      <c r="E246" s="331">
        <v>160</v>
      </c>
      <c r="F246" s="147">
        <f>主要材料预算!$D$16</f>
        <v>4.15</v>
      </c>
      <c r="G246" s="329">
        <f t="shared" si="26"/>
        <v>664</v>
      </c>
    </row>
    <row r="247" customHeight="1" spans="1:7">
      <c r="A247" s="314"/>
      <c r="B247" s="327" t="s">
        <v>893</v>
      </c>
      <c r="C247" s="328"/>
      <c r="D247" s="317" t="s">
        <v>894</v>
      </c>
      <c r="E247" s="152">
        <v>2</v>
      </c>
      <c r="F247" s="147">
        <f>SUM(G239:G246)</f>
        <v>23346.770135</v>
      </c>
      <c r="G247" s="329">
        <f>E247*F247/100</f>
        <v>466.9354027</v>
      </c>
    </row>
    <row r="248" customHeight="1" spans="1:7">
      <c r="A248" s="314" t="s">
        <v>21</v>
      </c>
      <c r="B248" s="327" t="s">
        <v>895</v>
      </c>
      <c r="C248" s="328"/>
      <c r="D248" s="317"/>
      <c r="E248" s="147"/>
      <c r="F248" s="147"/>
      <c r="G248" s="329">
        <f>SUM(G249:G254)</f>
        <v>1164.74696848624</v>
      </c>
    </row>
    <row r="249" customHeight="1" spans="1:7">
      <c r="A249" s="314"/>
      <c r="B249" s="327" t="s">
        <v>899</v>
      </c>
      <c r="C249" s="328"/>
      <c r="D249" s="317" t="s">
        <v>896</v>
      </c>
      <c r="E249" s="147">
        <v>18.54</v>
      </c>
      <c r="F249" s="147">
        <f>施工机械台时费!$E$21</f>
        <v>37.4199521340247</v>
      </c>
      <c r="G249" s="329">
        <f t="shared" ref="G249:G253" si="27">E249*F249</f>
        <v>693.765912564818</v>
      </c>
    </row>
    <row r="250" customHeight="1" spans="1:7">
      <c r="A250" s="314"/>
      <c r="B250" s="327" t="s">
        <v>900</v>
      </c>
      <c r="C250" s="328"/>
      <c r="D250" s="317" t="s">
        <v>896</v>
      </c>
      <c r="E250" s="147">
        <v>49.5</v>
      </c>
      <c r="F250" s="147">
        <f>施工机械台时费!$E$22</f>
        <v>3.07752692461109</v>
      </c>
      <c r="G250" s="329">
        <f t="shared" si="27"/>
        <v>152.337582768249</v>
      </c>
    </row>
    <row r="251" customHeight="1" spans="1:7">
      <c r="A251" s="314"/>
      <c r="B251" s="327" t="s">
        <v>901</v>
      </c>
      <c r="C251" s="328"/>
      <c r="D251" s="317" t="s">
        <v>896</v>
      </c>
      <c r="E251" s="147">
        <v>98</v>
      </c>
      <c r="F251" s="147">
        <f>施工机械台时费!$E$36</f>
        <v>0.813242919824491</v>
      </c>
      <c r="G251" s="329">
        <f t="shared" si="27"/>
        <v>79.6978061428002</v>
      </c>
    </row>
    <row r="252" customHeight="1" spans="1:7">
      <c r="A252" s="314"/>
      <c r="B252" s="327" t="s">
        <v>822</v>
      </c>
      <c r="C252" s="328"/>
      <c r="D252" s="317" t="s">
        <v>896</v>
      </c>
      <c r="E252" s="147">
        <v>1.17</v>
      </c>
      <c r="F252" s="147">
        <f>施工机械台时费!$E$28</f>
        <v>49.389824491424</v>
      </c>
      <c r="G252" s="329">
        <f t="shared" si="27"/>
        <v>57.7860946549661</v>
      </c>
    </row>
    <row r="253" customHeight="1" spans="1:7">
      <c r="A253" s="314"/>
      <c r="B253" s="327" t="s">
        <v>898</v>
      </c>
      <c r="C253" s="328"/>
      <c r="D253" s="317" t="s">
        <v>896</v>
      </c>
      <c r="E253" s="147">
        <v>0.94</v>
      </c>
      <c r="F253" s="147">
        <f>施工机械台时费!$E$58</f>
        <v>31.1021858795373</v>
      </c>
      <c r="G253" s="329">
        <f t="shared" si="27"/>
        <v>29.2360547267651</v>
      </c>
    </row>
    <row r="254" customHeight="1" spans="1:7">
      <c r="A254" s="314"/>
      <c r="B254" s="327" t="s">
        <v>902</v>
      </c>
      <c r="C254" s="328"/>
      <c r="D254" s="317" t="s">
        <v>894</v>
      </c>
      <c r="E254" s="152">
        <v>15</v>
      </c>
      <c r="F254" s="147">
        <f>SUM(G249:G253)</f>
        <v>1012.8234508576</v>
      </c>
      <c r="G254" s="329">
        <f>E254*F254/100</f>
        <v>151.92351762864</v>
      </c>
    </row>
    <row r="255" customHeight="1" spans="1:7">
      <c r="A255" s="314" t="s">
        <v>23</v>
      </c>
      <c r="B255" s="327" t="s">
        <v>513</v>
      </c>
      <c r="C255" s="328"/>
      <c r="D255" s="317"/>
      <c r="E255" s="147"/>
      <c r="F255" s="147"/>
      <c r="G255" s="329">
        <f>SUM(G256:G257)</f>
        <v>2405.69714865489</v>
      </c>
    </row>
    <row r="256" customHeight="1" spans="1:7">
      <c r="A256" s="314"/>
      <c r="B256" s="327" t="s">
        <v>903</v>
      </c>
      <c r="C256" s="328"/>
      <c r="D256" s="317" t="s">
        <v>70</v>
      </c>
      <c r="E256" s="147">
        <v>103</v>
      </c>
      <c r="F256" s="147">
        <f>$G$1441/100</f>
        <v>5.03319379720782</v>
      </c>
      <c r="G256" s="329">
        <f t="shared" ref="G256:G260" si="28">E256*F256</f>
        <v>518.418961112405</v>
      </c>
    </row>
    <row r="257" customHeight="1" spans="1:7">
      <c r="A257" s="314"/>
      <c r="B257" s="327" t="s">
        <v>904</v>
      </c>
      <c r="C257" s="328"/>
      <c r="D257" s="317" t="s">
        <v>70</v>
      </c>
      <c r="E257" s="147">
        <v>103</v>
      </c>
      <c r="F257" s="147">
        <f>$G$1469/100</f>
        <v>18.3230891994416</v>
      </c>
      <c r="G257" s="329">
        <f t="shared" si="28"/>
        <v>1887.27818754248</v>
      </c>
    </row>
    <row r="258" customHeight="1" spans="1:7">
      <c r="A258" s="314" t="s">
        <v>905</v>
      </c>
      <c r="B258" s="327" t="s">
        <v>514</v>
      </c>
      <c r="C258" s="328"/>
      <c r="D258" s="317"/>
      <c r="E258" s="332">
        <f>G234</f>
        <v>42993.2556548411</v>
      </c>
      <c r="F258" s="155">
        <f>费率表!$F$12</f>
        <v>0.064</v>
      </c>
      <c r="G258" s="329">
        <f t="shared" si="28"/>
        <v>2751.56836190983</v>
      </c>
    </row>
    <row r="259" customHeight="1" spans="1:7">
      <c r="A259" s="314" t="s">
        <v>10</v>
      </c>
      <c r="B259" s="327" t="s">
        <v>770</v>
      </c>
      <c r="C259" s="328"/>
      <c r="D259" s="317"/>
      <c r="E259" s="326">
        <f>G233</f>
        <v>45744.824016751</v>
      </c>
      <c r="F259" s="155">
        <f>费率表!$F$13</f>
        <v>0.085</v>
      </c>
      <c r="G259" s="329">
        <f t="shared" si="28"/>
        <v>3888.31004142383</v>
      </c>
    </row>
    <row r="260" customHeight="1" spans="1:7">
      <c r="A260" s="314" t="s">
        <v>12</v>
      </c>
      <c r="B260" s="327" t="s">
        <v>771</v>
      </c>
      <c r="C260" s="328"/>
      <c r="D260" s="317"/>
      <c r="E260" s="326">
        <f>G233+G259</f>
        <v>49633.1340581748</v>
      </c>
      <c r="F260" s="156">
        <f>费率表!$F$14</f>
        <v>0.07</v>
      </c>
      <c r="G260" s="329">
        <f t="shared" si="28"/>
        <v>3474.31938407224</v>
      </c>
    </row>
    <row r="261" customHeight="1" spans="1:7">
      <c r="A261" s="314" t="s">
        <v>15</v>
      </c>
      <c r="B261" s="327" t="s">
        <v>517</v>
      </c>
      <c r="C261" s="328"/>
      <c r="D261" s="317"/>
      <c r="E261" s="326"/>
      <c r="F261" s="157"/>
      <c r="G261" s="329">
        <f>SUM(G262:G265)</f>
        <v>6791.35192068983</v>
      </c>
    </row>
    <row r="262" customHeight="1" spans="1:7">
      <c r="A262" s="314"/>
      <c r="B262" s="327" t="s">
        <v>729</v>
      </c>
      <c r="C262" s="328"/>
      <c r="D262" s="317" t="s">
        <v>204</v>
      </c>
      <c r="E262" s="326">
        <f>E245*混凝土单价计算表!$E$7</f>
        <v>31.641291</v>
      </c>
      <c r="F262" s="438">
        <f>主要材料预算!$N$5</f>
        <v>139.17214</v>
      </c>
      <c r="G262" s="329">
        <f t="shared" ref="G262:G267" si="29">E262*F262</f>
        <v>4403.58618083274</v>
      </c>
    </row>
    <row r="263" customHeight="1" spans="1:7">
      <c r="A263" s="314"/>
      <c r="B263" s="327" t="s">
        <v>684</v>
      </c>
      <c r="C263" s="328"/>
      <c r="D263" s="317" t="s">
        <v>70</v>
      </c>
      <c r="E263" s="326">
        <f>E245*混凝土单价计算表!$G$7</f>
        <v>56.62734</v>
      </c>
      <c r="F263" s="147"/>
      <c r="G263" s="329">
        <f t="shared" si="29"/>
        <v>0</v>
      </c>
    </row>
    <row r="264" customHeight="1" spans="1:7">
      <c r="A264" s="314"/>
      <c r="B264" s="327" t="s">
        <v>687</v>
      </c>
      <c r="C264" s="328"/>
      <c r="D264" s="317" t="s">
        <v>70</v>
      </c>
      <c r="E264" s="326">
        <f>E245*混凝土单价计算表!$I$7</f>
        <v>86.667084</v>
      </c>
      <c r="F264" s="438">
        <f>主要材料预算!$N$9</f>
        <v>26.7921</v>
      </c>
      <c r="G264" s="329">
        <f t="shared" si="29"/>
        <v>2321.9931812364</v>
      </c>
    </row>
    <row r="265" customHeight="1" spans="1:7">
      <c r="A265" s="314"/>
      <c r="B265" s="327" t="s">
        <v>696</v>
      </c>
      <c r="C265" s="328"/>
      <c r="D265" s="317" t="s">
        <v>695</v>
      </c>
      <c r="E265" s="326">
        <f>E252*7.2</f>
        <v>8.424</v>
      </c>
      <c r="F265" s="438">
        <f>主要材料预算!$N$14</f>
        <v>7.8077586206897</v>
      </c>
      <c r="G265" s="329">
        <f t="shared" si="29"/>
        <v>65.77255862069</v>
      </c>
    </row>
    <row r="266" customHeight="1" spans="1:7">
      <c r="A266" s="314" t="s">
        <v>906</v>
      </c>
      <c r="B266" s="327" t="s">
        <v>772</v>
      </c>
      <c r="C266" s="328"/>
      <c r="D266" s="317"/>
      <c r="E266" s="326">
        <f>G233+G259++G260+G261</f>
        <v>59898.8053629369</v>
      </c>
      <c r="F266" s="156">
        <f>费率表!$F$15</f>
        <v>0.09</v>
      </c>
      <c r="G266" s="329">
        <f t="shared" si="29"/>
        <v>5390.89248266432</v>
      </c>
    </row>
    <row r="267" customHeight="1" spans="1:7">
      <c r="A267" s="314"/>
      <c r="B267" s="327" t="s">
        <v>907</v>
      </c>
      <c r="C267" s="328"/>
      <c r="D267" s="317"/>
      <c r="E267" s="326">
        <f>G233+G259+G260+G261+G266</f>
        <v>65289.6978456012</v>
      </c>
      <c r="F267" s="156">
        <f>费率表!$I$19</f>
        <v>0.03</v>
      </c>
      <c r="G267" s="329">
        <f t="shared" si="29"/>
        <v>1958.69093536804</v>
      </c>
    </row>
    <row r="268" customHeight="1" spans="1:7">
      <c r="A268" s="335"/>
      <c r="B268" s="336" t="s">
        <v>908</v>
      </c>
      <c r="C268" s="337"/>
      <c r="D268" s="338"/>
      <c r="E268" s="339"/>
      <c r="F268" s="161"/>
      <c r="G268" s="340">
        <f>G233+G259+G260+G261+G266+G267</f>
        <v>67248.3887809692</v>
      </c>
    </row>
    <row r="269" customHeight="1" spans="1:7">
      <c r="A269" s="227"/>
      <c r="B269" s="227"/>
      <c r="C269" s="227"/>
      <c r="D269" s="227"/>
      <c r="E269" s="228"/>
      <c r="F269" s="123"/>
      <c r="G269" s="228"/>
    </row>
    <row r="270" customHeight="1" spans="1:7">
      <c r="A270" s="394" t="s">
        <v>868</v>
      </c>
      <c r="B270" s="394"/>
      <c r="C270" s="394"/>
      <c r="D270" s="394"/>
      <c r="E270" s="394"/>
      <c r="F270" s="394"/>
      <c r="G270" s="394"/>
    </row>
    <row r="271" customHeight="1" spans="1:7">
      <c r="A271" s="309" t="s">
        <v>869</v>
      </c>
      <c r="B271" s="310"/>
      <c r="C271" s="310" t="s">
        <v>23</v>
      </c>
      <c r="D271" s="310" t="s">
        <v>870</v>
      </c>
      <c r="E271" s="311" t="s">
        <v>930</v>
      </c>
      <c r="F271" s="312"/>
      <c r="G271" s="313"/>
    </row>
    <row r="272" customHeight="1" spans="1:7">
      <c r="A272" s="314" t="s">
        <v>507</v>
      </c>
      <c r="B272" s="315"/>
      <c r="C272" s="316" t="s">
        <v>931</v>
      </c>
      <c r="D272" s="316"/>
      <c r="E272" s="316"/>
      <c r="F272" s="61" t="s">
        <v>873</v>
      </c>
      <c r="G272" s="318" t="s">
        <v>874</v>
      </c>
    </row>
    <row r="273" customHeight="1" spans="1:7">
      <c r="A273" s="319" t="s">
        <v>929</v>
      </c>
      <c r="B273" s="320"/>
      <c r="C273" s="320"/>
      <c r="D273" s="320"/>
      <c r="E273" s="320"/>
      <c r="F273" s="320"/>
      <c r="G273" s="321"/>
    </row>
    <row r="274" customHeight="1" spans="1:7">
      <c r="A274" s="322" t="s">
        <v>912</v>
      </c>
      <c r="B274" s="323"/>
      <c r="C274" s="324"/>
      <c r="D274" s="324"/>
      <c r="E274" s="324"/>
      <c r="F274" s="324"/>
      <c r="G274" s="325"/>
    </row>
    <row r="275" customHeight="1" spans="1:7">
      <c r="A275" s="314" t="s">
        <v>34</v>
      </c>
      <c r="B275" s="317" t="s">
        <v>761</v>
      </c>
      <c r="C275" s="317"/>
      <c r="D275" s="317" t="s">
        <v>60</v>
      </c>
      <c r="E275" s="326" t="s">
        <v>877</v>
      </c>
      <c r="F275" s="61" t="s">
        <v>878</v>
      </c>
      <c r="G275" s="318" t="s">
        <v>879</v>
      </c>
    </row>
    <row r="276" customHeight="1" spans="1:7">
      <c r="A276" s="314" t="s">
        <v>8</v>
      </c>
      <c r="B276" s="327" t="s">
        <v>880</v>
      </c>
      <c r="C276" s="328"/>
      <c r="D276" s="317"/>
      <c r="E276" s="326"/>
      <c r="F276" s="147"/>
      <c r="G276" s="329">
        <f>G277+G301</f>
        <v>39802.7748817652</v>
      </c>
    </row>
    <row r="277" customHeight="1" spans="1:7">
      <c r="A277" s="314" t="s">
        <v>881</v>
      </c>
      <c r="B277" s="327" t="s">
        <v>882</v>
      </c>
      <c r="C277" s="328"/>
      <c r="D277" s="317"/>
      <c r="E277" s="326"/>
      <c r="F277" s="147"/>
      <c r="G277" s="329">
        <f>G278+G281+G291+G298</f>
        <v>37408.6230091778</v>
      </c>
    </row>
    <row r="278" customHeight="1" spans="1:7">
      <c r="A278" s="314" t="s">
        <v>17</v>
      </c>
      <c r="B278" s="327" t="s">
        <v>510</v>
      </c>
      <c r="C278" s="328"/>
      <c r="D278" s="317"/>
      <c r="E278" s="326"/>
      <c r="F278" s="147"/>
      <c r="G278" s="329">
        <f>SUM(G279:G280)</f>
        <v>11341.06</v>
      </c>
    </row>
    <row r="279" customHeight="1" spans="1:7">
      <c r="A279" s="314"/>
      <c r="B279" s="327" t="s">
        <v>704</v>
      </c>
      <c r="C279" s="328"/>
      <c r="D279" s="317" t="s">
        <v>705</v>
      </c>
      <c r="E279" s="423">
        <v>1138.7</v>
      </c>
      <c r="F279" s="423">
        <f>主要材料预算!$D$19</f>
        <v>8.1</v>
      </c>
      <c r="G279" s="329">
        <f t="shared" ref="G279:G282" si="30">E279*F279</f>
        <v>9223.47</v>
      </c>
    </row>
    <row r="280" customHeight="1" spans="1:7">
      <c r="A280" s="314"/>
      <c r="B280" s="327" t="s">
        <v>706</v>
      </c>
      <c r="C280" s="328"/>
      <c r="D280" s="317" t="s">
        <v>705</v>
      </c>
      <c r="E280" s="423">
        <v>367</v>
      </c>
      <c r="F280" s="423">
        <f>主要材料预算!$D$20</f>
        <v>5.77</v>
      </c>
      <c r="G280" s="329">
        <f t="shared" si="30"/>
        <v>2117.59</v>
      </c>
    </row>
    <row r="281" customHeight="1" spans="1:7">
      <c r="A281" s="314" t="s">
        <v>19</v>
      </c>
      <c r="B281" s="327" t="s">
        <v>511</v>
      </c>
      <c r="C281" s="328"/>
      <c r="D281" s="317"/>
      <c r="E281" s="326"/>
      <c r="F281" s="147"/>
      <c r="G281" s="329">
        <f>SUM(G282:G290)</f>
        <v>22569.567438</v>
      </c>
    </row>
    <row r="282" customHeight="1" spans="1:7">
      <c r="A282" s="314"/>
      <c r="B282" s="327" t="s">
        <v>883</v>
      </c>
      <c r="C282" s="328"/>
      <c r="D282" s="317" t="s">
        <v>70</v>
      </c>
      <c r="E282" s="326">
        <v>0.07</v>
      </c>
      <c r="F282" s="147">
        <f>主要材料预算!$L$6</f>
        <v>2209.125</v>
      </c>
      <c r="G282" s="329">
        <f t="shared" si="30"/>
        <v>154.63875</v>
      </c>
    </row>
    <row r="283" customHeight="1" spans="1:7">
      <c r="A283" s="314"/>
      <c r="B283" s="327" t="s">
        <v>885</v>
      </c>
      <c r="C283" s="328"/>
      <c r="D283" s="317" t="s">
        <v>695</v>
      </c>
      <c r="E283" s="326">
        <v>203.58</v>
      </c>
      <c r="F283" s="147">
        <f>基础材料!$D$9</f>
        <v>4.44</v>
      </c>
      <c r="G283" s="329">
        <f t="shared" ref="G283:G289" si="31">E283*F283</f>
        <v>903.8952</v>
      </c>
    </row>
    <row r="284" customHeight="1" spans="1:7">
      <c r="A284" s="314"/>
      <c r="B284" s="327" t="s">
        <v>886</v>
      </c>
      <c r="C284" s="328"/>
      <c r="D284" s="317" t="s">
        <v>695</v>
      </c>
      <c r="E284" s="326">
        <v>89</v>
      </c>
      <c r="F284" s="147">
        <f>基础材料!$D$5</f>
        <v>4.5</v>
      </c>
      <c r="G284" s="329">
        <f t="shared" si="31"/>
        <v>400.5</v>
      </c>
    </row>
    <row r="285" customHeight="1" spans="1:7">
      <c r="A285" s="314"/>
      <c r="B285" s="327" t="s">
        <v>887</v>
      </c>
      <c r="C285" s="328"/>
      <c r="D285" s="317" t="s">
        <v>695</v>
      </c>
      <c r="E285" s="326">
        <v>100.64</v>
      </c>
      <c r="F285" s="147">
        <f>基础材料!$D$8</f>
        <v>5.15</v>
      </c>
      <c r="G285" s="329">
        <f t="shared" si="31"/>
        <v>518.296</v>
      </c>
    </row>
    <row r="286" customHeight="1" spans="1:7">
      <c r="A286" s="314"/>
      <c r="B286" s="327" t="s">
        <v>889</v>
      </c>
      <c r="C286" s="328"/>
      <c r="D286" s="317" t="s">
        <v>695</v>
      </c>
      <c r="E286" s="326">
        <v>108</v>
      </c>
      <c r="F286" s="147">
        <f>基础材料!$D$7</f>
        <v>6.39</v>
      </c>
      <c r="G286" s="329">
        <f t="shared" si="31"/>
        <v>690.12</v>
      </c>
    </row>
    <row r="287" customHeight="1" spans="1:7">
      <c r="A287" s="314"/>
      <c r="B287" s="327" t="s">
        <v>890</v>
      </c>
      <c r="C287" s="328"/>
      <c r="D287" s="317" t="s">
        <v>695</v>
      </c>
      <c r="E287" s="326">
        <v>0.39</v>
      </c>
      <c r="F287" s="147">
        <f>基础材料!$D$57</f>
        <v>5.97</v>
      </c>
      <c r="G287" s="329">
        <f t="shared" si="31"/>
        <v>2.3283</v>
      </c>
    </row>
    <row r="288" customHeight="1" spans="1:7">
      <c r="A288" s="314"/>
      <c r="B288" s="327" t="s">
        <v>932</v>
      </c>
      <c r="C288" s="328"/>
      <c r="D288" s="317" t="s">
        <v>70</v>
      </c>
      <c r="E288" s="331">
        <v>103</v>
      </c>
      <c r="F288" s="147">
        <f>混凝土单价计算表!$M$10</f>
        <v>183.26455</v>
      </c>
      <c r="G288" s="329">
        <f t="shared" si="31"/>
        <v>18876.24865</v>
      </c>
    </row>
    <row r="289" customHeight="1" spans="1:7">
      <c r="A289" s="314"/>
      <c r="B289" s="327" t="s">
        <v>892</v>
      </c>
      <c r="C289" s="328"/>
      <c r="D289" s="317" t="s">
        <v>70</v>
      </c>
      <c r="E289" s="331">
        <v>140</v>
      </c>
      <c r="F289" s="147">
        <f>主要材料预算!$D$16</f>
        <v>4.15</v>
      </c>
      <c r="G289" s="329">
        <f t="shared" si="31"/>
        <v>581</v>
      </c>
    </row>
    <row r="290" customHeight="1" spans="1:7">
      <c r="A290" s="314"/>
      <c r="B290" s="327" t="s">
        <v>893</v>
      </c>
      <c r="C290" s="328"/>
      <c r="D290" s="317" t="s">
        <v>894</v>
      </c>
      <c r="E290" s="152">
        <v>2</v>
      </c>
      <c r="F290" s="147">
        <f>SUM(G282:G289)</f>
        <v>22127.0269</v>
      </c>
      <c r="G290" s="329">
        <f>E290*F290/100</f>
        <v>442.540538</v>
      </c>
    </row>
    <row r="291" customHeight="1" spans="1:7">
      <c r="A291" s="314" t="s">
        <v>21</v>
      </c>
      <c r="B291" s="327" t="s">
        <v>895</v>
      </c>
      <c r="C291" s="328"/>
      <c r="D291" s="317"/>
      <c r="E291" s="147"/>
      <c r="F291" s="147"/>
      <c r="G291" s="329">
        <f>SUM(G292:G297)</f>
        <v>1092.29842252294</v>
      </c>
    </row>
    <row r="292" customHeight="1" spans="1:7">
      <c r="A292" s="314"/>
      <c r="B292" s="327" t="s">
        <v>899</v>
      </c>
      <c r="C292" s="328"/>
      <c r="D292" s="317" t="s">
        <v>896</v>
      </c>
      <c r="E292" s="147">
        <v>18.54</v>
      </c>
      <c r="F292" s="147">
        <f>施工机械台时费!$E$21</f>
        <v>37.4199521340247</v>
      </c>
      <c r="G292" s="329">
        <f t="shared" ref="G292:G296" si="32">E292*F292</f>
        <v>693.765912564818</v>
      </c>
    </row>
    <row r="293" customHeight="1" spans="1:7">
      <c r="A293" s="314"/>
      <c r="B293" s="327" t="s">
        <v>900</v>
      </c>
      <c r="C293" s="328"/>
      <c r="D293" s="317" t="s">
        <v>896</v>
      </c>
      <c r="E293" s="147">
        <v>40.05</v>
      </c>
      <c r="F293" s="147">
        <f>施工机械台时费!$E$22</f>
        <v>3.07752692461109</v>
      </c>
      <c r="G293" s="329">
        <f t="shared" si="32"/>
        <v>123.254953330674</v>
      </c>
    </row>
    <row r="294" customHeight="1" spans="1:7">
      <c r="A294" s="314"/>
      <c r="B294" s="327" t="s">
        <v>901</v>
      </c>
      <c r="C294" s="328"/>
      <c r="D294" s="317" t="s">
        <v>896</v>
      </c>
      <c r="E294" s="147">
        <v>98</v>
      </c>
      <c r="F294" s="147">
        <f>施工机械台时费!$E$36</f>
        <v>0.813242919824491</v>
      </c>
      <c r="G294" s="329">
        <f t="shared" si="32"/>
        <v>79.6978061428002</v>
      </c>
    </row>
    <row r="295" customHeight="1" spans="1:7">
      <c r="A295" s="314"/>
      <c r="B295" s="327" t="s">
        <v>822</v>
      </c>
      <c r="C295" s="328"/>
      <c r="D295" s="317" t="s">
        <v>896</v>
      </c>
      <c r="E295" s="147">
        <v>0.71</v>
      </c>
      <c r="F295" s="147">
        <f>施工机械台时费!$E$28</f>
        <v>49.389824491424</v>
      </c>
      <c r="G295" s="329">
        <f t="shared" si="32"/>
        <v>35.066775388911</v>
      </c>
    </row>
    <row r="296" customHeight="1" spans="1:7">
      <c r="A296" s="314"/>
      <c r="B296" s="327" t="s">
        <v>898</v>
      </c>
      <c r="C296" s="328"/>
      <c r="D296" s="317" t="s">
        <v>896</v>
      </c>
      <c r="E296" s="147">
        <v>0.58</v>
      </c>
      <c r="F296" s="147">
        <f>施工机械台时费!$E$58</f>
        <v>31.1021858795373</v>
      </c>
      <c r="G296" s="329">
        <f t="shared" si="32"/>
        <v>18.0392678101316</v>
      </c>
    </row>
    <row r="297" customHeight="1" spans="1:7">
      <c r="A297" s="314"/>
      <c r="B297" s="327" t="s">
        <v>902</v>
      </c>
      <c r="C297" s="328"/>
      <c r="D297" s="317" t="s">
        <v>894</v>
      </c>
      <c r="E297" s="152">
        <v>15</v>
      </c>
      <c r="F297" s="147">
        <f>SUM(G292:G296)</f>
        <v>949.824715237335</v>
      </c>
      <c r="G297" s="329">
        <f>E297*F297/100</f>
        <v>142.4737072856</v>
      </c>
    </row>
    <row r="298" customHeight="1" spans="1:7">
      <c r="A298" s="314" t="s">
        <v>23</v>
      </c>
      <c r="B298" s="327" t="s">
        <v>513</v>
      </c>
      <c r="C298" s="328"/>
      <c r="D298" s="317"/>
      <c r="E298" s="147"/>
      <c r="F298" s="147"/>
      <c r="G298" s="329">
        <f>SUM(G299:G300)</f>
        <v>2405.69714865489</v>
      </c>
    </row>
    <row r="299" customHeight="1" spans="1:7">
      <c r="A299" s="314"/>
      <c r="B299" s="327" t="s">
        <v>903</v>
      </c>
      <c r="C299" s="328"/>
      <c r="D299" s="317" t="s">
        <v>70</v>
      </c>
      <c r="E299" s="147">
        <v>103</v>
      </c>
      <c r="F299" s="147">
        <f>$G$1441/100</f>
        <v>5.03319379720782</v>
      </c>
      <c r="G299" s="329">
        <f t="shared" ref="G299:G303" si="33">E299*F299</f>
        <v>518.418961112405</v>
      </c>
    </row>
    <row r="300" customHeight="1" spans="1:7">
      <c r="A300" s="314"/>
      <c r="B300" s="327" t="s">
        <v>904</v>
      </c>
      <c r="C300" s="328"/>
      <c r="D300" s="317" t="s">
        <v>70</v>
      </c>
      <c r="E300" s="147">
        <v>103</v>
      </c>
      <c r="F300" s="147">
        <f>$G$1469/100</f>
        <v>18.3230891994416</v>
      </c>
      <c r="G300" s="329">
        <f t="shared" si="33"/>
        <v>1887.27818754248</v>
      </c>
    </row>
    <row r="301" customHeight="1" spans="1:7">
      <c r="A301" s="314" t="s">
        <v>905</v>
      </c>
      <c r="B301" s="327" t="s">
        <v>514</v>
      </c>
      <c r="C301" s="328"/>
      <c r="D301" s="317"/>
      <c r="E301" s="332">
        <f>G277</f>
        <v>37408.6230091778</v>
      </c>
      <c r="F301" s="155">
        <f>费率表!$F$12</f>
        <v>0.064</v>
      </c>
      <c r="G301" s="329">
        <f t="shared" si="33"/>
        <v>2394.15187258738</v>
      </c>
    </row>
    <row r="302" customHeight="1" spans="1:7">
      <c r="A302" s="314" t="s">
        <v>10</v>
      </c>
      <c r="B302" s="327" t="s">
        <v>770</v>
      </c>
      <c r="C302" s="328"/>
      <c r="D302" s="317"/>
      <c r="E302" s="326">
        <f>G276</f>
        <v>39802.7748817652</v>
      </c>
      <c r="F302" s="155">
        <f>费率表!$F$13</f>
        <v>0.085</v>
      </c>
      <c r="G302" s="329">
        <f t="shared" si="33"/>
        <v>3383.23586495004</v>
      </c>
    </row>
    <row r="303" customHeight="1" spans="1:7">
      <c r="A303" s="314" t="s">
        <v>12</v>
      </c>
      <c r="B303" s="327" t="s">
        <v>771</v>
      </c>
      <c r="C303" s="328"/>
      <c r="D303" s="317"/>
      <c r="E303" s="326">
        <f>G276+G302</f>
        <v>43186.0107467153</v>
      </c>
      <c r="F303" s="156">
        <f>费率表!$F$14</f>
        <v>0.07</v>
      </c>
      <c r="G303" s="329">
        <f t="shared" si="33"/>
        <v>3023.02075227007</v>
      </c>
    </row>
    <row r="304" customHeight="1" spans="1:7">
      <c r="A304" s="314" t="s">
        <v>15</v>
      </c>
      <c r="B304" s="327" t="s">
        <v>517</v>
      </c>
      <c r="C304" s="328"/>
      <c r="D304" s="317"/>
      <c r="E304" s="326"/>
      <c r="F304" s="157"/>
      <c r="G304" s="329">
        <f>SUM(G305:G308)</f>
        <v>7234.53368316897</v>
      </c>
    </row>
    <row r="305" customHeight="1" spans="1:7">
      <c r="A305" s="314"/>
      <c r="B305" s="327" t="s">
        <v>729</v>
      </c>
      <c r="C305" s="328"/>
      <c r="D305" s="317" t="s">
        <v>204</v>
      </c>
      <c r="E305" s="326">
        <f>E288*混凝土单价计算表!$E$10</f>
        <v>35.02</v>
      </c>
      <c r="F305" s="438">
        <f>主要材料预算!$N$5</f>
        <v>139.17214</v>
      </c>
      <c r="G305" s="329">
        <f t="shared" ref="G305:G310" si="34">E305*F305</f>
        <v>4873.8083428</v>
      </c>
    </row>
    <row r="306" customHeight="1" spans="1:7">
      <c r="A306" s="314"/>
      <c r="B306" s="327" t="s">
        <v>684</v>
      </c>
      <c r="C306" s="328"/>
      <c r="D306" s="317" t="s">
        <v>70</v>
      </c>
      <c r="E306" s="326">
        <f>E288*混凝土单价计算表!$G$10</f>
        <v>54.384</v>
      </c>
      <c r="F306" s="147"/>
      <c r="G306" s="329">
        <f t="shared" si="34"/>
        <v>0</v>
      </c>
    </row>
    <row r="307" customHeight="1" spans="1:7">
      <c r="A307" s="314"/>
      <c r="B307" s="327" t="s">
        <v>687</v>
      </c>
      <c r="C307" s="328"/>
      <c r="D307" s="317" t="s">
        <v>70</v>
      </c>
      <c r="E307" s="326">
        <f>E288*混凝土单价计算表!$I$10</f>
        <v>86.623</v>
      </c>
      <c r="F307" s="438">
        <f>主要材料预算!$N$9</f>
        <v>26.7921</v>
      </c>
      <c r="G307" s="329">
        <f t="shared" si="34"/>
        <v>2320.8120783</v>
      </c>
    </row>
    <row r="308" customHeight="1" spans="1:7">
      <c r="A308" s="314"/>
      <c r="B308" s="327" t="s">
        <v>696</v>
      </c>
      <c r="C308" s="328"/>
      <c r="D308" s="317" t="s">
        <v>695</v>
      </c>
      <c r="E308" s="326">
        <f>E295*7.2</f>
        <v>5.112</v>
      </c>
      <c r="F308" s="438">
        <f>主要材料预算!$N$14</f>
        <v>7.8077586206897</v>
      </c>
      <c r="G308" s="329">
        <f t="shared" si="34"/>
        <v>39.9132620689657</v>
      </c>
    </row>
    <row r="309" customHeight="1" spans="1:7">
      <c r="A309" s="314" t="s">
        <v>906</v>
      </c>
      <c r="B309" s="327" t="s">
        <v>772</v>
      </c>
      <c r="C309" s="328"/>
      <c r="D309" s="317"/>
      <c r="E309" s="326">
        <f>G276+G302++G303+G304</f>
        <v>53443.5651821543</v>
      </c>
      <c r="F309" s="156">
        <f>费率表!$F$15</f>
        <v>0.09</v>
      </c>
      <c r="G309" s="329">
        <f t="shared" si="34"/>
        <v>4809.92086639389</v>
      </c>
    </row>
    <row r="310" customHeight="1" spans="1:7">
      <c r="A310" s="314"/>
      <c r="B310" s="327" t="s">
        <v>907</v>
      </c>
      <c r="C310" s="328"/>
      <c r="D310" s="317"/>
      <c r="E310" s="326">
        <f>G276+G302+G303+G304+G309</f>
        <v>58253.4860485482</v>
      </c>
      <c r="F310" s="156">
        <f>费率表!$I$19</f>
        <v>0.03</v>
      </c>
      <c r="G310" s="329">
        <f t="shared" si="34"/>
        <v>1747.60458145644</v>
      </c>
    </row>
    <row r="311" customHeight="1" spans="1:7">
      <c r="A311" s="335"/>
      <c r="B311" s="336" t="s">
        <v>908</v>
      </c>
      <c r="C311" s="337"/>
      <c r="D311" s="338"/>
      <c r="E311" s="339"/>
      <c r="F311" s="161"/>
      <c r="G311" s="340">
        <f>G276+G302+G303+G304+G309+G310</f>
        <v>60001.0906300046</v>
      </c>
    </row>
    <row r="312" customHeight="1" spans="1:7">
      <c r="A312" s="227"/>
      <c r="B312" s="227"/>
      <c r="C312" s="227"/>
      <c r="D312" s="227"/>
      <c r="E312" s="228"/>
      <c r="F312" s="123"/>
      <c r="G312" s="228"/>
    </row>
    <row r="313" customHeight="1" spans="1:7">
      <c r="A313" s="227"/>
      <c r="B313" s="227"/>
      <c r="C313" s="227"/>
      <c r="D313" s="227"/>
      <c r="E313" s="228"/>
      <c r="F313" s="123"/>
      <c r="G313" s="228"/>
    </row>
    <row r="314" customHeight="1" spans="1:7">
      <c r="A314" s="440" t="s">
        <v>868</v>
      </c>
      <c r="B314" s="440"/>
      <c r="C314" s="440"/>
      <c r="D314" s="440"/>
      <c r="E314" s="440"/>
      <c r="F314" s="440"/>
      <c r="G314" s="440"/>
    </row>
    <row r="315" customHeight="1" spans="1:7">
      <c r="A315" s="309" t="s">
        <v>869</v>
      </c>
      <c r="B315" s="310"/>
      <c r="C315" s="310" t="s">
        <v>25</v>
      </c>
      <c r="D315" s="310" t="s">
        <v>870</v>
      </c>
      <c r="E315" s="311" t="s">
        <v>933</v>
      </c>
      <c r="F315" s="312"/>
      <c r="G315" s="313"/>
    </row>
    <row r="316" customHeight="1" spans="1:7">
      <c r="A316" s="314" t="s">
        <v>507</v>
      </c>
      <c r="B316" s="315"/>
      <c r="C316" s="316" t="s">
        <v>934</v>
      </c>
      <c r="D316" s="316"/>
      <c r="E316" s="316"/>
      <c r="F316" s="61" t="s">
        <v>873</v>
      </c>
      <c r="G316" s="318" t="s">
        <v>874</v>
      </c>
    </row>
    <row r="317" customHeight="1" spans="1:7">
      <c r="A317" s="319" t="s">
        <v>935</v>
      </c>
      <c r="B317" s="320"/>
      <c r="C317" s="320"/>
      <c r="D317" s="320"/>
      <c r="E317" s="320"/>
      <c r="F317" s="320"/>
      <c r="G317" s="321"/>
    </row>
    <row r="318" customHeight="1" spans="1:7">
      <c r="A318" s="322" t="s">
        <v>912</v>
      </c>
      <c r="B318" s="323"/>
      <c r="C318" s="324"/>
      <c r="D318" s="324"/>
      <c r="E318" s="324"/>
      <c r="F318" s="324"/>
      <c r="G318" s="325"/>
    </row>
    <row r="319" customHeight="1" spans="1:7">
      <c r="A319" s="314" t="s">
        <v>34</v>
      </c>
      <c r="B319" s="317" t="s">
        <v>761</v>
      </c>
      <c r="C319" s="317"/>
      <c r="D319" s="317" t="s">
        <v>60</v>
      </c>
      <c r="E319" s="326" t="s">
        <v>877</v>
      </c>
      <c r="F319" s="61" t="s">
        <v>878</v>
      </c>
      <c r="G319" s="318" t="s">
        <v>879</v>
      </c>
    </row>
    <row r="320" customHeight="1" spans="1:7">
      <c r="A320" s="314" t="s">
        <v>8</v>
      </c>
      <c r="B320" s="327" t="s">
        <v>880</v>
      </c>
      <c r="C320" s="328"/>
      <c r="D320" s="317"/>
      <c r="E320" s="326"/>
      <c r="F320" s="147"/>
      <c r="G320" s="329">
        <f>G321+G346</f>
        <v>31345.3507580019</v>
      </c>
    </row>
    <row r="321" customHeight="1" spans="1:7">
      <c r="A321" s="314" t="s">
        <v>881</v>
      </c>
      <c r="B321" s="327" t="s">
        <v>882</v>
      </c>
      <c r="C321" s="328"/>
      <c r="D321" s="317"/>
      <c r="E321" s="326"/>
      <c r="F321" s="147"/>
      <c r="G321" s="329">
        <f>G322+G325+G335+G343</f>
        <v>29459.9161259417</v>
      </c>
    </row>
    <row r="322" customHeight="1" spans="1:7">
      <c r="A322" s="314" t="s">
        <v>17</v>
      </c>
      <c r="B322" s="327" t="s">
        <v>510</v>
      </c>
      <c r="C322" s="328"/>
      <c r="D322" s="317"/>
      <c r="E322" s="326"/>
      <c r="F322" s="147"/>
      <c r="G322" s="329">
        <f>SUM(G323:G324)</f>
        <v>7221.657</v>
      </c>
    </row>
    <row r="323" customHeight="1" spans="1:7">
      <c r="A323" s="314"/>
      <c r="B323" s="327" t="s">
        <v>704</v>
      </c>
      <c r="C323" s="328"/>
      <c r="D323" s="317" t="s">
        <v>705</v>
      </c>
      <c r="E323" s="423">
        <v>620.8</v>
      </c>
      <c r="F323" s="147">
        <f>主要材料预算!$D$19</f>
        <v>8.1</v>
      </c>
      <c r="G323" s="329">
        <f t="shared" ref="G323:G326" si="35">E323*F323</f>
        <v>5028.48</v>
      </c>
    </row>
    <row r="324" customHeight="1" spans="1:7">
      <c r="A324" s="314"/>
      <c r="B324" s="327" t="s">
        <v>706</v>
      </c>
      <c r="C324" s="328"/>
      <c r="D324" s="317" t="s">
        <v>705</v>
      </c>
      <c r="E324" s="423">
        <v>380.1</v>
      </c>
      <c r="F324" s="147">
        <f>主要材料预算!$D$20</f>
        <v>5.77</v>
      </c>
      <c r="G324" s="329">
        <f t="shared" si="35"/>
        <v>2193.177</v>
      </c>
    </row>
    <row r="325" customHeight="1" spans="1:7">
      <c r="A325" s="314" t="s">
        <v>19</v>
      </c>
      <c r="B325" s="327" t="s">
        <v>511</v>
      </c>
      <c r="C325" s="328"/>
      <c r="D325" s="317"/>
      <c r="E325" s="326"/>
      <c r="F325" s="147"/>
      <c r="G325" s="329">
        <f>SUM(G326:G334)</f>
        <v>18887.894207925</v>
      </c>
    </row>
    <row r="326" customHeight="1" spans="1:7">
      <c r="A326" s="314"/>
      <c r="B326" s="327" t="s">
        <v>883</v>
      </c>
      <c r="C326" s="328"/>
      <c r="D326" s="317" t="s">
        <v>70</v>
      </c>
      <c r="E326" s="326">
        <v>0.03</v>
      </c>
      <c r="F326" s="147">
        <f>主要材料预算!$L$6</f>
        <v>2209.125</v>
      </c>
      <c r="G326" s="329">
        <f t="shared" si="35"/>
        <v>66.27375</v>
      </c>
    </row>
    <row r="327" customHeight="1" spans="1:7">
      <c r="A327" s="314"/>
      <c r="B327" s="327" t="s">
        <v>885</v>
      </c>
      <c r="C327" s="328"/>
      <c r="D327" s="317" t="s">
        <v>695</v>
      </c>
      <c r="E327" s="326">
        <v>0.98</v>
      </c>
      <c r="F327" s="147">
        <f>基础材料!$D$9</f>
        <v>4.44</v>
      </c>
      <c r="G327" s="329">
        <f t="shared" ref="G327:G333" si="36">E327*F327</f>
        <v>4.3512</v>
      </c>
    </row>
    <row r="328" customHeight="1" spans="1:7">
      <c r="A328" s="314"/>
      <c r="B328" s="327" t="s">
        <v>886</v>
      </c>
      <c r="C328" s="328"/>
      <c r="D328" s="317" t="s">
        <v>695</v>
      </c>
      <c r="E328" s="326">
        <v>2.34</v>
      </c>
      <c r="F328" s="147">
        <f>基础材料!$D$5</f>
        <v>4.5</v>
      </c>
      <c r="G328" s="329">
        <f t="shared" si="36"/>
        <v>10.53</v>
      </c>
    </row>
    <row r="329" customHeight="1" spans="1:7">
      <c r="A329" s="314"/>
      <c r="B329" s="327" t="s">
        <v>887</v>
      </c>
      <c r="C329" s="328"/>
      <c r="D329" s="317" t="s">
        <v>695</v>
      </c>
      <c r="E329" s="326">
        <v>3.14</v>
      </c>
      <c r="F329" s="147">
        <f>基础材料!$D$8</f>
        <v>5.15</v>
      </c>
      <c r="G329" s="329">
        <f t="shared" si="36"/>
        <v>16.171</v>
      </c>
    </row>
    <row r="330" customHeight="1" spans="1:7">
      <c r="A330" s="314"/>
      <c r="B330" s="327" t="s">
        <v>889</v>
      </c>
      <c r="C330" s="328"/>
      <c r="D330" s="317" t="s">
        <v>695</v>
      </c>
      <c r="E330" s="326">
        <v>3.65</v>
      </c>
      <c r="F330" s="147">
        <f>基础材料!$D$7</f>
        <v>6.39</v>
      </c>
      <c r="G330" s="329">
        <f t="shared" si="36"/>
        <v>23.3235</v>
      </c>
    </row>
    <row r="331" customHeight="1" spans="1:7">
      <c r="A331" s="314"/>
      <c r="B331" s="327" t="s">
        <v>890</v>
      </c>
      <c r="C331" s="328"/>
      <c r="D331" s="317" t="s">
        <v>695</v>
      </c>
      <c r="E331" s="326">
        <v>0.08</v>
      </c>
      <c r="F331" s="147">
        <f>基础材料!$D$57</f>
        <v>5.97</v>
      </c>
      <c r="G331" s="329">
        <f t="shared" si="36"/>
        <v>0.4776</v>
      </c>
    </row>
    <row r="332" customHeight="1" spans="1:7">
      <c r="A332" s="314"/>
      <c r="B332" s="327" t="s">
        <v>921</v>
      </c>
      <c r="C332" s="328"/>
      <c r="D332" s="317" t="s">
        <v>70</v>
      </c>
      <c r="E332" s="331">
        <v>103</v>
      </c>
      <c r="F332" s="147">
        <f>混凝土单价计算表!$M$7</f>
        <v>176.454345</v>
      </c>
      <c r="G332" s="329">
        <f t="shared" si="36"/>
        <v>18174.797535</v>
      </c>
    </row>
    <row r="333" customHeight="1" spans="1:7">
      <c r="A333" s="314"/>
      <c r="B333" s="327" t="s">
        <v>892</v>
      </c>
      <c r="C333" s="328"/>
      <c r="D333" s="317" t="s">
        <v>70</v>
      </c>
      <c r="E333" s="331">
        <v>120</v>
      </c>
      <c r="F333" s="147">
        <f>主要材料预算!$D$16</f>
        <v>4.15</v>
      </c>
      <c r="G333" s="329">
        <f t="shared" si="36"/>
        <v>498</v>
      </c>
    </row>
    <row r="334" customHeight="1" spans="1:7">
      <c r="A334" s="314"/>
      <c r="B334" s="327" t="s">
        <v>893</v>
      </c>
      <c r="C334" s="328"/>
      <c r="D334" s="317" t="s">
        <v>894</v>
      </c>
      <c r="E334" s="151">
        <v>0.5</v>
      </c>
      <c r="F334" s="147">
        <f>SUM(G326:G333)</f>
        <v>18793.924585</v>
      </c>
      <c r="G334" s="329">
        <f>E334*F334/100</f>
        <v>93.969622925</v>
      </c>
    </row>
    <row r="335" customHeight="1" spans="1:7">
      <c r="A335" s="314" t="s">
        <v>21</v>
      </c>
      <c r="B335" s="327" t="s">
        <v>895</v>
      </c>
      <c r="C335" s="328"/>
      <c r="D335" s="317"/>
      <c r="E335" s="147"/>
      <c r="F335" s="147"/>
      <c r="G335" s="329">
        <f>SUM(G336:G342)</f>
        <v>944.667769361787</v>
      </c>
    </row>
    <row r="336" customHeight="1" spans="1:7">
      <c r="A336" s="314"/>
      <c r="B336" s="327" t="s">
        <v>822</v>
      </c>
      <c r="C336" s="328"/>
      <c r="D336" s="317" t="s">
        <v>896</v>
      </c>
      <c r="E336" s="147">
        <v>0.08</v>
      </c>
      <c r="F336" s="147">
        <f>施工机械台时费!$E$28</f>
        <v>49.389824491424</v>
      </c>
      <c r="G336" s="329">
        <f t="shared" ref="G336:G341" si="37">E336*F336</f>
        <v>3.95118595931392</v>
      </c>
    </row>
    <row r="337" customHeight="1" spans="1:7">
      <c r="A337" s="314"/>
      <c r="B337" s="327" t="s">
        <v>897</v>
      </c>
      <c r="C337" s="328"/>
      <c r="D337" s="317" t="s">
        <v>896</v>
      </c>
      <c r="E337" s="147">
        <v>0.12</v>
      </c>
      <c r="F337" s="147">
        <f>施工机械台时费!$E$40</f>
        <v>62.3342780215397</v>
      </c>
      <c r="G337" s="329">
        <f t="shared" si="37"/>
        <v>7.48011336258476</v>
      </c>
    </row>
    <row r="338" customHeight="1" spans="1:7">
      <c r="A338" s="314"/>
      <c r="B338" s="327" t="s">
        <v>898</v>
      </c>
      <c r="C338" s="328"/>
      <c r="D338" s="317" t="s">
        <v>896</v>
      </c>
      <c r="E338" s="147">
        <v>0.12</v>
      </c>
      <c r="F338" s="147">
        <f>施工机械台时费!$E$58</f>
        <v>31.1021858795373</v>
      </c>
      <c r="G338" s="329">
        <f t="shared" si="37"/>
        <v>3.73226230554448</v>
      </c>
    </row>
    <row r="339" customHeight="1" spans="1:7">
      <c r="A339" s="314"/>
      <c r="B339" s="327" t="s">
        <v>899</v>
      </c>
      <c r="C339" s="328"/>
      <c r="D339" s="317" t="s">
        <v>896</v>
      </c>
      <c r="E339" s="147">
        <v>18.54</v>
      </c>
      <c r="F339" s="147">
        <f>施工机械台时费!$E$21</f>
        <v>37.4199521340247</v>
      </c>
      <c r="G339" s="329">
        <f t="shared" si="37"/>
        <v>693.765912564818</v>
      </c>
    </row>
    <row r="340" customHeight="1" spans="1:7">
      <c r="A340" s="314"/>
      <c r="B340" s="327" t="s">
        <v>900</v>
      </c>
      <c r="C340" s="328"/>
      <c r="D340" s="317" t="s">
        <v>896</v>
      </c>
      <c r="E340" s="147">
        <v>40.05</v>
      </c>
      <c r="F340" s="147">
        <f>施工机械台时费!$E$22</f>
        <v>3.07752692461109</v>
      </c>
      <c r="G340" s="329">
        <f t="shared" si="37"/>
        <v>123.254953330674</v>
      </c>
    </row>
    <row r="341" customHeight="1" spans="1:7">
      <c r="A341" s="314"/>
      <c r="B341" s="327" t="s">
        <v>901</v>
      </c>
      <c r="C341" s="328"/>
      <c r="D341" s="317" t="s">
        <v>896</v>
      </c>
      <c r="E341" s="147">
        <v>83</v>
      </c>
      <c r="F341" s="147">
        <f>施工机械台时费!$E$36</f>
        <v>0.813242919824491</v>
      </c>
      <c r="G341" s="329">
        <f t="shared" si="37"/>
        <v>67.4991623454328</v>
      </c>
    </row>
    <row r="342" customHeight="1" spans="1:7">
      <c r="A342" s="314"/>
      <c r="B342" s="327" t="s">
        <v>902</v>
      </c>
      <c r="C342" s="328"/>
      <c r="D342" s="317" t="s">
        <v>894</v>
      </c>
      <c r="E342" s="152">
        <v>5</v>
      </c>
      <c r="F342" s="147">
        <f>SUM(G336:G341)</f>
        <v>899.683589868368</v>
      </c>
      <c r="G342" s="329">
        <f>E342*F342/100</f>
        <v>44.9841794934184</v>
      </c>
    </row>
    <row r="343" customHeight="1" spans="1:7">
      <c r="A343" s="314" t="s">
        <v>23</v>
      </c>
      <c r="B343" s="327" t="s">
        <v>513</v>
      </c>
      <c r="C343" s="328"/>
      <c r="D343" s="317"/>
      <c r="E343" s="147"/>
      <c r="F343" s="147"/>
      <c r="G343" s="329">
        <f>SUM(G344:G345)</f>
        <v>2405.69714865489</v>
      </c>
    </row>
    <row r="344" customHeight="1" spans="1:7">
      <c r="A344" s="314"/>
      <c r="B344" s="327" t="s">
        <v>903</v>
      </c>
      <c r="C344" s="328"/>
      <c r="D344" s="317" t="s">
        <v>70</v>
      </c>
      <c r="E344" s="147">
        <v>103</v>
      </c>
      <c r="F344" s="147">
        <f>$G$1441/100</f>
        <v>5.03319379720782</v>
      </c>
      <c r="G344" s="329">
        <f t="shared" ref="G344:G348" si="38">E344*F344</f>
        <v>518.418961112405</v>
      </c>
    </row>
    <row r="345" customHeight="1" spans="1:7">
      <c r="A345" s="314"/>
      <c r="B345" s="327" t="s">
        <v>904</v>
      </c>
      <c r="C345" s="328"/>
      <c r="D345" s="317" t="s">
        <v>70</v>
      </c>
      <c r="E345" s="147">
        <v>103</v>
      </c>
      <c r="F345" s="147">
        <f>$G$1469/100</f>
        <v>18.3230891994416</v>
      </c>
      <c r="G345" s="329">
        <f t="shared" si="38"/>
        <v>1887.27818754248</v>
      </c>
    </row>
    <row r="346" customHeight="1" spans="1:7">
      <c r="A346" s="314" t="s">
        <v>905</v>
      </c>
      <c r="B346" s="327" t="s">
        <v>514</v>
      </c>
      <c r="C346" s="328"/>
      <c r="D346" s="317"/>
      <c r="E346" s="332">
        <f>G321</f>
        <v>29459.9161259417</v>
      </c>
      <c r="F346" s="155">
        <f>费率表!$F$12</f>
        <v>0.064</v>
      </c>
      <c r="G346" s="329">
        <f t="shared" si="38"/>
        <v>1885.43463206027</v>
      </c>
    </row>
    <row r="347" customHeight="1" spans="1:7">
      <c r="A347" s="314" t="s">
        <v>10</v>
      </c>
      <c r="B347" s="327" t="s">
        <v>770</v>
      </c>
      <c r="C347" s="328"/>
      <c r="D347" s="317"/>
      <c r="E347" s="326">
        <f>G320</f>
        <v>31345.3507580019</v>
      </c>
      <c r="F347" s="155">
        <f>费率表!$F$13</f>
        <v>0.085</v>
      </c>
      <c r="G347" s="329">
        <f t="shared" si="38"/>
        <v>2664.35481443017</v>
      </c>
    </row>
    <row r="348" customHeight="1" spans="1:7">
      <c r="A348" s="314" t="s">
        <v>12</v>
      </c>
      <c r="B348" s="327" t="s">
        <v>771</v>
      </c>
      <c r="C348" s="328"/>
      <c r="D348" s="317"/>
      <c r="E348" s="326">
        <f>G320+G347</f>
        <v>34009.7055724321</v>
      </c>
      <c r="F348" s="155">
        <f>费率表!$F$14</f>
        <v>0.07</v>
      </c>
      <c r="G348" s="329">
        <f t="shared" si="38"/>
        <v>2380.67939007025</v>
      </c>
    </row>
    <row r="349" customHeight="1" spans="1:7">
      <c r="A349" s="314" t="s">
        <v>15</v>
      </c>
      <c r="B349" s="327" t="s">
        <v>517</v>
      </c>
      <c r="C349" s="328"/>
      <c r="D349" s="317"/>
      <c r="E349" s="326"/>
      <c r="F349" s="157"/>
      <c r="G349" s="329">
        <f>SUM(G350:G353)</f>
        <v>6735.51083103466</v>
      </c>
    </row>
    <row r="350" customHeight="1" spans="1:7">
      <c r="A350" s="314"/>
      <c r="B350" s="327" t="s">
        <v>729</v>
      </c>
      <c r="C350" s="328"/>
      <c r="D350" s="317" t="s">
        <v>204</v>
      </c>
      <c r="E350" s="326">
        <f>E332*混凝土单价计算表!$E$7</f>
        <v>31.641291</v>
      </c>
      <c r="F350" s="438">
        <f>主要材料预算!$N$5</f>
        <v>139.17214</v>
      </c>
      <c r="G350" s="329">
        <f t="shared" ref="G350:G355" si="39">E350*F350</f>
        <v>4403.58618083274</v>
      </c>
    </row>
    <row r="351" customHeight="1" spans="1:7">
      <c r="A351" s="314"/>
      <c r="B351" s="327" t="s">
        <v>684</v>
      </c>
      <c r="C351" s="328"/>
      <c r="D351" s="317" t="s">
        <v>70</v>
      </c>
      <c r="E351" s="326">
        <f>E332*混凝土单价计算表!$G$7</f>
        <v>56.62734</v>
      </c>
      <c r="F351" s="147"/>
      <c r="G351" s="329">
        <f t="shared" si="39"/>
        <v>0</v>
      </c>
    </row>
    <row r="352" customHeight="1" spans="1:7">
      <c r="A352" s="314"/>
      <c r="B352" s="327" t="s">
        <v>687</v>
      </c>
      <c r="C352" s="328"/>
      <c r="D352" s="317" t="s">
        <v>70</v>
      </c>
      <c r="E352" s="326">
        <f>E332*混凝土单价计算表!$I$7</f>
        <v>86.667084</v>
      </c>
      <c r="F352" s="438">
        <f>主要材料预算!$N$9</f>
        <v>26.7921</v>
      </c>
      <c r="G352" s="329">
        <f t="shared" si="39"/>
        <v>2321.9931812364</v>
      </c>
    </row>
    <row r="353" customHeight="1" spans="1:7">
      <c r="A353" s="314"/>
      <c r="B353" s="327" t="s">
        <v>696</v>
      </c>
      <c r="C353" s="328"/>
      <c r="D353" s="317" t="s">
        <v>695</v>
      </c>
      <c r="E353" s="326">
        <f>E336*7.2+E337*5.8</f>
        <v>1.272</v>
      </c>
      <c r="F353" s="438">
        <f>主要材料预算!$N$14</f>
        <v>7.8077586206897</v>
      </c>
      <c r="G353" s="329">
        <f t="shared" si="39"/>
        <v>9.9314689655173</v>
      </c>
    </row>
    <row r="354" customHeight="1" spans="1:7">
      <c r="A354" s="314" t="s">
        <v>906</v>
      </c>
      <c r="B354" s="327" t="s">
        <v>772</v>
      </c>
      <c r="C354" s="328"/>
      <c r="D354" s="317"/>
      <c r="E354" s="326">
        <f>G320+G347++G348+G349</f>
        <v>43125.895793537</v>
      </c>
      <c r="F354" s="156">
        <f>费率表!$F$15</f>
        <v>0.09</v>
      </c>
      <c r="G354" s="329">
        <f t="shared" si="39"/>
        <v>3881.33062141833</v>
      </c>
    </row>
    <row r="355" customHeight="1" spans="1:7">
      <c r="A355" s="314"/>
      <c r="B355" s="327" t="s">
        <v>907</v>
      </c>
      <c r="C355" s="328"/>
      <c r="D355" s="317"/>
      <c r="E355" s="326">
        <f>G320+G347+G348+G349+G354</f>
        <v>47007.2264149553</v>
      </c>
      <c r="F355" s="156">
        <f>费率表!$I$19</f>
        <v>0.03</v>
      </c>
      <c r="G355" s="329">
        <f t="shared" si="39"/>
        <v>1410.21679244866</v>
      </c>
    </row>
    <row r="356" customHeight="1" spans="1:7">
      <c r="A356" s="335"/>
      <c r="B356" s="336" t="s">
        <v>908</v>
      </c>
      <c r="C356" s="337"/>
      <c r="D356" s="338"/>
      <c r="E356" s="339"/>
      <c r="F356" s="161"/>
      <c r="G356" s="340">
        <f>G320+G347+G348+G349+G354+G355</f>
        <v>48417.443207404</v>
      </c>
    </row>
    <row r="357" customHeight="1" spans="1:7">
      <c r="A357" s="227"/>
      <c r="B357" s="227"/>
      <c r="C357" s="227"/>
      <c r="D357" s="227"/>
      <c r="E357" s="228"/>
      <c r="F357" s="123"/>
      <c r="G357" s="228"/>
    </row>
    <row r="358" customHeight="1" spans="1:7">
      <c r="A358" s="440" t="s">
        <v>868</v>
      </c>
      <c r="B358" s="440"/>
      <c r="C358" s="440"/>
      <c r="D358" s="440"/>
      <c r="E358" s="440"/>
      <c r="F358" s="440"/>
      <c r="G358" s="440"/>
    </row>
    <row r="359" customHeight="1" spans="1:7">
      <c r="A359" s="165" t="s">
        <v>869</v>
      </c>
      <c r="B359" s="129"/>
      <c r="C359" s="129" t="s">
        <v>25</v>
      </c>
      <c r="D359" s="129" t="s">
        <v>870</v>
      </c>
      <c r="E359" s="177" t="s">
        <v>936</v>
      </c>
      <c r="F359" s="177"/>
      <c r="G359" s="178"/>
    </row>
    <row r="360" customHeight="1" spans="1:7">
      <c r="A360" s="144" t="s">
        <v>507</v>
      </c>
      <c r="B360" s="166"/>
      <c r="C360" s="167" t="s">
        <v>937</v>
      </c>
      <c r="D360" s="167"/>
      <c r="E360" s="167"/>
      <c r="F360" s="61" t="s">
        <v>873</v>
      </c>
      <c r="G360" s="138" t="s">
        <v>874</v>
      </c>
    </row>
    <row r="361" customHeight="1" spans="1:7">
      <c r="A361" s="168" t="s">
        <v>938</v>
      </c>
      <c r="B361" s="167"/>
      <c r="C361" s="167"/>
      <c r="D361" s="167"/>
      <c r="E361" s="167"/>
      <c r="F361" s="167"/>
      <c r="G361" s="169"/>
    </row>
    <row r="362" customHeight="1" spans="1:7">
      <c r="A362" s="441" t="s">
        <v>912</v>
      </c>
      <c r="B362" s="442"/>
      <c r="C362" s="443"/>
      <c r="D362" s="443"/>
      <c r="E362" s="443"/>
      <c r="F362" s="443"/>
      <c r="G362" s="444"/>
    </row>
    <row r="363" customHeight="1" spans="1:7">
      <c r="A363" s="314" t="s">
        <v>34</v>
      </c>
      <c r="B363" s="317" t="s">
        <v>761</v>
      </c>
      <c r="C363" s="317"/>
      <c r="D363" s="317" t="s">
        <v>60</v>
      </c>
      <c r="E363" s="326" t="s">
        <v>877</v>
      </c>
      <c r="F363" s="61" t="s">
        <v>878</v>
      </c>
      <c r="G363" s="318" t="s">
        <v>879</v>
      </c>
    </row>
    <row r="364" customHeight="1" spans="1:7">
      <c r="A364" s="314" t="s">
        <v>8</v>
      </c>
      <c r="B364" s="327" t="s">
        <v>880</v>
      </c>
      <c r="C364" s="328"/>
      <c r="D364" s="317"/>
      <c r="E364" s="326"/>
      <c r="F364" s="147"/>
      <c r="G364" s="329">
        <f>G365+G390</f>
        <v>37788.6036477928</v>
      </c>
    </row>
    <row r="365" customHeight="1" spans="1:7">
      <c r="A365" s="314" t="s">
        <v>881</v>
      </c>
      <c r="B365" s="327" t="s">
        <v>882</v>
      </c>
      <c r="C365" s="328"/>
      <c r="D365" s="317"/>
      <c r="E365" s="326"/>
      <c r="F365" s="147"/>
      <c r="G365" s="329">
        <f>G366+G369+G379+G387</f>
        <v>35515.604932136</v>
      </c>
    </row>
    <row r="366" customHeight="1" spans="1:7">
      <c r="A366" s="314" t="s">
        <v>17</v>
      </c>
      <c r="B366" s="327" t="s">
        <v>510</v>
      </c>
      <c r="C366" s="328"/>
      <c r="D366" s="317"/>
      <c r="E366" s="326"/>
      <c r="F366" s="147"/>
      <c r="G366" s="329">
        <f>SUM(G367:G368)</f>
        <v>10790.86</v>
      </c>
    </row>
    <row r="367" customHeight="1" spans="1:7">
      <c r="A367" s="314"/>
      <c r="B367" s="327" t="s">
        <v>704</v>
      </c>
      <c r="C367" s="328"/>
      <c r="D367" s="317" t="s">
        <v>705</v>
      </c>
      <c r="E367" s="423">
        <v>951.1</v>
      </c>
      <c r="F367" s="423">
        <f>主要材料预算!$D$19</f>
        <v>8.1</v>
      </c>
      <c r="G367" s="329">
        <f t="shared" ref="G367:G377" si="40">E367*F367</f>
        <v>7703.91</v>
      </c>
    </row>
    <row r="368" customHeight="1" spans="1:7">
      <c r="A368" s="314"/>
      <c r="B368" s="327" t="s">
        <v>706</v>
      </c>
      <c r="C368" s="328"/>
      <c r="D368" s="317" t="s">
        <v>705</v>
      </c>
      <c r="E368" s="423">
        <v>535</v>
      </c>
      <c r="F368" s="423">
        <f>主要材料预算!$D$20</f>
        <v>5.77</v>
      </c>
      <c r="G368" s="329">
        <f t="shared" si="40"/>
        <v>3086.95</v>
      </c>
    </row>
    <row r="369" customHeight="1" spans="1:7">
      <c r="A369" s="314" t="s">
        <v>19</v>
      </c>
      <c r="B369" s="327" t="s">
        <v>511</v>
      </c>
      <c r="C369" s="328"/>
      <c r="D369" s="317"/>
      <c r="E369" s="326"/>
      <c r="F369" s="147"/>
      <c r="G369" s="329">
        <f>SUM(G370:G378)</f>
        <v>21180.20299425</v>
      </c>
    </row>
    <row r="370" customHeight="1" spans="1:7">
      <c r="A370" s="314"/>
      <c r="B370" s="327" t="s">
        <v>883</v>
      </c>
      <c r="C370" s="328"/>
      <c r="D370" s="317" t="s">
        <v>70</v>
      </c>
      <c r="E370" s="326">
        <v>0.4</v>
      </c>
      <c r="F370" s="147">
        <f>主要材料预算!$L$6</f>
        <v>2209.125</v>
      </c>
      <c r="G370" s="329">
        <f t="shared" si="40"/>
        <v>883.65</v>
      </c>
    </row>
    <row r="371" customHeight="1" spans="1:7">
      <c r="A371" s="314"/>
      <c r="B371" s="327" t="s">
        <v>885</v>
      </c>
      <c r="C371" s="328"/>
      <c r="D371" s="317" t="s">
        <v>695</v>
      </c>
      <c r="E371" s="326">
        <v>52.08</v>
      </c>
      <c r="F371" s="147">
        <f>基础材料!$D$9</f>
        <v>4.44</v>
      </c>
      <c r="G371" s="329">
        <f t="shared" si="40"/>
        <v>231.2352</v>
      </c>
    </row>
    <row r="372" customHeight="1" spans="1:7">
      <c r="A372" s="314"/>
      <c r="B372" s="327" t="s">
        <v>886</v>
      </c>
      <c r="C372" s="328"/>
      <c r="D372" s="317" t="s">
        <v>695</v>
      </c>
      <c r="E372" s="326">
        <v>42.2</v>
      </c>
      <c r="F372" s="147">
        <f>基础材料!$D$5</f>
        <v>4.5</v>
      </c>
      <c r="G372" s="329">
        <f t="shared" si="40"/>
        <v>189.9</v>
      </c>
    </row>
    <row r="373" customHeight="1" spans="1:7">
      <c r="A373" s="314"/>
      <c r="B373" s="327" t="s">
        <v>887</v>
      </c>
      <c r="C373" s="328"/>
      <c r="D373" s="317" t="s">
        <v>695</v>
      </c>
      <c r="E373" s="326">
        <v>22.32</v>
      </c>
      <c r="F373" s="147">
        <f>基础材料!$D$8</f>
        <v>5.15</v>
      </c>
      <c r="G373" s="329">
        <f t="shared" si="40"/>
        <v>114.948</v>
      </c>
    </row>
    <row r="374" customHeight="1" spans="1:7">
      <c r="A374" s="314"/>
      <c r="B374" s="327" t="s">
        <v>913</v>
      </c>
      <c r="C374" s="328"/>
      <c r="D374" s="317" t="s">
        <v>695</v>
      </c>
      <c r="E374" s="326">
        <v>67.3</v>
      </c>
      <c r="F374" s="147">
        <f>基础材料!$D$3</f>
        <v>4.04</v>
      </c>
      <c r="G374" s="329">
        <f t="shared" si="40"/>
        <v>271.892</v>
      </c>
    </row>
    <row r="375" customHeight="1" spans="1:7">
      <c r="A375" s="314"/>
      <c r="B375" s="327" t="s">
        <v>890</v>
      </c>
      <c r="C375" s="328"/>
      <c r="D375" s="317" t="s">
        <v>695</v>
      </c>
      <c r="E375" s="326">
        <v>1.5</v>
      </c>
      <c r="F375" s="147">
        <f>基础材料!$D$57</f>
        <v>5.97</v>
      </c>
      <c r="G375" s="329">
        <f t="shared" si="40"/>
        <v>8.955</v>
      </c>
    </row>
    <row r="376" customHeight="1" spans="1:7">
      <c r="A376" s="314"/>
      <c r="B376" s="327" t="s">
        <v>891</v>
      </c>
      <c r="C376" s="328"/>
      <c r="D376" s="317" t="s">
        <v>70</v>
      </c>
      <c r="E376" s="331">
        <v>103</v>
      </c>
      <c r="F376" s="147">
        <f>混凝土单价计算表!$M$10</f>
        <v>183.26455</v>
      </c>
      <c r="G376" s="329">
        <f t="shared" si="40"/>
        <v>18876.24865</v>
      </c>
    </row>
    <row r="377" customHeight="1" spans="1:7">
      <c r="A377" s="314"/>
      <c r="B377" s="327" t="s">
        <v>892</v>
      </c>
      <c r="C377" s="328"/>
      <c r="D377" s="317" t="s">
        <v>70</v>
      </c>
      <c r="E377" s="331">
        <v>120</v>
      </c>
      <c r="F377" s="147">
        <f>主要材料预算!$D$16</f>
        <v>4.15</v>
      </c>
      <c r="G377" s="329">
        <f t="shared" si="40"/>
        <v>498</v>
      </c>
    </row>
    <row r="378" customHeight="1" spans="1:7">
      <c r="A378" s="314"/>
      <c r="B378" s="327" t="s">
        <v>893</v>
      </c>
      <c r="C378" s="328"/>
      <c r="D378" s="317" t="s">
        <v>894</v>
      </c>
      <c r="E378" s="151">
        <v>0.5</v>
      </c>
      <c r="F378" s="147">
        <f>SUM(G370:G377)</f>
        <v>21074.82885</v>
      </c>
      <c r="G378" s="329">
        <f>E378*F378/100</f>
        <v>105.37414425</v>
      </c>
    </row>
    <row r="379" customHeight="1" spans="1:7">
      <c r="A379" s="314" t="s">
        <v>21</v>
      </c>
      <c r="B379" s="327" t="s">
        <v>895</v>
      </c>
      <c r="C379" s="328"/>
      <c r="D379" s="317"/>
      <c r="E379" s="147"/>
      <c r="F379" s="147"/>
      <c r="G379" s="329">
        <f>SUM(G380:G386)</f>
        <v>1138.84478923115</v>
      </c>
    </row>
    <row r="380" customHeight="1" spans="1:7">
      <c r="A380" s="314"/>
      <c r="B380" s="327" t="s">
        <v>822</v>
      </c>
      <c r="C380" s="328"/>
      <c r="D380" s="317" t="s">
        <v>896</v>
      </c>
      <c r="E380" s="147">
        <v>1.5</v>
      </c>
      <c r="F380" s="147">
        <f>施工机械台时费!$E$28</f>
        <v>49.389824491424</v>
      </c>
      <c r="G380" s="329">
        <f t="shared" ref="G380:G385" si="41">E380*F380</f>
        <v>74.084736737136</v>
      </c>
    </row>
    <row r="381" customHeight="1" spans="1:7">
      <c r="A381" s="314"/>
      <c r="B381" s="327" t="s">
        <v>897</v>
      </c>
      <c r="C381" s="328"/>
      <c r="D381" s="317" t="s">
        <v>896</v>
      </c>
      <c r="E381" s="147">
        <v>0.35</v>
      </c>
      <c r="F381" s="147">
        <f>施工机械台时费!$E$40</f>
        <v>62.3342780215397</v>
      </c>
      <c r="G381" s="329">
        <f t="shared" si="41"/>
        <v>21.8169973075389</v>
      </c>
    </row>
    <row r="382" customHeight="1" spans="1:7">
      <c r="A382" s="314"/>
      <c r="B382" s="327" t="s">
        <v>898</v>
      </c>
      <c r="C382" s="328"/>
      <c r="D382" s="317" t="s">
        <v>896</v>
      </c>
      <c r="E382" s="147">
        <v>3.35</v>
      </c>
      <c r="F382" s="147">
        <f>施工机械台时费!$E$58</f>
        <v>31.1021858795373</v>
      </c>
      <c r="G382" s="329">
        <f t="shared" si="41"/>
        <v>104.19232269645</v>
      </c>
    </row>
    <row r="383" customHeight="1" spans="1:7">
      <c r="A383" s="314"/>
      <c r="B383" s="327" t="s">
        <v>899</v>
      </c>
      <c r="C383" s="328"/>
      <c r="D383" s="317" t="s">
        <v>896</v>
      </c>
      <c r="E383" s="147">
        <v>18.54</v>
      </c>
      <c r="F383" s="147">
        <f>施工机械台时费!$E$21</f>
        <v>37.4199521340247</v>
      </c>
      <c r="G383" s="329">
        <f t="shared" si="41"/>
        <v>693.765912564818</v>
      </c>
    </row>
    <row r="384" customHeight="1" spans="1:7">
      <c r="A384" s="314"/>
      <c r="B384" s="327" t="s">
        <v>900</v>
      </c>
      <c r="C384" s="328"/>
      <c r="D384" s="317" t="s">
        <v>896</v>
      </c>
      <c r="E384" s="147">
        <v>40.05</v>
      </c>
      <c r="F384" s="147">
        <f>施工机械台时费!$E$22</f>
        <v>3.07752692461109</v>
      </c>
      <c r="G384" s="329">
        <f t="shared" si="41"/>
        <v>123.254953330674</v>
      </c>
    </row>
    <row r="385" customHeight="1" spans="1:7">
      <c r="A385" s="314"/>
      <c r="B385" s="327" t="s">
        <v>901</v>
      </c>
      <c r="C385" s="328"/>
      <c r="D385" s="317" t="s">
        <v>896</v>
      </c>
      <c r="E385" s="147">
        <v>83</v>
      </c>
      <c r="F385" s="147">
        <f>施工机械台时费!$E$36</f>
        <v>0.813242919824491</v>
      </c>
      <c r="G385" s="329">
        <f t="shared" si="41"/>
        <v>67.4991623454328</v>
      </c>
    </row>
    <row r="386" customHeight="1" spans="1:7">
      <c r="A386" s="314"/>
      <c r="B386" s="327" t="s">
        <v>902</v>
      </c>
      <c r="C386" s="328"/>
      <c r="D386" s="317" t="s">
        <v>894</v>
      </c>
      <c r="E386" s="152">
        <v>5</v>
      </c>
      <c r="F386" s="147">
        <f>SUM(G380:G385)</f>
        <v>1084.61408498205</v>
      </c>
      <c r="G386" s="329">
        <f>E386*F386/100</f>
        <v>54.2307042491025</v>
      </c>
    </row>
    <row r="387" customHeight="1" spans="1:7">
      <c r="A387" s="314" t="s">
        <v>23</v>
      </c>
      <c r="B387" s="327" t="s">
        <v>513</v>
      </c>
      <c r="C387" s="328"/>
      <c r="D387" s="317"/>
      <c r="E387" s="147"/>
      <c r="F387" s="147"/>
      <c r="G387" s="329">
        <f>SUM(G388:G389)</f>
        <v>2405.69714865489</v>
      </c>
    </row>
    <row r="388" customHeight="1" spans="1:7">
      <c r="A388" s="314"/>
      <c r="B388" s="327" t="s">
        <v>903</v>
      </c>
      <c r="C388" s="328"/>
      <c r="D388" s="317" t="s">
        <v>70</v>
      </c>
      <c r="E388" s="147">
        <v>103</v>
      </c>
      <c r="F388" s="147">
        <f>$G$1441/100</f>
        <v>5.03319379720782</v>
      </c>
      <c r="G388" s="329">
        <f t="shared" ref="G388:G392" si="42">E388*F388</f>
        <v>518.418961112405</v>
      </c>
    </row>
    <row r="389" customHeight="1" spans="1:7">
      <c r="A389" s="314"/>
      <c r="B389" s="327" t="s">
        <v>904</v>
      </c>
      <c r="C389" s="328"/>
      <c r="D389" s="317" t="s">
        <v>70</v>
      </c>
      <c r="E389" s="147">
        <v>103</v>
      </c>
      <c r="F389" s="147">
        <f>$G$1469/100</f>
        <v>18.3230891994416</v>
      </c>
      <c r="G389" s="329">
        <f t="shared" si="42"/>
        <v>1887.27818754248</v>
      </c>
    </row>
    <row r="390" customHeight="1" spans="1:7">
      <c r="A390" s="314" t="s">
        <v>905</v>
      </c>
      <c r="B390" s="327" t="s">
        <v>514</v>
      </c>
      <c r="C390" s="328"/>
      <c r="D390" s="317"/>
      <c r="E390" s="332">
        <f>G365</f>
        <v>35515.604932136</v>
      </c>
      <c r="F390" s="155">
        <f>费率表!$F$12</f>
        <v>0.064</v>
      </c>
      <c r="G390" s="329">
        <f t="shared" si="42"/>
        <v>2272.99871565671</v>
      </c>
    </row>
    <row r="391" customHeight="1" spans="1:7">
      <c r="A391" s="314" t="s">
        <v>10</v>
      </c>
      <c r="B391" s="327" t="s">
        <v>770</v>
      </c>
      <c r="C391" s="328"/>
      <c r="D391" s="317"/>
      <c r="E391" s="326">
        <f>G364</f>
        <v>37788.6036477928</v>
      </c>
      <c r="F391" s="155">
        <f>费率表!$F$13</f>
        <v>0.085</v>
      </c>
      <c r="G391" s="329">
        <f t="shared" si="42"/>
        <v>3212.03131006238</v>
      </c>
    </row>
    <row r="392" customHeight="1" spans="1:7">
      <c r="A392" s="314" t="s">
        <v>12</v>
      </c>
      <c r="B392" s="327" t="s">
        <v>771</v>
      </c>
      <c r="C392" s="328"/>
      <c r="D392" s="317"/>
      <c r="E392" s="326">
        <f>G364+G391</f>
        <v>41000.6349578551</v>
      </c>
      <c r="F392" s="155">
        <f>费率表!$F$14</f>
        <v>0.07</v>
      </c>
      <c r="G392" s="329">
        <f t="shared" si="42"/>
        <v>2870.04444704986</v>
      </c>
    </row>
    <row r="393" customHeight="1" spans="1:7">
      <c r="A393" s="314" t="s">
        <v>15</v>
      </c>
      <c r="B393" s="327" t="s">
        <v>517</v>
      </c>
      <c r="C393" s="328"/>
      <c r="D393" s="317"/>
      <c r="E393" s="326"/>
      <c r="F393" s="157"/>
      <c r="G393" s="329">
        <f>SUM(G394:G397)</f>
        <v>7294.79396420345</v>
      </c>
    </row>
    <row r="394" customHeight="1" spans="1:7">
      <c r="A394" s="314"/>
      <c r="B394" s="327" t="s">
        <v>729</v>
      </c>
      <c r="C394" s="328"/>
      <c r="D394" s="317" t="s">
        <v>204</v>
      </c>
      <c r="E394" s="326">
        <f>E376*混凝土单价计算表!$E$10</f>
        <v>35.02</v>
      </c>
      <c r="F394" s="438">
        <f>主要材料预算!$N$5</f>
        <v>139.17214</v>
      </c>
      <c r="G394" s="329">
        <f t="shared" ref="G394:G399" si="43">E394*F394</f>
        <v>4873.8083428</v>
      </c>
    </row>
    <row r="395" customHeight="1" spans="1:7">
      <c r="A395" s="314"/>
      <c r="B395" s="327" t="s">
        <v>684</v>
      </c>
      <c r="C395" s="328"/>
      <c r="D395" s="317" t="s">
        <v>70</v>
      </c>
      <c r="E395" s="326">
        <f>E376*混凝土单价计算表!$G$10</f>
        <v>54.384</v>
      </c>
      <c r="F395" s="147"/>
      <c r="G395" s="329">
        <f t="shared" si="43"/>
        <v>0</v>
      </c>
    </row>
    <row r="396" customHeight="1" spans="1:7">
      <c r="A396" s="314"/>
      <c r="B396" s="327" t="s">
        <v>687</v>
      </c>
      <c r="C396" s="328"/>
      <c r="D396" s="317" t="s">
        <v>70</v>
      </c>
      <c r="E396" s="326">
        <f>E376*混凝土单价计算表!$I$10</f>
        <v>86.623</v>
      </c>
      <c r="F396" s="438">
        <f>主要材料预算!$N$9</f>
        <v>26.7921</v>
      </c>
      <c r="G396" s="329">
        <f t="shared" si="43"/>
        <v>2320.8120783</v>
      </c>
    </row>
    <row r="397" customHeight="1" spans="1:7">
      <c r="A397" s="314"/>
      <c r="B397" s="327" t="s">
        <v>696</v>
      </c>
      <c r="C397" s="328"/>
      <c r="D397" s="317" t="s">
        <v>695</v>
      </c>
      <c r="E397" s="326">
        <f>E380*7.2+E381*5.8</f>
        <v>12.83</v>
      </c>
      <c r="F397" s="438">
        <f>主要材料预算!$N$14</f>
        <v>7.8077586206897</v>
      </c>
      <c r="G397" s="329">
        <f t="shared" si="43"/>
        <v>100.173543103449</v>
      </c>
    </row>
    <row r="398" customHeight="1" spans="1:7">
      <c r="A398" s="314" t="s">
        <v>906</v>
      </c>
      <c r="B398" s="327" t="s">
        <v>772</v>
      </c>
      <c r="C398" s="328"/>
      <c r="D398" s="317"/>
      <c r="E398" s="326">
        <f>G364+G391++G392+G393</f>
        <v>51165.4733691085</v>
      </c>
      <c r="F398" s="156">
        <f>费率表!$F$15</f>
        <v>0.09</v>
      </c>
      <c r="G398" s="329">
        <f t="shared" si="43"/>
        <v>4604.89260321976</v>
      </c>
    </row>
    <row r="399" customHeight="1" spans="1:7">
      <c r="A399" s="314"/>
      <c r="B399" s="327" t="s">
        <v>907</v>
      </c>
      <c r="C399" s="328"/>
      <c r="D399" s="317"/>
      <c r="E399" s="326">
        <f>G364+G391+G392+G393+G398</f>
        <v>55770.3659723282</v>
      </c>
      <c r="F399" s="156">
        <f>费率表!$I$19</f>
        <v>0.03</v>
      </c>
      <c r="G399" s="329">
        <f t="shared" si="43"/>
        <v>1673.11097916985</v>
      </c>
    </row>
    <row r="400" customHeight="1" spans="1:7">
      <c r="A400" s="335"/>
      <c r="B400" s="336" t="s">
        <v>908</v>
      </c>
      <c r="C400" s="337"/>
      <c r="D400" s="338"/>
      <c r="E400" s="339"/>
      <c r="F400" s="161"/>
      <c r="G400" s="340">
        <f>G364+G391+G392+G393+G398+G399</f>
        <v>57443.4769514981</v>
      </c>
    </row>
    <row r="401" customHeight="1" spans="1:7">
      <c r="A401" s="227"/>
      <c r="B401" s="227"/>
      <c r="C401" s="227"/>
      <c r="D401" s="227"/>
      <c r="E401" s="228"/>
      <c r="F401" s="123"/>
      <c r="G401" s="228"/>
    </row>
    <row r="402" customHeight="1" spans="1:7">
      <c r="A402" s="227"/>
      <c r="B402" s="227"/>
      <c r="C402" s="227"/>
      <c r="D402" s="227"/>
      <c r="E402" s="228"/>
      <c r="F402" s="123"/>
      <c r="G402" s="228"/>
    </row>
    <row r="403" customHeight="1" spans="1:7">
      <c r="A403" s="394" t="s">
        <v>868</v>
      </c>
      <c r="B403" s="394"/>
      <c r="C403" s="394"/>
      <c r="D403" s="394"/>
      <c r="E403" s="394"/>
      <c r="F403" s="394"/>
      <c r="G403" s="394"/>
    </row>
    <row r="404" customHeight="1" spans="1:7">
      <c r="A404" s="309" t="s">
        <v>869</v>
      </c>
      <c r="B404" s="310"/>
      <c r="C404" s="310" t="s">
        <v>27</v>
      </c>
      <c r="D404" s="310" t="s">
        <v>870</v>
      </c>
      <c r="E404" s="311" t="s">
        <v>939</v>
      </c>
      <c r="F404" s="312"/>
      <c r="G404" s="313"/>
    </row>
    <row r="405" customHeight="1" spans="1:7">
      <c r="A405" s="314" t="s">
        <v>507</v>
      </c>
      <c r="B405" s="315"/>
      <c r="C405" s="316" t="s">
        <v>940</v>
      </c>
      <c r="D405" s="316"/>
      <c r="E405" s="316"/>
      <c r="F405" s="61" t="s">
        <v>873</v>
      </c>
      <c r="G405" s="318" t="s">
        <v>874</v>
      </c>
    </row>
    <row r="406" customHeight="1" spans="1:7">
      <c r="A406" s="319" t="s">
        <v>941</v>
      </c>
      <c r="B406" s="320"/>
      <c r="C406" s="320"/>
      <c r="D406" s="320"/>
      <c r="E406" s="320"/>
      <c r="F406" s="320"/>
      <c r="G406" s="321"/>
    </row>
    <row r="407" customHeight="1" spans="1:7">
      <c r="A407" s="322" t="s">
        <v>912</v>
      </c>
      <c r="B407" s="323"/>
      <c r="C407" s="324"/>
      <c r="D407" s="324"/>
      <c r="E407" s="324"/>
      <c r="F407" s="324"/>
      <c r="G407" s="325"/>
    </row>
    <row r="408" customHeight="1" spans="1:7">
      <c r="A408" s="314" t="s">
        <v>34</v>
      </c>
      <c r="B408" s="317" t="s">
        <v>761</v>
      </c>
      <c r="C408" s="317"/>
      <c r="D408" s="317" t="s">
        <v>60</v>
      </c>
      <c r="E408" s="326" t="s">
        <v>877</v>
      </c>
      <c r="F408" s="61" t="s">
        <v>878</v>
      </c>
      <c r="G408" s="318" t="s">
        <v>879</v>
      </c>
    </row>
    <row r="409" customHeight="1" spans="1:7">
      <c r="A409" s="314" t="s">
        <v>8</v>
      </c>
      <c r="B409" s="327" t="s">
        <v>880</v>
      </c>
      <c r="C409" s="328"/>
      <c r="D409" s="317"/>
      <c r="E409" s="326"/>
      <c r="F409" s="147"/>
      <c r="G409" s="329">
        <f>G410+G426</f>
        <v>30614.3238446263</v>
      </c>
    </row>
    <row r="410" customHeight="1" spans="1:7">
      <c r="A410" s="314" t="s">
        <v>881</v>
      </c>
      <c r="B410" s="327" t="s">
        <v>882</v>
      </c>
      <c r="C410" s="328"/>
      <c r="D410" s="317"/>
      <c r="E410" s="326"/>
      <c r="F410" s="147"/>
      <c r="G410" s="329">
        <f>G411+G414+G418+G423</f>
        <v>28772.8607562277</v>
      </c>
    </row>
    <row r="411" customHeight="1" spans="1:7">
      <c r="A411" s="314" t="s">
        <v>17</v>
      </c>
      <c r="B411" s="327" t="s">
        <v>510</v>
      </c>
      <c r="C411" s="328"/>
      <c r="D411" s="317"/>
      <c r="E411" s="326"/>
      <c r="F411" s="147"/>
      <c r="G411" s="329">
        <f>SUM(G412:G413)</f>
        <v>6278.856</v>
      </c>
    </row>
    <row r="412" customHeight="1" spans="1:7">
      <c r="A412" s="314"/>
      <c r="B412" s="327" t="s">
        <v>704</v>
      </c>
      <c r="C412" s="328"/>
      <c r="D412" s="317" t="s">
        <v>705</v>
      </c>
      <c r="E412" s="423">
        <v>417</v>
      </c>
      <c r="F412" s="423">
        <f>主要材料预算!$D$19</f>
        <v>8.1</v>
      </c>
      <c r="G412" s="329">
        <f t="shared" ref="G412:G417" si="44">E412*F412</f>
        <v>3377.7</v>
      </c>
    </row>
    <row r="413" customHeight="1" spans="1:7">
      <c r="A413" s="314"/>
      <c r="B413" s="327" t="s">
        <v>706</v>
      </c>
      <c r="C413" s="328"/>
      <c r="D413" s="317" t="s">
        <v>705</v>
      </c>
      <c r="E413" s="423">
        <v>502.8</v>
      </c>
      <c r="F413" s="423">
        <f>主要材料预算!$D$20</f>
        <v>5.77</v>
      </c>
      <c r="G413" s="329">
        <f t="shared" si="44"/>
        <v>2901.156</v>
      </c>
    </row>
    <row r="414" customHeight="1" spans="1:7">
      <c r="A414" s="314" t="s">
        <v>19</v>
      </c>
      <c r="B414" s="327" t="s">
        <v>511</v>
      </c>
      <c r="C414" s="328"/>
      <c r="D414" s="317"/>
      <c r="E414" s="326"/>
      <c r="F414" s="147"/>
      <c r="G414" s="329">
        <f>SUM(G415:G417)</f>
        <v>19146.797535</v>
      </c>
    </row>
    <row r="415" customHeight="1" spans="1:7">
      <c r="A415" s="314"/>
      <c r="B415" s="327" t="s">
        <v>886</v>
      </c>
      <c r="C415" s="328"/>
      <c r="D415" s="317" t="s">
        <v>695</v>
      </c>
      <c r="E415" s="326">
        <v>50</v>
      </c>
      <c r="F415" s="147">
        <f>基础材料!$D$5</f>
        <v>4.5</v>
      </c>
      <c r="G415" s="329">
        <f t="shared" si="44"/>
        <v>225</v>
      </c>
    </row>
    <row r="416" customHeight="1" spans="1:7">
      <c r="A416" s="314"/>
      <c r="B416" s="327" t="s">
        <v>925</v>
      </c>
      <c r="C416" s="328"/>
      <c r="D416" s="317" t="s">
        <v>70</v>
      </c>
      <c r="E416" s="331">
        <v>103</v>
      </c>
      <c r="F416" s="147">
        <f>混凝土单价计算表!$M$8</f>
        <v>176.454345</v>
      </c>
      <c r="G416" s="329">
        <f t="shared" si="44"/>
        <v>18174.797535</v>
      </c>
    </row>
    <row r="417" customHeight="1" spans="1:7">
      <c r="A417" s="314"/>
      <c r="B417" s="327" t="s">
        <v>892</v>
      </c>
      <c r="C417" s="328"/>
      <c r="D417" s="317" t="s">
        <v>70</v>
      </c>
      <c r="E417" s="331">
        <v>180</v>
      </c>
      <c r="F417" s="147">
        <f>主要材料预算!$D$16</f>
        <v>4.15</v>
      </c>
      <c r="G417" s="329">
        <f t="shared" si="44"/>
        <v>747</v>
      </c>
    </row>
    <row r="418" customHeight="1" spans="1:7">
      <c r="A418" s="314" t="s">
        <v>21</v>
      </c>
      <c r="B418" s="327" t="s">
        <v>895</v>
      </c>
      <c r="C418" s="328"/>
      <c r="D418" s="317"/>
      <c r="E418" s="147"/>
      <c r="F418" s="147"/>
      <c r="G418" s="329">
        <f>SUM(G419:G422)</f>
        <v>941.510072572796</v>
      </c>
    </row>
    <row r="419" customHeight="1" spans="1:7">
      <c r="A419" s="314"/>
      <c r="B419" s="327" t="s">
        <v>900</v>
      </c>
      <c r="C419" s="328"/>
      <c r="D419" s="317" t="s">
        <v>896</v>
      </c>
      <c r="E419" s="147">
        <v>44</v>
      </c>
      <c r="F419" s="147">
        <f>施工机械台时费!$E$22</f>
        <v>3.07752692461109</v>
      </c>
      <c r="G419" s="329">
        <f t="shared" ref="G419:G421" si="45">E419*F419</f>
        <v>135.411184682888</v>
      </c>
    </row>
    <row r="420" customHeight="1" spans="1:7">
      <c r="A420" s="314"/>
      <c r="B420" s="327" t="s">
        <v>899</v>
      </c>
      <c r="C420" s="328"/>
      <c r="D420" s="317" t="s">
        <v>896</v>
      </c>
      <c r="E420" s="147">
        <v>18.54</v>
      </c>
      <c r="F420" s="147">
        <f>施工机械台时费!$E$21</f>
        <v>37.4199521340247</v>
      </c>
      <c r="G420" s="329">
        <f t="shared" si="45"/>
        <v>693.765912564818</v>
      </c>
    </row>
    <row r="421" customHeight="1" spans="1:7">
      <c r="A421" s="314"/>
      <c r="B421" s="327" t="s">
        <v>901</v>
      </c>
      <c r="C421" s="328"/>
      <c r="D421" s="317" t="s">
        <v>896</v>
      </c>
      <c r="E421" s="147">
        <v>83</v>
      </c>
      <c r="F421" s="147">
        <f>施工机械台时费!$E$36</f>
        <v>0.813242919824491</v>
      </c>
      <c r="G421" s="329">
        <f t="shared" si="45"/>
        <v>67.4991623454328</v>
      </c>
    </row>
    <row r="422" customHeight="1" spans="1:7">
      <c r="A422" s="314"/>
      <c r="B422" s="327" t="s">
        <v>902</v>
      </c>
      <c r="C422" s="328"/>
      <c r="D422" s="317" t="s">
        <v>894</v>
      </c>
      <c r="E422" s="152">
        <v>5</v>
      </c>
      <c r="F422" s="147">
        <f>SUM(G419:G421)</f>
        <v>896.676259593139</v>
      </c>
      <c r="G422" s="329">
        <f>E422*F422/100</f>
        <v>44.8338129796569</v>
      </c>
    </row>
    <row r="423" customHeight="1" spans="1:7">
      <c r="A423" s="314" t="s">
        <v>23</v>
      </c>
      <c r="B423" s="327" t="s">
        <v>513</v>
      </c>
      <c r="C423" s="328"/>
      <c r="D423" s="317"/>
      <c r="E423" s="147"/>
      <c r="F423" s="147"/>
      <c r="G423" s="329">
        <f>SUM(G424:G425)</f>
        <v>2405.69714865489</v>
      </c>
    </row>
    <row r="424" customHeight="1" spans="1:7">
      <c r="A424" s="314"/>
      <c r="B424" s="327" t="s">
        <v>903</v>
      </c>
      <c r="C424" s="328"/>
      <c r="D424" s="317" t="s">
        <v>70</v>
      </c>
      <c r="E424" s="147">
        <v>103</v>
      </c>
      <c r="F424" s="147">
        <f>$G$1441/100</f>
        <v>5.03319379720782</v>
      </c>
      <c r="G424" s="329">
        <f t="shared" ref="G424:G428" si="46">E424*F424</f>
        <v>518.418961112405</v>
      </c>
    </row>
    <row r="425" customHeight="1" spans="1:7">
      <c r="A425" s="314"/>
      <c r="B425" s="327" t="s">
        <v>904</v>
      </c>
      <c r="C425" s="328"/>
      <c r="D425" s="317" t="s">
        <v>70</v>
      </c>
      <c r="E425" s="147">
        <v>103</v>
      </c>
      <c r="F425" s="147">
        <f>$G$1469/100</f>
        <v>18.3230891994416</v>
      </c>
      <c r="G425" s="329">
        <f t="shared" si="46"/>
        <v>1887.27818754248</v>
      </c>
    </row>
    <row r="426" customHeight="1" spans="1:7">
      <c r="A426" s="314" t="s">
        <v>905</v>
      </c>
      <c r="B426" s="327" t="s">
        <v>514</v>
      </c>
      <c r="C426" s="328"/>
      <c r="D426" s="317"/>
      <c r="E426" s="332">
        <f>G410</f>
        <v>28772.8607562277</v>
      </c>
      <c r="F426" s="155">
        <f>费率表!$F$12</f>
        <v>0.064</v>
      </c>
      <c r="G426" s="329">
        <f t="shared" si="46"/>
        <v>1841.46308839857</v>
      </c>
    </row>
    <row r="427" customHeight="1" spans="1:7">
      <c r="A427" s="314" t="s">
        <v>10</v>
      </c>
      <c r="B427" s="327" t="s">
        <v>770</v>
      </c>
      <c r="C427" s="328"/>
      <c r="D427" s="317"/>
      <c r="E427" s="326">
        <f>G409</f>
        <v>30614.3238446263</v>
      </c>
      <c r="F427" s="155">
        <f>费率表!$F$13</f>
        <v>0.085</v>
      </c>
      <c r="G427" s="329">
        <f t="shared" si="46"/>
        <v>2602.21752679323</v>
      </c>
    </row>
    <row r="428" customHeight="1" spans="1:7">
      <c r="A428" s="314" t="s">
        <v>12</v>
      </c>
      <c r="B428" s="327" t="s">
        <v>771</v>
      </c>
      <c r="C428" s="328"/>
      <c r="D428" s="317"/>
      <c r="E428" s="326">
        <f>G409+G427</f>
        <v>33216.5413714195</v>
      </c>
      <c r="F428" s="156">
        <f>费率表!$F$14</f>
        <v>0.07</v>
      </c>
      <c r="G428" s="329">
        <f t="shared" si="46"/>
        <v>2325.15789599936</v>
      </c>
    </row>
    <row r="429" customHeight="1" spans="1:7">
      <c r="A429" s="314" t="s">
        <v>15</v>
      </c>
      <c r="B429" s="327" t="s">
        <v>517</v>
      </c>
      <c r="C429" s="328"/>
      <c r="D429" s="317"/>
      <c r="E429" s="326"/>
      <c r="F429" s="157"/>
      <c r="G429" s="329">
        <f>SUM(G430:G432)</f>
        <v>6725.57936206914</v>
      </c>
    </row>
    <row r="430" customHeight="1" spans="1:7">
      <c r="A430" s="314"/>
      <c r="B430" s="327" t="s">
        <v>729</v>
      </c>
      <c r="C430" s="328"/>
      <c r="D430" s="317" t="s">
        <v>204</v>
      </c>
      <c r="E430" s="326">
        <f>E416*混凝土单价计算表!$E$8</f>
        <v>31.641291</v>
      </c>
      <c r="F430" s="438">
        <f>主要材料预算!$N$5</f>
        <v>139.17214</v>
      </c>
      <c r="G430" s="329">
        <f t="shared" ref="G430:G434" si="47">E430*F430</f>
        <v>4403.58618083274</v>
      </c>
    </row>
    <row r="431" customHeight="1" spans="1:7">
      <c r="A431" s="314"/>
      <c r="B431" s="327" t="s">
        <v>684</v>
      </c>
      <c r="C431" s="328"/>
      <c r="D431" s="317" t="s">
        <v>70</v>
      </c>
      <c r="E431" s="326">
        <f>E416*混凝土单价计算表!$G$8</f>
        <v>56.62734</v>
      </c>
      <c r="F431" s="147"/>
      <c r="G431" s="329">
        <f t="shared" si="47"/>
        <v>0</v>
      </c>
    </row>
    <row r="432" customHeight="1" spans="1:7">
      <c r="A432" s="314"/>
      <c r="B432" s="327" t="s">
        <v>687</v>
      </c>
      <c r="C432" s="328"/>
      <c r="D432" s="317" t="s">
        <v>70</v>
      </c>
      <c r="E432" s="326">
        <f>E416*混凝土单价计算表!$I$8</f>
        <v>86.667084</v>
      </c>
      <c r="F432" s="438">
        <f>主要材料预算!$N$9</f>
        <v>26.7921</v>
      </c>
      <c r="G432" s="329">
        <f t="shared" si="47"/>
        <v>2321.9931812364</v>
      </c>
    </row>
    <row r="433" customHeight="1" spans="1:7">
      <c r="A433" s="314" t="s">
        <v>906</v>
      </c>
      <c r="B433" s="327" t="s">
        <v>772</v>
      </c>
      <c r="C433" s="328"/>
      <c r="D433" s="317"/>
      <c r="E433" s="326">
        <f>G409+G427++G428+G429</f>
        <v>42267.278629488</v>
      </c>
      <c r="F433" s="156">
        <f>费率表!$F$15</f>
        <v>0.09</v>
      </c>
      <c r="G433" s="329">
        <f t="shared" si="47"/>
        <v>3804.05507665392</v>
      </c>
    </row>
    <row r="434" customHeight="1" spans="1:7">
      <c r="A434" s="314"/>
      <c r="B434" s="327" t="s">
        <v>907</v>
      </c>
      <c r="C434" s="328"/>
      <c r="D434" s="317"/>
      <c r="E434" s="326">
        <f>G409+G427+G428+G429+G433</f>
        <v>46071.333706142</v>
      </c>
      <c r="F434" s="156">
        <f>费率表!$I$19</f>
        <v>0.03</v>
      </c>
      <c r="G434" s="329">
        <f t="shared" si="47"/>
        <v>1382.14001118426</v>
      </c>
    </row>
    <row r="435" customHeight="1" spans="1:7">
      <c r="A435" s="335"/>
      <c r="B435" s="336" t="s">
        <v>908</v>
      </c>
      <c r="C435" s="337"/>
      <c r="D435" s="338"/>
      <c r="E435" s="339"/>
      <c r="F435" s="161"/>
      <c r="G435" s="340">
        <f>G409+G427+G428+G429+G433+G434</f>
        <v>47453.4737173262</v>
      </c>
    </row>
    <row r="436" customHeight="1" spans="1:7">
      <c r="A436" s="394" t="s">
        <v>868</v>
      </c>
      <c r="B436" s="394"/>
      <c r="C436" s="394"/>
      <c r="D436" s="394"/>
      <c r="E436" s="394"/>
      <c r="F436" s="394"/>
      <c r="G436" s="394"/>
    </row>
    <row r="437" customHeight="1" spans="1:7">
      <c r="A437" s="309" t="s">
        <v>869</v>
      </c>
      <c r="B437" s="310"/>
      <c r="C437" s="310" t="s">
        <v>27</v>
      </c>
      <c r="D437" s="310" t="s">
        <v>870</v>
      </c>
      <c r="E437" s="311" t="s">
        <v>942</v>
      </c>
      <c r="F437" s="312"/>
      <c r="G437" s="313"/>
    </row>
    <row r="438" customHeight="1" spans="1:7">
      <c r="A438" s="314" t="s">
        <v>507</v>
      </c>
      <c r="B438" s="315"/>
      <c r="C438" s="316" t="s">
        <v>940</v>
      </c>
      <c r="D438" s="316"/>
      <c r="E438" s="316"/>
      <c r="F438" s="61" t="s">
        <v>873</v>
      </c>
      <c r="G438" s="318" t="s">
        <v>874</v>
      </c>
    </row>
    <row r="439" customHeight="1" spans="1:7">
      <c r="A439" s="319" t="s">
        <v>941</v>
      </c>
      <c r="B439" s="320"/>
      <c r="C439" s="320"/>
      <c r="D439" s="320"/>
      <c r="E439" s="320"/>
      <c r="F439" s="320"/>
      <c r="G439" s="321"/>
    </row>
    <row r="440" customHeight="1" spans="1:7">
      <c r="A440" s="322" t="s">
        <v>912</v>
      </c>
      <c r="B440" s="323"/>
      <c r="C440" s="324"/>
      <c r="D440" s="324"/>
      <c r="E440" s="324"/>
      <c r="F440" s="324"/>
      <c r="G440" s="325"/>
    </row>
    <row r="441" customHeight="1" spans="1:7">
      <c r="A441" s="314" t="s">
        <v>34</v>
      </c>
      <c r="B441" s="317" t="s">
        <v>761</v>
      </c>
      <c r="C441" s="317"/>
      <c r="D441" s="317" t="s">
        <v>60</v>
      </c>
      <c r="E441" s="326" t="s">
        <v>877</v>
      </c>
      <c r="F441" s="61" t="s">
        <v>878</v>
      </c>
      <c r="G441" s="318" t="s">
        <v>879</v>
      </c>
    </row>
    <row r="442" customHeight="1" spans="1:7">
      <c r="A442" s="314" t="s">
        <v>8</v>
      </c>
      <c r="B442" s="327" t="s">
        <v>880</v>
      </c>
      <c r="C442" s="328"/>
      <c r="D442" s="317"/>
      <c r="E442" s="326"/>
      <c r="F442" s="147"/>
      <c r="G442" s="329">
        <f>G443+G459</f>
        <v>31360.6678309863</v>
      </c>
    </row>
    <row r="443" customHeight="1" spans="1:7">
      <c r="A443" s="314" t="s">
        <v>881</v>
      </c>
      <c r="B443" s="327" t="s">
        <v>882</v>
      </c>
      <c r="C443" s="328"/>
      <c r="D443" s="317"/>
      <c r="E443" s="326"/>
      <c r="F443" s="147"/>
      <c r="G443" s="329">
        <f>G444+G447+G451+G456</f>
        <v>29474.3118712277</v>
      </c>
    </row>
    <row r="444" customHeight="1" spans="1:7">
      <c r="A444" s="314" t="s">
        <v>17</v>
      </c>
      <c r="B444" s="327" t="s">
        <v>510</v>
      </c>
      <c r="C444" s="328"/>
      <c r="D444" s="317"/>
      <c r="E444" s="326"/>
      <c r="F444" s="147"/>
      <c r="G444" s="329">
        <f>SUM(G445:G446)</f>
        <v>6278.856</v>
      </c>
    </row>
    <row r="445" customHeight="1" spans="1:7">
      <c r="A445" s="314"/>
      <c r="B445" s="327" t="s">
        <v>704</v>
      </c>
      <c r="C445" s="328"/>
      <c r="D445" s="317" t="s">
        <v>705</v>
      </c>
      <c r="E445" s="423">
        <v>417</v>
      </c>
      <c r="F445" s="423">
        <f>主要材料预算!$D$19</f>
        <v>8.1</v>
      </c>
      <c r="G445" s="329">
        <f t="shared" ref="G445:G450" si="48">E445*F445</f>
        <v>3377.7</v>
      </c>
    </row>
    <row r="446" customHeight="1" spans="1:7">
      <c r="A446" s="314"/>
      <c r="B446" s="327" t="s">
        <v>706</v>
      </c>
      <c r="C446" s="328"/>
      <c r="D446" s="317" t="s">
        <v>705</v>
      </c>
      <c r="E446" s="423">
        <v>502.8</v>
      </c>
      <c r="F446" s="423">
        <f>主要材料预算!$D$20</f>
        <v>5.77</v>
      </c>
      <c r="G446" s="329">
        <f t="shared" si="48"/>
        <v>2901.156</v>
      </c>
    </row>
    <row r="447" customHeight="1" spans="1:7">
      <c r="A447" s="314" t="s">
        <v>19</v>
      </c>
      <c r="B447" s="327" t="s">
        <v>511</v>
      </c>
      <c r="C447" s="328"/>
      <c r="D447" s="317"/>
      <c r="E447" s="326"/>
      <c r="F447" s="147"/>
      <c r="G447" s="329">
        <f>SUM(G448:G450)</f>
        <v>19848.24865</v>
      </c>
    </row>
    <row r="448" customHeight="1" spans="1:7">
      <c r="A448" s="314"/>
      <c r="B448" s="327" t="s">
        <v>886</v>
      </c>
      <c r="C448" s="328"/>
      <c r="D448" s="317" t="s">
        <v>695</v>
      </c>
      <c r="E448" s="326">
        <v>50</v>
      </c>
      <c r="F448" s="147">
        <f>基础材料!$D$5</f>
        <v>4.5</v>
      </c>
      <c r="G448" s="329">
        <f t="shared" si="48"/>
        <v>225</v>
      </c>
    </row>
    <row r="449" customHeight="1" spans="1:7">
      <c r="A449" s="314"/>
      <c r="B449" s="327" t="s">
        <v>932</v>
      </c>
      <c r="C449" s="328"/>
      <c r="D449" s="317" t="s">
        <v>70</v>
      </c>
      <c r="E449" s="331">
        <v>103</v>
      </c>
      <c r="F449" s="147">
        <f>混凝土单价计算表!$M$10</f>
        <v>183.26455</v>
      </c>
      <c r="G449" s="329">
        <f t="shared" si="48"/>
        <v>18876.24865</v>
      </c>
    </row>
    <row r="450" customHeight="1" spans="1:7">
      <c r="A450" s="314"/>
      <c r="B450" s="327" t="s">
        <v>892</v>
      </c>
      <c r="C450" s="328"/>
      <c r="D450" s="317" t="s">
        <v>70</v>
      </c>
      <c r="E450" s="331">
        <v>180</v>
      </c>
      <c r="F450" s="147">
        <f>主要材料预算!$D$16</f>
        <v>4.15</v>
      </c>
      <c r="G450" s="329">
        <f t="shared" si="48"/>
        <v>747</v>
      </c>
    </row>
    <row r="451" customHeight="1" spans="1:7">
      <c r="A451" s="314" t="s">
        <v>21</v>
      </c>
      <c r="B451" s="327" t="s">
        <v>895</v>
      </c>
      <c r="C451" s="328"/>
      <c r="D451" s="317"/>
      <c r="E451" s="147"/>
      <c r="F451" s="147"/>
      <c r="G451" s="329">
        <f>SUM(G452:G455)</f>
        <v>941.510072572796</v>
      </c>
    </row>
    <row r="452" customHeight="1" spans="1:7">
      <c r="A452" s="314"/>
      <c r="B452" s="327" t="s">
        <v>900</v>
      </c>
      <c r="C452" s="328"/>
      <c r="D452" s="317" t="s">
        <v>896</v>
      </c>
      <c r="E452" s="147">
        <v>44</v>
      </c>
      <c r="F452" s="147">
        <f>施工机械台时费!$E$22</f>
        <v>3.07752692461109</v>
      </c>
      <c r="G452" s="329">
        <f t="shared" ref="G452:G454" si="49">E452*F452</f>
        <v>135.411184682888</v>
      </c>
    </row>
    <row r="453" customHeight="1" spans="1:7">
      <c r="A453" s="314"/>
      <c r="B453" s="327" t="s">
        <v>899</v>
      </c>
      <c r="C453" s="328"/>
      <c r="D453" s="317" t="s">
        <v>896</v>
      </c>
      <c r="E453" s="147">
        <v>18.54</v>
      </c>
      <c r="F453" s="147">
        <f>施工机械台时费!$E$21</f>
        <v>37.4199521340247</v>
      </c>
      <c r="G453" s="329">
        <f t="shared" si="49"/>
        <v>693.765912564818</v>
      </c>
    </row>
    <row r="454" customHeight="1" spans="1:7">
      <c r="A454" s="314"/>
      <c r="B454" s="327" t="s">
        <v>901</v>
      </c>
      <c r="C454" s="328"/>
      <c r="D454" s="317" t="s">
        <v>896</v>
      </c>
      <c r="E454" s="147">
        <v>83</v>
      </c>
      <c r="F454" s="147">
        <f>施工机械台时费!$E$36</f>
        <v>0.813242919824491</v>
      </c>
      <c r="G454" s="329">
        <f t="shared" si="49"/>
        <v>67.4991623454328</v>
      </c>
    </row>
    <row r="455" customHeight="1" spans="1:7">
      <c r="A455" s="314"/>
      <c r="B455" s="327" t="s">
        <v>902</v>
      </c>
      <c r="C455" s="328"/>
      <c r="D455" s="317" t="s">
        <v>894</v>
      </c>
      <c r="E455" s="152">
        <v>5</v>
      </c>
      <c r="F455" s="147">
        <f>SUM(G452:G454)</f>
        <v>896.676259593139</v>
      </c>
      <c r="G455" s="329">
        <f>E455*F455/100</f>
        <v>44.8338129796569</v>
      </c>
    </row>
    <row r="456" customHeight="1" spans="1:7">
      <c r="A456" s="314" t="s">
        <v>23</v>
      </c>
      <c r="B456" s="327" t="s">
        <v>513</v>
      </c>
      <c r="C456" s="328"/>
      <c r="D456" s="317"/>
      <c r="E456" s="147"/>
      <c r="F456" s="147"/>
      <c r="G456" s="329">
        <f>SUM(G457:G458)</f>
        <v>2405.69714865489</v>
      </c>
    </row>
    <row r="457" customHeight="1" spans="1:7">
      <c r="A457" s="314"/>
      <c r="B457" s="327" t="s">
        <v>903</v>
      </c>
      <c r="C457" s="328"/>
      <c r="D457" s="317" t="s">
        <v>70</v>
      </c>
      <c r="E457" s="147">
        <v>103</v>
      </c>
      <c r="F457" s="147">
        <f>$G$1441/100</f>
        <v>5.03319379720782</v>
      </c>
      <c r="G457" s="329">
        <f t="shared" ref="G457:G461" si="50">E457*F457</f>
        <v>518.418961112405</v>
      </c>
    </row>
    <row r="458" customHeight="1" spans="1:7">
      <c r="A458" s="314"/>
      <c r="B458" s="327" t="s">
        <v>904</v>
      </c>
      <c r="C458" s="328"/>
      <c r="D458" s="317" t="s">
        <v>70</v>
      </c>
      <c r="E458" s="147">
        <v>103</v>
      </c>
      <c r="F458" s="147">
        <f>$G$1469/100</f>
        <v>18.3230891994416</v>
      </c>
      <c r="G458" s="329">
        <f t="shared" si="50"/>
        <v>1887.27818754248</v>
      </c>
    </row>
    <row r="459" customHeight="1" spans="1:7">
      <c r="A459" s="314" t="s">
        <v>905</v>
      </c>
      <c r="B459" s="327" t="s">
        <v>514</v>
      </c>
      <c r="C459" s="328"/>
      <c r="D459" s="317"/>
      <c r="E459" s="332">
        <f>G443</f>
        <v>29474.3118712277</v>
      </c>
      <c r="F459" s="155">
        <f>费率表!$F$12</f>
        <v>0.064</v>
      </c>
      <c r="G459" s="329">
        <f t="shared" si="50"/>
        <v>1886.35595975857</v>
      </c>
    </row>
    <row r="460" customHeight="1" spans="1:7">
      <c r="A460" s="314" t="s">
        <v>10</v>
      </c>
      <c r="B460" s="327" t="s">
        <v>770</v>
      </c>
      <c r="C460" s="328"/>
      <c r="D460" s="317"/>
      <c r="E460" s="326">
        <f>G442</f>
        <v>31360.6678309863</v>
      </c>
      <c r="F460" s="155">
        <f>费率表!$F$13</f>
        <v>0.085</v>
      </c>
      <c r="G460" s="329">
        <f t="shared" si="50"/>
        <v>2665.65676563383</v>
      </c>
    </row>
    <row r="461" customHeight="1" spans="1:7">
      <c r="A461" s="314" t="s">
        <v>12</v>
      </c>
      <c r="B461" s="327" t="s">
        <v>771</v>
      </c>
      <c r="C461" s="328"/>
      <c r="D461" s="317"/>
      <c r="E461" s="326">
        <f>G442+G460</f>
        <v>34026.3245966201</v>
      </c>
      <c r="F461" s="156">
        <f>费率表!$F$14</f>
        <v>0.07</v>
      </c>
      <c r="G461" s="329">
        <f t="shared" si="50"/>
        <v>2381.84272176341</v>
      </c>
    </row>
    <row r="462" customHeight="1" spans="1:7">
      <c r="A462" s="314" t="s">
        <v>15</v>
      </c>
      <c r="B462" s="327" t="s">
        <v>517</v>
      </c>
      <c r="C462" s="328"/>
      <c r="D462" s="317"/>
      <c r="E462" s="326"/>
      <c r="F462" s="157"/>
      <c r="G462" s="329">
        <f>SUM(G463:G465)</f>
        <v>7194.6204211</v>
      </c>
    </row>
    <row r="463" customHeight="1" spans="1:7">
      <c r="A463" s="314"/>
      <c r="B463" s="327" t="s">
        <v>729</v>
      </c>
      <c r="C463" s="328"/>
      <c r="D463" s="317" t="s">
        <v>204</v>
      </c>
      <c r="E463" s="326">
        <f>E449*混凝土单价计算表!$E$10</f>
        <v>35.02</v>
      </c>
      <c r="F463" s="438">
        <f>主要材料预算!$N$5</f>
        <v>139.17214</v>
      </c>
      <c r="G463" s="329">
        <f t="shared" ref="G463:G467" si="51">E463*F463</f>
        <v>4873.8083428</v>
      </c>
    </row>
    <row r="464" customHeight="1" spans="1:7">
      <c r="A464" s="314"/>
      <c r="B464" s="327" t="s">
        <v>684</v>
      </c>
      <c r="C464" s="328"/>
      <c r="D464" s="317" t="s">
        <v>70</v>
      </c>
      <c r="E464" s="326">
        <f>E449*混凝土单价计算表!$G$10</f>
        <v>54.384</v>
      </c>
      <c r="F464" s="147"/>
      <c r="G464" s="329">
        <f t="shared" si="51"/>
        <v>0</v>
      </c>
    </row>
    <row r="465" customHeight="1" spans="1:7">
      <c r="A465" s="314"/>
      <c r="B465" s="327" t="s">
        <v>687</v>
      </c>
      <c r="C465" s="328"/>
      <c r="D465" s="317" t="s">
        <v>70</v>
      </c>
      <c r="E465" s="326">
        <f>E449*混凝土单价计算表!$I$10</f>
        <v>86.623</v>
      </c>
      <c r="F465" s="438">
        <f>主要材料预算!$N$9</f>
        <v>26.7921</v>
      </c>
      <c r="G465" s="329">
        <f t="shared" si="51"/>
        <v>2320.8120783</v>
      </c>
    </row>
    <row r="466" customHeight="1" spans="1:7">
      <c r="A466" s="314" t="s">
        <v>906</v>
      </c>
      <c r="B466" s="327" t="s">
        <v>772</v>
      </c>
      <c r="C466" s="328"/>
      <c r="D466" s="317"/>
      <c r="E466" s="326">
        <f>G442+G460++G461+G462</f>
        <v>43602.7877394835</v>
      </c>
      <c r="F466" s="156">
        <f>费率表!$F$15</f>
        <v>0.09</v>
      </c>
      <c r="G466" s="329">
        <f t="shared" si="51"/>
        <v>3924.25089655352</v>
      </c>
    </row>
    <row r="467" customHeight="1" spans="1:7">
      <c r="A467" s="314"/>
      <c r="B467" s="327" t="s">
        <v>907</v>
      </c>
      <c r="C467" s="328"/>
      <c r="D467" s="317"/>
      <c r="E467" s="326">
        <f>G442+G460+G461+G462+G466</f>
        <v>47527.0386360371</v>
      </c>
      <c r="F467" s="156">
        <f>费率表!$I$19</f>
        <v>0.03</v>
      </c>
      <c r="G467" s="329">
        <f t="shared" si="51"/>
        <v>1425.81115908111</v>
      </c>
    </row>
    <row r="468" customHeight="1" spans="1:7">
      <c r="A468" s="335"/>
      <c r="B468" s="336" t="s">
        <v>908</v>
      </c>
      <c r="C468" s="337"/>
      <c r="D468" s="338"/>
      <c r="E468" s="339"/>
      <c r="F468" s="161"/>
      <c r="G468" s="340">
        <f>G442+G460+G461+G462+G466+G467</f>
        <v>48952.8497951182</v>
      </c>
    </row>
    <row r="469" customHeight="1" spans="1:7">
      <c r="A469" s="227"/>
      <c r="B469" s="227"/>
      <c r="C469" s="227"/>
      <c r="D469" s="227"/>
      <c r="E469" s="228"/>
      <c r="F469" s="123"/>
      <c r="G469" s="228"/>
    </row>
    <row r="470" customHeight="1" spans="1:7">
      <c r="A470" s="227"/>
      <c r="B470" s="227"/>
      <c r="C470" s="227"/>
      <c r="D470" s="227"/>
      <c r="E470" s="228"/>
      <c r="F470" s="123"/>
      <c r="G470" s="228"/>
    </row>
    <row r="471" customHeight="1" spans="1:7">
      <c r="A471" s="394" t="s">
        <v>868</v>
      </c>
      <c r="B471" s="394"/>
      <c r="C471" s="394"/>
      <c r="D471" s="394"/>
      <c r="E471" s="394"/>
      <c r="F471" s="394"/>
      <c r="G471" s="394"/>
    </row>
    <row r="472" customHeight="1" spans="1:7">
      <c r="A472" s="309" t="s">
        <v>869</v>
      </c>
      <c r="B472" s="310"/>
      <c r="C472" s="310" t="s">
        <v>29</v>
      </c>
      <c r="D472" s="310" t="s">
        <v>870</v>
      </c>
      <c r="E472" s="311" t="s">
        <v>943</v>
      </c>
      <c r="F472" s="312"/>
      <c r="G472" s="313"/>
    </row>
    <row r="473" customHeight="1" spans="1:7">
      <c r="A473" s="314" t="s">
        <v>507</v>
      </c>
      <c r="B473" s="315"/>
      <c r="C473" s="316" t="s">
        <v>944</v>
      </c>
      <c r="D473" s="316"/>
      <c r="E473" s="316"/>
      <c r="F473" s="61" t="s">
        <v>873</v>
      </c>
      <c r="G473" s="318" t="s">
        <v>874</v>
      </c>
    </row>
    <row r="474" customHeight="1" spans="1:7">
      <c r="A474" s="319" t="s">
        <v>945</v>
      </c>
      <c r="B474" s="320"/>
      <c r="C474" s="320"/>
      <c r="D474" s="320"/>
      <c r="E474" s="320"/>
      <c r="F474" s="320"/>
      <c r="G474" s="321"/>
    </row>
    <row r="475" customHeight="1" spans="1:7">
      <c r="A475" s="322" t="s">
        <v>912</v>
      </c>
      <c r="B475" s="323"/>
      <c r="C475" s="324"/>
      <c r="D475" s="324"/>
      <c r="E475" s="324"/>
      <c r="F475" s="324"/>
      <c r="G475" s="325"/>
    </row>
    <row r="476" customHeight="1" spans="1:7">
      <c r="A476" s="314" t="s">
        <v>34</v>
      </c>
      <c r="B476" s="317" t="s">
        <v>761</v>
      </c>
      <c r="C476" s="317"/>
      <c r="D476" s="317" t="s">
        <v>60</v>
      </c>
      <c r="E476" s="326" t="s">
        <v>877</v>
      </c>
      <c r="F476" s="61" t="s">
        <v>878</v>
      </c>
      <c r="G476" s="318" t="s">
        <v>879</v>
      </c>
    </row>
    <row r="477" customHeight="1" spans="1:7">
      <c r="A477" s="314" t="s">
        <v>8</v>
      </c>
      <c r="B477" s="327" t="s">
        <v>880</v>
      </c>
      <c r="C477" s="328"/>
      <c r="D477" s="317"/>
      <c r="E477" s="326"/>
      <c r="F477" s="147"/>
      <c r="G477" s="329">
        <f>G478+G495</f>
        <v>32646.4872103987</v>
      </c>
    </row>
    <row r="478" customHeight="1" spans="1:7">
      <c r="A478" s="314" t="s">
        <v>881</v>
      </c>
      <c r="B478" s="327" t="s">
        <v>882</v>
      </c>
      <c r="C478" s="328"/>
      <c r="D478" s="317"/>
      <c r="E478" s="326"/>
      <c r="F478" s="147"/>
      <c r="G478" s="329">
        <f>G479+G482+G487+G492</f>
        <v>30682.7887315777</v>
      </c>
    </row>
    <row r="479" customHeight="1" spans="1:7">
      <c r="A479" s="314" t="s">
        <v>17</v>
      </c>
      <c r="B479" s="327" t="s">
        <v>510</v>
      </c>
      <c r="C479" s="328"/>
      <c r="D479" s="317"/>
      <c r="E479" s="326"/>
      <c r="F479" s="147"/>
      <c r="G479" s="329">
        <f>SUM(G480:G481)</f>
        <v>7770.066</v>
      </c>
    </row>
    <row r="480" customHeight="1" spans="1:7">
      <c r="A480" s="314"/>
      <c r="B480" s="327" t="s">
        <v>704</v>
      </c>
      <c r="C480" s="328"/>
      <c r="D480" s="317" t="s">
        <v>705</v>
      </c>
      <c r="E480" s="423">
        <v>601.1</v>
      </c>
      <c r="F480" s="423">
        <f>主要材料预算!$D$19</f>
        <v>8.1</v>
      </c>
      <c r="G480" s="329">
        <f t="shared" ref="G480:G485" si="52">E480*F480</f>
        <v>4868.91</v>
      </c>
    </row>
    <row r="481" customHeight="1" spans="1:7">
      <c r="A481" s="314"/>
      <c r="B481" s="327" t="s">
        <v>706</v>
      </c>
      <c r="C481" s="328"/>
      <c r="D481" s="317" t="s">
        <v>705</v>
      </c>
      <c r="E481" s="423">
        <v>502.8</v>
      </c>
      <c r="F481" s="423">
        <f>主要材料预算!$D$20</f>
        <v>5.77</v>
      </c>
      <c r="G481" s="329">
        <f t="shared" si="52"/>
        <v>2901.156</v>
      </c>
    </row>
    <row r="482" customHeight="1" spans="1:7">
      <c r="A482" s="314" t="s">
        <v>19</v>
      </c>
      <c r="B482" s="327" t="s">
        <v>511</v>
      </c>
      <c r="C482" s="328"/>
      <c r="D482" s="317"/>
      <c r="E482" s="326"/>
      <c r="F482" s="147"/>
      <c r="G482" s="329">
        <f>SUM(G483:G486)</f>
        <v>19565.51551035</v>
      </c>
    </row>
    <row r="483" customHeight="1" spans="1:7">
      <c r="A483" s="314"/>
      <c r="B483" s="327" t="s">
        <v>886</v>
      </c>
      <c r="C483" s="328"/>
      <c r="D483" s="317" t="s">
        <v>695</v>
      </c>
      <c r="E483" s="326">
        <v>100</v>
      </c>
      <c r="F483" s="147">
        <v>4.5</v>
      </c>
      <c r="G483" s="329">
        <f t="shared" si="52"/>
        <v>450</v>
      </c>
    </row>
    <row r="484" customHeight="1" spans="1:7">
      <c r="A484" s="314"/>
      <c r="B484" s="327" t="s">
        <v>925</v>
      </c>
      <c r="C484" s="328"/>
      <c r="D484" s="317" t="s">
        <v>70</v>
      </c>
      <c r="E484" s="331">
        <v>103</v>
      </c>
      <c r="F484" s="147">
        <f>混凝土单价计算表!$M$7</f>
        <v>176.454345</v>
      </c>
      <c r="G484" s="329">
        <f t="shared" si="52"/>
        <v>18174.797535</v>
      </c>
    </row>
    <row r="485" customHeight="1" spans="1:7">
      <c r="A485" s="314"/>
      <c r="B485" s="327" t="s">
        <v>892</v>
      </c>
      <c r="C485" s="328"/>
      <c r="D485" s="317" t="s">
        <v>70</v>
      </c>
      <c r="E485" s="331">
        <v>180</v>
      </c>
      <c r="F485" s="147">
        <f>主要材料预算!$D$16</f>
        <v>4.15</v>
      </c>
      <c r="G485" s="329">
        <f t="shared" si="52"/>
        <v>747</v>
      </c>
    </row>
    <row r="486" customHeight="1" spans="1:7">
      <c r="A486" s="314"/>
      <c r="B486" s="327" t="s">
        <v>893</v>
      </c>
      <c r="C486" s="328"/>
      <c r="D486" s="317" t="s">
        <v>894</v>
      </c>
      <c r="E486" s="152">
        <v>1</v>
      </c>
      <c r="F486" s="147">
        <f>SUM(G483:G485)</f>
        <v>19371.797535</v>
      </c>
      <c r="G486" s="329">
        <f>E486*F486/100</f>
        <v>193.71797535</v>
      </c>
    </row>
    <row r="487" customHeight="1" spans="1:7">
      <c r="A487" s="314" t="s">
        <v>21</v>
      </c>
      <c r="B487" s="327" t="s">
        <v>895</v>
      </c>
      <c r="C487" s="328"/>
      <c r="D487" s="317"/>
      <c r="E487" s="147"/>
      <c r="F487" s="147"/>
      <c r="G487" s="329">
        <f>SUM(G488:G491)</f>
        <v>941.510072572796</v>
      </c>
    </row>
    <row r="488" customHeight="1" spans="1:7">
      <c r="A488" s="314"/>
      <c r="B488" s="327" t="s">
        <v>900</v>
      </c>
      <c r="C488" s="328"/>
      <c r="D488" s="317" t="s">
        <v>896</v>
      </c>
      <c r="E488" s="147">
        <v>44</v>
      </c>
      <c r="F488" s="147">
        <f>施工机械台时费!$E$22</f>
        <v>3.07752692461109</v>
      </c>
      <c r="G488" s="329">
        <f t="shared" ref="G488:G490" si="53">E488*F488</f>
        <v>135.411184682888</v>
      </c>
    </row>
    <row r="489" customHeight="1" spans="1:7">
      <c r="A489" s="314"/>
      <c r="B489" s="327" t="s">
        <v>899</v>
      </c>
      <c r="C489" s="328"/>
      <c r="D489" s="317" t="s">
        <v>896</v>
      </c>
      <c r="E489" s="147">
        <v>18.54</v>
      </c>
      <c r="F489" s="147">
        <f>施工机械台时费!$E$21</f>
        <v>37.4199521340247</v>
      </c>
      <c r="G489" s="329">
        <f t="shared" si="53"/>
        <v>693.765912564818</v>
      </c>
    </row>
    <row r="490" customHeight="1" spans="1:7">
      <c r="A490" s="314"/>
      <c r="B490" s="327" t="s">
        <v>901</v>
      </c>
      <c r="C490" s="328"/>
      <c r="D490" s="317" t="s">
        <v>896</v>
      </c>
      <c r="E490" s="147">
        <v>83</v>
      </c>
      <c r="F490" s="147">
        <f>施工机械台时费!$E$36</f>
        <v>0.813242919824491</v>
      </c>
      <c r="G490" s="329">
        <f t="shared" si="53"/>
        <v>67.4991623454328</v>
      </c>
    </row>
    <row r="491" customHeight="1" spans="1:7">
      <c r="A491" s="314"/>
      <c r="B491" s="327" t="s">
        <v>902</v>
      </c>
      <c r="C491" s="328"/>
      <c r="D491" s="317" t="s">
        <v>894</v>
      </c>
      <c r="E491" s="152">
        <v>5</v>
      </c>
      <c r="F491" s="147">
        <f>SUM(G488:G490)</f>
        <v>896.676259593139</v>
      </c>
      <c r="G491" s="329">
        <f>E491*F491/100</f>
        <v>44.8338129796569</v>
      </c>
    </row>
    <row r="492" customHeight="1" spans="1:7">
      <c r="A492" s="314" t="s">
        <v>23</v>
      </c>
      <c r="B492" s="327" t="s">
        <v>513</v>
      </c>
      <c r="C492" s="328"/>
      <c r="D492" s="317"/>
      <c r="E492" s="147"/>
      <c r="F492" s="147"/>
      <c r="G492" s="329">
        <f>SUM(G493:G494)</f>
        <v>2405.69714865489</v>
      </c>
    </row>
    <row r="493" customHeight="1" spans="1:7">
      <c r="A493" s="314"/>
      <c r="B493" s="327" t="s">
        <v>903</v>
      </c>
      <c r="C493" s="328"/>
      <c r="D493" s="317" t="s">
        <v>70</v>
      </c>
      <c r="E493" s="147">
        <v>103</v>
      </c>
      <c r="F493" s="147">
        <f>$G$1441/100</f>
        <v>5.03319379720782</v>
      </c>
      <c r="G493" s="329">
        <f t="shared" ref="G493:G497" si="54">E493*F493</f>
        <v>518.418961112405</v>
      </c>
    </row>
    <row r="494" customHeight="1" spans="1:7">
      <c r="A494" s="314"/>
      <c r="B494" s="327" t="s">
        <v>904</v>
      </c>
      <c r="C494" s="328"/>
      <c r="D494" s="317" t="s">
        <v>70</v>
      </c>
      <c r="E494" s="147">
        <v>103</v>
      </c>
      <c r="F494" s="147">
        <f>$G$1469/100</f>
        <v>18.3230891994416</v>
      </c>
      <c r="G494" s="329">
        <f t="shared" si="54"/>
        <v>1887.27818754248</v>
      </c>
    </row>
    <row r="495" customHeight="1" spans="1:7">
      <c r="A495" s="314" t="s">
        <v>905</v>
      </c>
      <c r="B495" s="327" t="s">
        <v>514</v>
      </c>
      <c r="C495" s="328"/>
      <c r="D495" s="317"/>
      <c r="E495" s="332">
        <f>G478</f>
        <v>30682.7887315777</v>
      </c>
      <c r="F495" s="155">
        <f>费率表!$F$12</f>
        <v>0.064</v>
      </c>
      <c r="G495" s="329">
        <f t="shared" si="54"/>
        <v>1963.69847882097</v>
      </c>
    </row>
    <row r="496" customHeight="1" spans="1:7">
      <c r="A496" s="314" t="s">
        <v>10</v>
      </c>
      <c r="B496" s="327" t="s">
        <v>770</v>
      </c>
      <c r="C496" s="328"/>
      <c r="D496" s="317"/>
      <c r="E496" s="326">
        <f>G477</f>
        <v>32646.4872103987</v>
      </c>
      <c r="F496" s="155">
        <f>费率表!$F$13</f>
        <v>0.085</v>
      </c>
      <c r="G496" s="329">
        <f t="shared" si="54"/>
        <v>2774.95141288389</v>
      </c>
    </row>
    <row r="497" customHeight="1" spans="1:7">
      <c r="A497" s="314" t="s">
        <v>12</v>
      </c>
      <c r="B497" s="327" t="s">
        <v>771</v>
      </c>
      <c r="C497" s="328"/>
      <c r="D497" s="317"/>
      <c r="E497" s="326">
        <f>G477+G496</f>
        <v>35421.4386232825</v>
      </c>
      <c r="F497" s="156">
        <f>费率表!$F$14</f>
        <v>0.07</v>
      </c>
      <c r="G497" s="329">
        <f t="shared" si="54"/>
        <v>2479.50070362978</v>
      </c>
    </row>
    <row r="498" customHeight="1" spans="1:7">
      <c r="A498" s="314" t="s">
        <v>15</v>
      </c>
      <c r="B498" s="327" t="s">
        <v>517</v>
      </c>
      <c r="C498" s="328"/>
      <c r="D498" s="317"/>
      <c r="E498" s="326"/>
      <c r="F498" s="157"/>
      <c r="G498" s="329">
        <f>SUM(G499:G501)</f>
        <v>6725.57936206914</v>
      </c>
    </row>
    <row r="499" customHeight="1" spans="1:7">
      <c r="A499" s="314"/>
      <c r="B499" s="327" t="s">
        <v>729</v>
      </c>
      <c r="C499" s="328"/>
      <c r="D499" s="317" t="s">
        <v>204</v>
      </c>
      <c r="E499" s="326">
        <f>E484*混凝土单价计算表!$E$7</f>
        <v>31.641291</v>
      </c>
      <c r="F499" s="438">
        <f>主要材料预算!$N$5</f>
        <v>139.17214</v>
      </c>
      <c r="G499" s="329">
        <f t="shared" ref="G499:G503" si="55">E499*F499</f>
        <v>4403.58618083274</v>
      </c>
    </row>
    <row r="500" customHeight="1" spans="1:7">
      <c r="A500" s="314"/>
      <c r="B500" s="327" t="s">
        <v>684</v>
      </c>
      <c r="C500" s="328"/>
      <c r="D500" s="317" t="s">
        <v>70</v>
      </c>
      <c r="E500" s="326">
        <f>E484*混凝土单价计算表!$G$7</f>
        <v>56.62734</v>
      </c>
      <c r="F500" s="147"/>
      <c r="G500" s="329">
        <f t="shared" si="55"/>
        <v>0</v>
      </c>
    </row>
    <row r="501" customHeight="1" spans="1:7">
      <c r="A501" s="314"/>
      <c r="B501" s="327" t="s">
        <v>687</v>
      </c>
      <c r="C501" s="328"/>
      <c r="D501" s="317" t="s">
        <v>70</v>
      </c>
      <c r="E501" s="326">
        <f>E484*混凝土单价计算表!$I$7</f>
        <v>86.667084</v>
      </c>
      <c r="F501" s="438">
        <f>主要材料预算!$N$9</f>
        <v>26.7921</v>
      </c>
      <c r="G501" s="329">
        <f t="shared" si="55"/>
        <v>2321.9931812364</v>
      </c>
    </row>
    <row r="502" customHeight="1" spans="1:7">
      <c r="A502" s="314" t="s">
        <v>906</v>
      </c>
      <c r="B502" s="327" t="s">
        <v>772</v>
      </c>
      <c r="C502" s="328"/>
      <c r="D502" s="317"/>
      <c r="E502" s="326">
        <f>G477+G496++G497+G498</f>
        <v>44626.5186889815</v>
      </c>
      <c r="F502" s="156">
        <f>费率表!$F$15</f>
        <v>0.09</v>
      </c>
      <c r="G502" s="329">
        <f t="shared" si="55"/>
        <v>4016.38668200834</v>
      </c>
    </row>
    <row r="503" customHeight="1" spans="1:7">
      <c r="A503" s="314"/>
      <c r="B503" s="327" t="s">
        <v>907</v>
      </c>
      <c r="C503" s="328"/>
      <c r="D503" s="317"/>
      <c r="E503" s="326">
        <f>G477+G496+G497+G498+G502</f>
        <v>48642.9053709899</v>
      </c>
      <c r="F503" s="156">
        <f>费率表!$I$19</f>
        <v>0.03</v>
      </c>
      <c r="G503" s="329">
        <f t="shared" si="55"/>
        <v>1459.2871611297</v>
      </c>
    </row>
    <row r="504" customHeight="1" spans="1:7">
      <c r="A504" s="335"/>
      <c r="B504" s="336" t="s">
        <v>908</v>
      </c>
      <c r="C504" s="337"/>
      <c r="D504" s="338"/>
      <c r="E504" s="339"/>
      <c r="F504" s="161"/>
      <c r="G504" s="340">
        <f>G477+G496+G497+G498+G502+G503</f>
        <v>50102.1925321195</v>
      </c>
    </row>
    <row r="505" customHeight="1" spans="1:7">
      <c r="A505" s="227"/>
      <c r="B505" s="227"/>
      <c r="C505" s="227"/>
      <c r="D505" s="227"/>
      <c r="E505" s="228"/>
      <c r="F505" s="123"/>
      <c r="G505" s="228"/>
    </row>
    <row r="506" customHeight="1" spans="1:7">
      <c r="A506" s="394" t="s">
        <v>868</v>
      </c>
      <c r="B506" s="394"/>
      <c r="C506" s="394"/>
      <c r="D506" s="394"/>
      <c r="E506" s="394"/>
      <c r="F506" s="394"/>
      <c r="G506" s="394"/>
    </row>
    <row r="507" customHeight="1" spans="1:7">
      <c r="A507" s="309" t="s">
        <v>869</v>
      </c>
      <c r="B507" s="310"/>
      <c r="C507" s="310" t="s">
        <v>29</v>
      </c>
      <c r="D507" s="310" t="s">
        <v>870</v>
      </c>
      <c r="E507" s="311" t="s">
        <v>946</v>
      </c>
      <c r="F507" s="312"/>
      <c r="G507" s="313"/>
    </row>
    <row r="508" customHeight="1" spans="1:7">
      <c r="A508" s="314" t="s">
        <v>507</v>
      </c>
      <c r="B508" s="315"/>
      <c r="C508" s="316" t="s">
        <v>944</v>
      </c>
      <c r="D508" s="316"/>
      <c r="E508" s="316"/>
      <c r="F508" s="61" t="s">
        <v>873</v>
      </c>
      <c r="G508" s="318" t="s">
        <v>874</v>
      </c>
    </row>
    <row r="509" customHeight="1" spans="1:7">
      <c r="A509" s="319" t="s">
        <v>945</v>
      </c>
      <c r="B509" s="320"/>
      <c r="C509" s="320"/>
      <c r="D509" s="320"/>
      <c r="E509" s="320"/>
      <c r="F509" s="320"/>
      <c r="G509" s="321"/>
    </row>
    <row r="510" customHeight="1" spans="1:7">
      <c r="A510" s="322" t="s">
        <v>912</v>
      </c>
      <c r="B510" s="323"/>
      <c r="C510" s="324"/>
      <c r="D510" s="324"/>
      <c r="E510" s="324"/>
      <c r="F510" s="324"/>
      <c r="G510" s="325"/>
    </row>
    <row r="511" customHeight="1" spans="1:7">
      <c r="A511" s="314" t="s">
        <v>34</v>
      </c>
      <c r="B511" s="317" t="s">
        <v>761</v>
      </c>
      <c r="C511" s="317"/>
      <c r="D511" s="317" t="s">
        <v>60</v>
      </c>
      <c r="E511" s="326" t="s">
        <v>877</v>
      </c>
      <c r="F511" s="61" t="s">
        <v>878</v>
      </c>
      <c r="G511" s="318" t="s">
        <v>879</v>
      </c>
    </row>
    <row r="512" customHeight="1" spans="1:7">
      <c r="A512" s="314" t="s">
        <v>8</v>
      </c>
      <c r="B512" s="327" t="s">
        <v>880</v>
      </c>
      <c r="C512" s="328"/>
      <c r="D512" s="317"/>
      <c r="E512" s="326"/>
      <c r="F512" s="147"/>
      <c r="G512" s="329">
        <f>G513+G530</f>
        <v>33400.2946366223</v>
      </c>
    </row>
    <row r="513" customHeight="1" spans="1:7">
      <c r="A513" s="314" t="s">
        <v>881</v>
      </c>
      <c r="B513" s="327" t="s">
        <v>882</v>
      </c>
      <c r="C513" s="328"/>
      <c r="D513" s="317"/>
      <c r="E513" s="326"/>
      <c r="F513" s="147"/>
      <c r="G513" s="329">
        <f>G514+G517+G522+G527</f>
        <v>31391.2543577277</v>
      </c>
    </row>
    <row r="514" customHeight="1" spans="1:7">
      <c r="A514" s="314" t="s">
        <v>17</v>
      </c>
      <c r="B514" s="327" t="s">
        <v>510</v>
      </c>
      <c r="C514" s="328"/>
      <c r="D514" s="317"/>
      <c r="E514" s="326"/>
      <c r="F514" s="147"/>
      <c r="G514" s="329">
        <f>SUM(G515:G516)</f>
        <v>7770.066</v>
      </c>
    </row>
    <row r="515" customHeight="1" spans="1:7">
      <c r="A515" s="314"/>
      <c r="B515" s="327" t="s">
        <v>704</v>
      </c>
      <c r="C515" s="328"/>
      <c r="D515" s="317" t="s">
        <v>705</v>
      </c>
      <c r="E515" s="423">
        <v>601.1</v>
      </c>
      <c r="F515" s="423">
        <f>主要材料预算!$D$19</f>
        <v>8.1</v>
      </c>
      <c r="G515" s="329">
        <f t="shared" ref="G515:G520" si="56">E515*F515</f>
        <v>4868.91</v>
      </c>
    </row>
    <row r="516" customHeight="1" spans="1:7">
      <c r="A516" s="314"/>
      <c r="B516" s="327" t="s">
        <v>706</v>
      </c>
      <c r="C516" s="328"/>
      <c r="D516" s="317" t="s">
        <v>705</v>
      </c>
      <c r="E516" s="423">
        <v>502.8</v>
      </c>
      <c r="F516" s="423">
        <f>主要材料预算!$D$20</f>
        <v>5.77</v>
      </c>
      <c r="G516" s="329">
        <f t="shared" si="56"/>
        <v>2901.156</v>
      </c>
    </row>
    <row r="517" customHeight="1" spans="1:7">
      <c r="A517" s="314" t="s">
        <v>19</v>
      </c>
      <c r="B517" s="327" t="s">
        <v>511</v>
      </c>
      <c r="C517" s="328"/>
      <c r="D517" s="317"/>
      <c r="E517" s="326"/>
      <c r="F517" s="147"/>
      <c r="G517" s="329">
        <f>SUM(G518:G521)</f>
        <v>20273.9811365</v>
      </c>
    </row>
    <row r="518" customHeight="1" spans="1:7">
      <c r="A518" s="314"/>
      <c r="B518" s="327" t="s">
        <v>886</v>
      </c>
      <c r="C518" s="328"/>
      <c r="D518" s="317" t="s">
        <v>695</v>
      </c>
      <c r="E518" s="326">
        <v>100</v>
      </c>
      <c r="F518" s="147">
        <v>4.5</v>
      </c>
      <c r="G518" s="329">
        <f t="shared" si="56"/>
        <v>450</v>
      </c>
    </row>
    <row r="519" customHeight="1" spans="1:7">
      <c r="A519" s="314"/>
      <c r="B519" s="327" t="s">
        <v>932</v>
      </c>
      <c r="C519" s="328"/>
      <c r="D519" s="317" t="s">
        <v>70</v>
      </c>
      <c r="E519" s="331">
        <v>103</v>
      </c>
      <c r="F519" s="147">
        <f>混凝土单价计算表!$M$10</f>
        <v>183.26455</v>
      </c>
      <c r="G519" s="329">
        <f t="shared" si="56"/>
        <v>18876.24865</v>
      </c>
    </row>
    <row r="520" customHeight="1" spans="1:7">
      <c r="A520" s="314"/>
      <c r="B520" s="327" t="s">
        <v>892</v>
      </c>
      <c r="C520" s="328"/>
      <c r="D520" s="317" t="s">
        <v>70</v>
      </c>
      <c r="E520" s="331">
        <v>180</v>
      </c>
      <c r="F520" s="147">
        <f>主要材料预算!$D$16</f>
        <v>4.15</v>
      </c>
      <c r="G520" s="329">
        <f t="shared" si="56"/>
        <v>747</v>
      </c>
    </row>
    <row r="521" customHeight="1" spans="1:7">
      <c r="A521" s="314"/>
      <c r="B521" s="327" t="s">
        <v>893</v>
      </c>
      <c r="C521" s="328"/>
      <c r="D521" s="317" t="s">
        <v>894</v>
      </c>
      <c r="E521" s="152">
        <v>1</v>
      </c>
      <c r="F521" s="147">
        <f>SUM(G518:G520)</f>
        <v>20073.24865</v>
      </c>
      <c r="G521" s="329">
        <f>E521*F521/100</f>
        <v>200.7324865</v>
      </c>
    </row>
    <row r="522" customHeight="1" spans="1:7">
      <c r="A522" s="314" t="s">
        <v>21</v>
      </c>
      <c r="B522" s="327" t="s">
        <v>895</v>
      </c>
      <c r="C522" s="328"/>
      <c r="D522" s="317"/>
      <c r="E522" s="147"/>
      <c r="F522" s="147"/>
      <c r="G522" s="329">
        <f>SUM(G523:G526)</f>
        <v>941.510072572796</v>
      </c>
    </row>
    <row r="523" customHeight="1" spans="1:7">
      <c r="A523" s="314"/>
      <c r="B523" s="327" t="s">
        <v>900</v>
      </c>
      <c r="C523" s="328"/>
      <c r="D523" s="317" t="s">
        <v>896</v>
      </c>
      <c r="E523" s="147">
        <v>44</v>
      </c>
      <c r="F523" s="147">
        <f>施工机械台时费!$E$22</f>
        <v>3.07752692461109</v>
      </c>
      <c r="G523" s="329">
        <f t="shared" ref="G523:G525" si="57">E523*F523</f>
        <v>135.411184682888</v>
      </c>
    </row>
    <row r="524" customHeight="1" spans="1:7">
      <c r="A524" s="314"/>
      <c r="B524" s="327" t="s">
        <v>899</v>
      </c>
      <c r="C524" s="328"/>
      <c r="D524" s="317" t="s">
        <v>896</v>
      </c>
      <c r="E524" s="147">
        <v>18.54</v>
      </c>
      <c r="F524" s="147">
        <f>施工机械台时费!$E$21</f>
        <v>37.4199521340247</v>
      </c>
      <c r="G524" s="329">
        <f t="shared" si="57"/>
        <v>693.765912564818</v>
      </c>
    </row>
    <row r="525" customHeight="1" spans="1:7">
      <c r="A525" s="314"/>
      <c r="B525" s="327" t="s">
        <v>901</v>
      </c>
      <c r="C525" s="328"/>
      <c r="D525" s="317" t="s">
        <v>896</v>
      </c>
      <c r="E525" s="147">
        <v>83</v>
      </c>
      <c r="F525" s="147">
        <f>施工机械台时费!$E$36</f>
        <v>0.813242919824491</v>
      </c>
      <c r="G525" s="329">
        <f t="shared" si="57"/>
        <v>67.4991623454328</v>
      </c>
    </row>
    <row r="526" customHeight="1" spans="1:7">
      <c r="A526" s="314"/>
      <c r="B526" s="327" t="s">
        <v>902</v>
      </c>
      <c r="C526" s="328"/>
      <c r="D526" s="317" t="s">
        <v>894</v>
      </c>
      <c r="E526" s="152">
        <v>5</v>
      </c>
      <c r="F526" s="147">
        <f>SUM(G523:G525)</f>
        <v>896.676259593139</v>
      </c>
      <c r="G526" s="329">
        <f>E526*F526/100</f>
        <v>44.8338129796569</v>
      </c>
    </row>
    <row r="527" customHeight="1" spans="1:7">
      <c r="A527" s="314" t="s">
        <v>23</v>
      </c>
      <c r="B527" s="327" t="s">
        <v>513</v>
      </c>
      <c r="C527" s="328"/>
      <c r="D527" s="317"/>
      <c r="E527" s="147"/>
      <c r="F527" s="147"/>
      <c r="G527" s="329">
        <f>SUM(G528:G529)</f>
        <v>2405.69714865489</v>
      </c>
    </row>
    <row r="528" customHeight="1" spans="1:7">
      <c r="A528" s="314"/>
      <c r="B528" s="327" t="s">
        <v>903</v>
      </c>
      <c r="C528" s="328"/>
      <c r="D528" s="317" t="s">
        <v>70</v>
      </c>
      <c r="E528" s="147">
        <v>103</v>
      </c>
      <c r="F528" s="147">
        <f>$G$1441/100</f>
        <v>5.03319379720782</v>
      </c>
      <c r="G528" s="329">
        <f t="shared" ref="G528:G532" si="58">E528*F528</f>
        <v>518.418961112405</v>
      </c>
    </row>
    <row r="529" customHeight="1" spans="1:7">
      <c r="A529" s="314"/>
      <c r="B529" s="327" t="s">
        <v>904</v>
      </c>
      <c r="C529" s="328"/>
      <c r="D529" s="317" t="s">
        <v>70</v>
      </c>
      <c r="E529" s="147">
        <v>103</v>
      </c>
      <c r="F529" s="147">
        <f>$G$1469/100</f>
        <v>18.3230891994416</v>
      </c>
      <c r="G529" s="329">
        <f t="shared" si="58"/>
        <v>1887.27818754248</v>
      </c>
    </row>
    <row r="530" customHeight="1" spans="1:7">
      <c r="A530" s="314" t="s">
        <v>905</v>
      </c>
      <c r="B530" s="327" t="s">
        <v>514</v>
      </c>
      <c r="C530" s="328"/>
      <c r="D530" s="317"/>
      <c r="E530" s="332">
        <f>G513</f>
        <v>31391.2543577277</v>
      </c>
      <c r="F530" s="155">
        <f>费率表!$F$12</f>
        <v>0.064</v>
      </c>
      <c r="G530" s="329">
        <f t="shared" si="58"/>
        <v>2009.04027889457</v>
      </c>
    </row>
    <row r="531" customHeight="1" spans="1:7">
      <c r="A531" s="314" t="s">
        <v>10</v>
      </c>
      <c r="B531" s="327" t="s">
        <v>770</v>
      </c>
      <c r="C531" s="328"/>
      <c r="D531" s="317"/>
      <c r="E531" s="326">
        <f>G512</f>
        <v>33400.2946366223</v>
      </c>
      <c r="F531" s="155">
        <f>费率表!$F$13</f>
        <v>0.085</v>
      </c>
      <c r="G531" s="329">
        <f t="shared" si="58"/>
        <v>2839.02504411289</v>
      </c>
    </row>
    <row r="532" customHeight="1" spans="1:7">
      <c r="A532" s="314" t="s">
        <v>12</v>
      </c>
      <c r="B532" s="327" t="s">
        <v>771</v>
      </c>
      <c r="C532" s="328"/>
      <c r="D532" s="317"/>
      <c r="E532" s="326">
        <f>G512+G531</f>
        <v>36239.3196807351</v>
      </c>
      <c r="F532" s="156">
        <f>费率表!$F$14</f>
        <v>0.07</v>
      </c>
      <c r="G532" s="329">
        <f t="shared" si="58"/>
        <v>2536.75237765146</v>
      </c>
    </row>
    <row r="533" customHeight="1" spans="1:7">
      <c r="A533" s="314" t="s">
        <v>15</v>
      </c>
      <c r="B533" s="327" t="s">
        <v>517</v>
      </c>
      <c r="C533" s="328"/>
      <c r="D533" s="317"/>
      <c r="E533" s="326"/>
      <c r="F533" s="157"/>
      <c r="G533" s="329">
        <f>SUM(G534:G536)</f>
        <v>7194.6204211</v>
      </c>
    </row>
    <row r="534" customHeight="1" spans="1:7">
      <c r="A534" s="314"/>
      <c r="B534" s="327" t="s">
        <v>729</v>
      </c>
      <c r="C534" s="328"/>
      <c r="D534" s="317" t="s">
        <v>204</v>
      </c>
      <c r="E534" s="326">
        <f>E519*混凝土单价计算表!$E$10</f>
        <v>35.02</v>
      </c>
      <c r="F534" s="438">
        <f>主要材料预算!$N$5</f>
        <v>139.17214</v>
      </c>
      <c r="G534" s="329">
        <f t="shared" ref="G534:G538" si="59">E534*F534</f>
        <v>4873.8083428</v>
      </c>
    </row>
    <row r="535" customHeight="1" spans="1:7">
      <c r="A535" s="314"/>
      <c r="B535" s="327" t="s">
        <v>684</v>
      </c>
      <c r="C535" s="328"/>
      <c r="D535" s="317" t="s">
        <v>70</v>
      </c>
      <c r="E535" s="326">
        <f>E519*混凝土单价计算表!$G$10</f>
        <v>54.384</v>
      </c>
      <c r="F535" s="147"/>
      <c r="G535" s="329">
        <f t="shared" si="59"/>
        <v>0</v>
      </c>
    </row>
    <row r="536" customHeight="1" spans="1:7">
      <c r="A536" s="314"/>
      <c r="B536" s="327" t="s">
        <v>687</v>
      </c>
      <c r="C536" s="328"/>
      <c r="D536" s="317" t="s">
        <v>70</v>
      </c>
      <c r="E536" s="326">
        <f>E519*混凝土单价计算表!$I$10</f>
        <v>86.623</v>
      </c>
      <c r="F536" s="438">
        <f>主要材料预算!$N$9</f>
        <v>26.7921</v>
      </c>
      <c r="G536" s="329">
        <f t="shared" si="59"/>
        <v>2320.8120783</v>
      </c>
    </row>
    <row r="537" customHeight="1" spans="1:7">
      <c r="A537" s="314" t="s">
        <v>906</v>
      </c>
      <c r="B537" s="327" t="s">
        <v>772</v>
      </c>
      <c r="C537" s="328"/>
      <c r="D537" s="317"/>
      <c r="E537" s="326">
        <f>G512+G531++G532+G533</f>
        <v>45970.6924794866</v>
      </c>
      <c r="F537" s="156">
        <f>费率表!$F$15</f>
        <v>0.09</v>
      </c>
      <c r="G537" s="329">
        <f t="shared" si="59"/>
        <v>4137.3623231538</v>
      </c>
    </row>
    <row r="538" customHeight="1" spans="1:7">
      <c r="A538" s="314"/>
      <c r="B538" s="327" t="s">
        <v>907</v>
      </c>
      <c r="C538" s="328"/>
      <c r="D538" s="317"/>
      <c r="E538" s="326">
        <f>G512+G531+G532+G533+G537</f>
        <v>50108.0548026404</v>
      </c>
      <c r="F538" s="156">
        <f>费率表!$I$19</f>
        <v>0.03</v>
      </c>
      <c r="G538" s="329">
        <f t="shared" si="59"/>
        <v>1503.24164407921</v>
      </c>
    </row>
    <row r="539" customHeight="1" spans="1:7">
      <c r="A539" s="335"/>
      <c r="B539" s="336" t="s">
        <v>908</v>
      </c>
      <c r="C539" s="337"/>
      <c r="D539" s="338"/>
      <c r="E539" s="339"/>
      <c r="F539" s="161"/>
      <c r="G539" s="340">
        <f>G512+G531+G532+G533+G537+G538</f>
        <v>51611.2964467197</v>
      </c>
    </row>
    <row r="540" customHeight="1" spans="1:7">
      <c r="A540" s="227"/>
      <c r="B540" s="227"/>
      <c r="C540" s="227"/>
      <c r="D540" s="227"/>
      <c r="E540" s="228"/>
      <c r="F540" s="123"/>
      <c r="G540" s="228"/>
    </row>
    <row r="541" customHeight="1" spans="1:7">
      <c r="A541" s="394" t="s">
        <v>868</v>
      </c>
      <c r="B541" s="394"/>
      <c r="C541" s="394"/>
      <c r="D541" s="394"/>
      <c r="E541" s="394"/>
      <c r="F541" s="394"/>
      <c r="G541" s="394"/>
    </row>
    <row r="542" customHeight="1" spans="1:7">
      <c r="A542" s="309" t="s">
        <v>869</v>
      </c>
      <c r="B542" s="310"/>
      <c r="C542" s="310" t="s">
        <v>131</v>
      </c>
      <c r="D542" s="310" t="s">
        <v>870</v>
      </c>
      <c r="E542" s="343" t="s">
        <v>947</v>
      </c>
      <c r="F542" s="343"/>
      <c r="G542" s="344"/>
    </row>
    <row r="543" customHeight="1" spans="1:7">
      <c r="A543" s="314" t="s">
        <v>507</v>
      </c>
      <c r="B543" s="315"/>
      <c r="C543" s="316" t="s">
        <v>948</v>
      </c>
      <c r="D543" s="316"/>
      <c r="E543" s="316"/>
      <c r="F543" s="61" t="s">
        <v>873</v>
      </c>
      <c r="G543" s="318" t="s">
        <v>874</v>
      </c>
    </row>
    <row r="544" customHeight="1" spans="1:7">
      <c r="A544" s="319" t="s">
        <v>875</v>
      </c>
      <c r="B544" s="320"/>
      <c r="C544" s="320"/>
      <c r="D544" s="320"/>
      <c r="E544" s="320"/>
      <c r="F544" s="320"/>
      <c r="G544" s="321"/>
    </row>
    <row r="545" customHeight="1" spans="1:7">
      <c r="A545" s="322" t="s">
        <v>912</v>
      </c>
      <c r="B545" s="323"/>
      <c r="C545" s="324"/>
      <c r="D545" s="324"/>
      <c r="E545" s="324"/>
      <c r="F545" s="324"/>
      <c r="G545" s="325"/>
    </row>
    <row r="546" customHeight="1" spans="1:7">
      <c r="A546" s="314" t="s">
        <v>34</v>
      </c>
      <c r="B546" s="317" t="s">
        <v>761</v>
      </c>
      <c r="C546" s="317"/>
      <c r="D546" s="317" t="s">
        <v>60</v>
      </c>
      <c r="E546" s="326" t="s">
        <v>877</v>
      </c>
      <c r="F546" s="61" t="s">
        <v>878</v>
      </c>
      <c r="G546" s="318" t="s">
        <v>879</v>
      </c>
    </row>
    <row r="547" customHeight="1" spans="1:7">
      <c r="A547" s="314" t="s">
        <v>8</v>
      </c>
      <c r="B547" s="327" t="s">
        <v>880</v>
      </c>
      <c r="C547" s="328"/>
      <c r="D547" s="317"/>
      <c r="E547" s="326"/>
      <c r="F547" s="147"/>
      <c r="G547" s="329">
        <f>G548+G575</f>
        <v>37900.2125767508</v>
      </c>
    </row>
    <row r="548" customHeight="1" spans="1:7">
      <c r="A548" s="314" t="s">
        <v>881</v>
      </c>
      <c r="B548" s="327" t="s">
        <v>882</v>
      </c>
      <c r="C548" s="328"/>
      <c r="D548" s="317"/>
      <c r="E548" s="326"/>
      <c r="F548" s="147"/>
      <c r="G548" s="329">
        <f>G549+G552+G563+G572</f>
        <v>35620.500542059</v>
      </c>
    </row>
    <row r="549" customHeight="1" spans="1:7">
      <c r="A549" s="314" t="s">
        <v>17</v>
      </c>
      <c r="B549" s="327" t="s">
        <v>510</v>
      </c>
      <c r="C549" s="328"/>
      <c r="D549" s="317"/>
      <c r="E549" s="326"/>
      <c r="F549" s="147"/>
      <c r="G549" s="329">
        <f>SUM(G550:G551)</f>
        <v>9795.572</v>
      </c>
    </row>
    <row r="550" customHeight="1" spans="1:7">
      <c r="A550" s="314"/>
      <c r="B550" s="327" t="s">
        <v>704</v>
      </c>
      <c r="C550" s="328"/>
      <c r="D550" s="317" t="s">
        <v>705</v>
      </c>
      <c r="E550" s="423">
        <v>874.1</v>
      </c>
      <c r="F550" s="423">
        <f>主要材料预算!$D$19</f>
        <v>8.1</v>
      </c>
      <c r="G550" s="329">
        <f>E550*F550</f>
        <v>7080.21</v>
      </c>
    </row>
    <row r="551" customHeight="1" spans="1:7">
      <c r="A551" s="314"/>
      <c r="B551" s="327" t="s">
        <v>706</v>
      </c>
      <c r="C551" s="328"/>
      <c r="D551" s="317" t="s">
        <v>705</v>
      </c>
      <c r="E551" s="423">
        <v>470.6</v>
      </c>
      <c r="F551" s="423">
        <f>主要材料预算!$D$20</f>
        <v>5.77</v>
      </c>
      <c r="G551" s="329">
        <f>E551*F551</f>
        <v>2715.362</v>
      </c>
    </row>
    <row r="552" customHeight="1" spans="1:7">
      <c r="A552" s="314" t="s">
        <v>19</v>
      </c>
      <c r="B552" s="327" t="s">
        <v>511</v>
      </c>
      <c r="C552" s="328"/>
      <c r="D552" s="317"/>
      <c r="E552" s="326"/>
      <c r="F552" s="147"/>
      <c r="G552" s="329">
        <f>SUM(G553:G562)</f>
        <v>22235.996247</v>
      </c>
    </row>
    <row r="553" customHeight="1" spans="1:7">
      <c r="A553" s="314"/>
      <c r="B553" s="327" t="s">
        <v>883</v>
      </c>
      <c r="C553" s="328"/>
      <c r="D553" s="317" t="s">
        <v>70</v>
      </c>
      <c r="E553" s="326">
        <v>0.85</v>
      </c>
      <c r="F553" s="147">
        <f>主要材料预算!$L$6</f>
        <v>2209.125</v>
      </c>
      <c r="G553" s="329">
        <f t="shared" ref="G553:G561" si="60">E553*F553</f>
        <v>1877.75625</v>
      </c>
    </row>
    <row r="554" customHeight="1" spans="1:7">
      <c r="A554" s="314"/>
      <c r="B554" s="327" t="s">
        <v>885</v>
      </c>
      <c r="C554" s="328"/>
      <c r="D554" s="317" t="s">
        <v>695</v>
      </c>
      <c r="E554" s="326">
        <v>19.55</v>
      </c>
      <c r="F554" s="147">
        <f>基础材料!$D$9</f>
        <v>4.44</v>
      </c>
      <c r="G554" s="329">
        <f t="shared" si="60"/>
        <v>86.802</v>
      </c>
    </row>
    <row r="555" customHeight="1" spans="1:7">
      <c r="A555" s="314"/>
      <c r="B555" s="327" t="s">
        <v>886</v>
      </c>
      <c r="C555" s="328"/>
      <c r="D555" s="317" t="s">
        <v>695</v>
      </c>
      <c r="E555" s="326">
        <v>46.73</v>
      </c>
      <c r="F555" s="147">
        <f>基础材料!$D$5</f>
        <v>4.5</v>
      </c>
      <c r="G555" s="329">
        <f t="shared" si="60"/>
        <v>210.285</v>
      </c>
    </row>
    <row r="556" customHeight="1" spans="1:7">
      <c r="A556" s="314"/>
      <c r="B556" s="327" t="s">
        <v>887</v>
      </c>
      <c r="C556" s="328"/>
      <c r="D556" s="317" t="s">
        <v>695</v>
      </c>
      <c r="E556" s="326">
        <v>62.77</v>
      </c>
      <c r="F556" s="147">
        <f>基础材料!$D$8</f>
        <v>5.15</v>
      </c>
      <c r="G556" s="329">
        <f t="shared" si="60"/>
        <v>323.2655</v>
      </c>
    </row>
    <row r="557" customHeight="1" spans="1:7">
      <c r="A557" s="314"/>
      <c r="B557" s="327" t="s">
        <v>913</v>
      </c>
      <c r="C557" s="328"/>
      <c r="D557" s="317" t="s">
        <v>695</v>
      </c>
      <c r="E557" s="326">
        <v>1.45</v>
      </c>
      <c r="F557" s="147">
        <f>基础材料!$D$3</f>
        <v>4.04</v>
      </c>
      <c r="G557" s="329">
        <f t="shared" si="60"/>
        <v>5.858</v>
      </c>
    </row>
    <row r="558" customHeight="1" spans="1:7">
      <c r="A558" s="314"/>
      <c r="B558" s="327" t="s">
        <v>889</v>
      </c>
      <c r="C558" s="328"/>
      <c r="D558" s="317" t="s">
        <v>695</v>
      </c>
      <c r="E558" s="326">
        <v>72.95</v>
      </c>
      <c r="F558" s="147">
        <f>基础材料!$D$7</f>
        <v>6.39</v>
      </c>
      <c r="G558" s="329">
        <f t="shared" si="60"/>
        <v>466.1505</v>
      </c>
    </row>
    <row r="559" customHeight="1" spans="1:7">
      <c r="A559" s="314"/>
      <c r="B559" s="327" t="s">
        <v>890</v>
      </c>
      <c r="C559" s="328"/>
      <c r="D559" s="317" t="s">
        <v>695</v>
      </c>
      <c r="E559" s="326">
        <v>1.55</v>
      </c>
      <c r="F559" s="147">
        <f>基础材料!$D$57</f>
        <v>5.97</v>
      </c>
      <c r="G559" s="329">
        <f t="shared" si="60"/>
        <v>9.2535</v>
      </c>
    </row>
    <row r="560" customHeight="1" spans="1:7">
      <c r="A560" s="314"/>
      <c r="B560" s="327" t="s">
        <v>949</v>
      </c>
      <c r="C560" s="328"/>
      <c r="D560" s="317" t="s">
        <v>70</v>
      </c>
      <c r="E560" s="331">
        <v>103</v>
      </c>
      <c r="F560" s="147">
        <f>混凝土单价计算表!$M$10</f>
        <v>183.26455</v>
      </c>
      <c r="G560" s="329">
        <f t="shared" si="60"/>
        <v>18876.24865</v>
      </c>
    </row>
    <row r="561" customHeight="1" spans="1:7">
      <c r="A561" s="314"/>
      <c r="B561" s="327" t="s">
        <v>892</v>
      </c>
      <c r="C561" s="328"/>
      <c r="D561" s="317" t="s">
        <v>70</v>
      </c>
      <c r="E561" s="331">
        <v>65</v>
      </c>
      <c r="F561" s="147">
        <f>主要材料预算!$D$16</f>
        <v>4.15</v>
      </c>
      <c r="G561" s="329">
        <f t="shared" si="60"/>
        <v>269.75</v>
      </c>
    </row>
    <row r="562" customHeight="1" spans="1:7">
      <c r="A562" s="314"/>
      <c r="B562" s="327" t="s">
        <v>893</v>
      </c>
      <c r="C562" s="328"/>
      <c r="D562" s="317" t="s">
        <v>894</v>
      </c>
      <c r="E562" s="326">
        <v>0.5</v>
      </c>
      <c r="F562" s="147">
        <f>SUM(G553:G561)</f>
        <v>22125.3694</v>
      </c>
      <c r="G562" s="329">
        <f>E562*F562/100</f>
        <v>110.626847</v>
      </c>
    </row>
    <row r="563" customHeight="1" spans="1:7">
      <c r="A563" s="314" t="s">
        <v>21</v>
      </c>
      <c r="B563" s="327" t="s">
        <v>895</v>
      </c>
      <c r="C563" s="328"/>
      <c r="D563" s="317"/>
      <c r="E563" s="147"/>
      <c r="F563" s="147"/>
      <c r="G563" s="329">
        <f>SUM(G564:G571)</f>
        <v>1183.23514640415</v>
      </c>
    </row>
    <row r="564" customHeight="1" spans="1:7">
      <c r="A564" s="314"/>
      <c r="B564" s="327" t="s">
        <v>822</v>
      </c>
      <c r="C564" s="328"/>
      <c r="D564" s="317" t="s">
        <v>896</v>
      </c>
      <c r="E564" s="147">
        <v>1.25</v>
      </c>
      <c r="F564" s="147">
        <f>施工机械台时费!$E$28</f>
        <v>49.389824491424</v>
      </c>
      <c r="G564" s="329">
        <f t="shared" ref="G564:G570" si="61">E564*F564</f>
        <v>61.73728061428</v>
      </c>
    </row>
    <row r="565" customHeight="1" spans="1:7">
      <c r="A565" s="314"/>
      <c r="B565" s="327" t="s">
        <v>926</v>
      </c>
      <c r="C565" s="328"/>
      <c r="D565" s="317" t="s">
        <v>896</v>
      </c>
      <c r="E565" s="147">
        <v>0.12</v>
      </c>
      <c r="F565" s="147">
        <f>施工机械台时费!$E$40</f>
        <v>62.3342780215397</v>
      </c>
      <c r="G565" s="329">
        <f t="shared" si="61"/>
        <v>7.48011336258476</v>
      </c>
    </row>
    <row r="566" customHeight="1" spans="1:7">
      <c r="A566" s="314"/>
      <c r="B566" s="327" t="s">
        <v>950</v>
      </c>
      <c r="C566" s="328"/>
      <c r="D566" s="317" t="s">
        <v>896</v>
      </c>
      <c r="E566" s="147">
        <v>1.14</v>
      </c>
      <c r="F566" s="147">
        <f>施工机械台时费!$E$39</f>
        <v>92.6572672516953</v>
      </c>
      <c r="G566" s="329">
        <f t="shared" si="61"/>
        <v>105.629284666933</v>
      </c>
    </row>
    <row r="567" customHeight="1" spans="1:7">
      <c r="A567" s="314"/>
      <c r="B567" s="327" t="s">
        <v>898</v>
      </c>
      <c r="C567" s="328"/>
      <c r="D567" s="317" t="s">
        <v>896</v>
      </c>
      <c r="E567" s="147">
        <v>2.67</v>
      </c>
      <c r="F567" s="147">
        <f>施工机械台时费!$E$58</f>
        <v>31.1021858795373</v>
      </c>
      <c r="G567" s="329">
        <f t="shared" si="61"/>
        <v>83.0428362983646</v>
      </c>
    </row>
    <row r="568" customHeight="1" spans="1:7">
      <c r="A568" s="314"/>
      <c r="B568" s="327" t="s">
        <v>900</v>
      </c>
      <c r="C568" s="328"/>
      <c r="D568" s="317" t="s">
        <v>896</v>
      </c>
      <c r="E568" s="147">
        <v>43.26</v>
      </c>
      <c r="F568" s="147">
        <f>施工机械台时费!$E$22</f>
        <v>3.07752692461109</v>
      </c>
      <c r="G568" s="329">
        <f t="shared" si="61"/>
        <v>133.133814758676</v>
      </c>
    </row>
    <row r="569" customHeight="1" spans="1:7">
      <c r="A569" s="314"/>
      <c r="B569" s="327" t="s">
        <v>899</v>
      </c>
      <c r="C569" s="328"/>
      <c r="D569" s="317" t="s">
        <v>896</v>
      </c>
      <c r="E569" s="147">
        <v>18.54</v>
      </c>
      <c r="F569" s="147">
        <f>施工机械台时费!$E$21</f>
        <v>37.4199521340247</v>
      </c>
      <c r="G569" s="329">
        <f t="shared" si="61"/>
        <v>693.765912564818</v>
      </c>
    </row>
    <row r="570" customHeight="1" spans="1:7">
      <c r="A570" s="314"/>
      <c r="B570" s="327" t="s">
        <v>901</v>
      </c>
      <c r="C570" s="328"/>
      <c r="D570" s="317" t="s">
        <v>896</v>
      </c>
      <c r="E570" s="147">
        <v>83</v>
      </c>
      <c r="F570" s="147">
        <f>施工机械台时费!$E$36</f>
        <v>0.813242919824491</v>
      </c>
      <c r="G570" s="329">
        <f t="shared" si="61"/>
        <v>67.4991623454328</v>
      </c>
    </row>
    <row r="571" customHeight="1" spans="1:7">
      <c r="A571" s="314"/>
      <c r="B571" s="327" t="s">
        <v>902</v>
      </c>
      <c r="C571" s="328"/>
      <c r="D571" s="317" t="s">
        <v>894</v>
      </c>
      <c r="E571" s="152">
        <v>12</v>
      </c>
      <c r="F571" s="147">
        <f>SUM(G564:G567)</f>
        <v>257.889514942162</v>
      </c>
      <c r="G571" s="329">
        <f>E571*F571/100</f>
        <v>30.9467417930594</v>
      </c>
    </row>
    <row r="572" customHeight="1" spans="1:7">
      <c r="A572" s="314" t="s">
        <v>23</v>
      </c>
      <c r="B572" s="327" t="s">
        <v>513</v>
      </c>
      <c r="C572" s="328"/>
      <c r="D572" s="317"/>
      <c r="E572" s="147"/>
      <c r="F572" s="147"/>
      <c r="G572" s="329">
        <f>SUM(G573:G574)</f>
        <v>2405.69714865489</v>
      </c>
    </row>
    <row r="573" customHeight="1" spans="1:7">
      <c r="A573" s="314"/>
      <c r="B573" s="327" t="s">
        <v>903</v>
      </c>
      <c r="C573" s="328"/>
      <c r="D573" s="317" t="s">
        <v>70</v>
      </c>
      <c r="E573" s="147">
        <v>103</v>
      </c>
      <c r="F573" s="147">
        <f>$G$1441/100</f>
        <v>5.03319379720782</v>
      </c>
      <c r="G573" s="329">
        <f t="shared" ref="G573:G577" si="62">E573*F573</f>
        <v>518.418961112405</v>
      </c>
    </row>
    <row r="574" customHeight="1" spans="1:7">
      <c r="A574" s="314"/>
      <c r="B574" s="327" t="s">
        <v>904</v>
      </c>
      <c r="C574" s="328"/>
      <c r="D574" s="317" t="s">
        <v>70</v>
      </c>
      <c r="E574" s="147">
        <v>103</v>
      </c>
      <c r="F574" s="147">
        <f>$G$1469/100</f>
        <v>18.3230891994416</v>
      </c>
      <c r="G574" s="329">
        <f t="shared" si="62"/>
        <v>1887.27818754248</v>
      </c>
    </row>
    <row r="575" customHeight="1" spans="1:7">
      <c r="A575" s="314" t="s">
        <v>905</v>
      </c>
      <c r="B575" s="327" t="s">
        <v>514</v>
      </c>
      <c r="C575" s="328"/>
      <c r="D575" s="317"/>
      <c r="E575" s="332">
        <f>G548</f>
        <v>35620.500542059</v>
      </c>
      <c r="F575" s="155">
        <f>费率表!$F$12</f>
        <v>0.064</v>
      </c>
      <c r="G575" s="329">
        <f t="shared" si="62"/>
        <v>2279.71203469178</v>
      </c>
    </row>
    <row r="576" customHeight="1" spans="1:7">
      <c r="A576" s="314" t="s">
        <v>10</v>
      </c>
      <c r="B576" s="327" t="s">
        <v>770</v>
      </c>
      <c r="C576" s="328"/>
      <c r="D576" s="317"/>
      <c r="E576" s="326">
        <f>G547</f>
        <v>37900.2125767508</v>
      </c>
      <c r="F576" s="155">
        <f>费率表!$F$13</f>
        <v>0.085</v>
      </c>
      <c r="G576" s="329">
        <f t="shared" si="62"/>
        <v>3221.51806902382</v>
      </c>
    </row>
    <row r="577" customHeight="1" spans="1:7">
      <c r="A577" s="314" t="s">
        <v>12</v>
      </c>
      <c r="B577" s="327" t="s">
        <v>771</v>
      </c>
      <c r="C577" s="328"/>
      <c r="D577" s="317"/>
      <c r="E577" s="326">
        <f>G547+G576</f>
        <v>41121.7306457746</v>
      </c>
      <c r="F577" s="156">
        <f>费率表!$F$14</f>
        <v>0.07</v>
      </c>
      <c r="G577" s="329">
        <f t="shared" si="62"/>
        <v>2878.52114520423</v>
      </c>
    </row>
    <row r="578" customHeight="1" spans="1:7">
      <c r="A578" s="314" t="s">
        <v>15</v>
      </c>
      <c r="B578" s="327" t="s">
        <v>517</v>
      </c>
      <c r="C578" s="328"/>
      <c r="D578" s="317"/>
      <c r="E578" s="326"/>
      <c r="F578" s="157"/>
      <c r="G578" s="329">
        <f>SUM(G579:G583)</f>
        <v>7327.67950326004</v>
      </c>
    </row>
    <row r="579" customHeight="1" spans="1:7">
      <c r="A579" s="314"/>
      <c r="B579" s="327" t="s">
        <v>729</v>
      </c>
      <c r="C579" s="328"/>
      <c r="D579" s="317" t="s">
        <v>204</v>
      </c>
      <c r="E579" s="326">
        <f>E560*混凝土单价计算表!$E$10</f>
        <v>35.02</v>
      </c>
      <c r="F579" s="438">
        <f>主要材料预算!$N$5</f>
        <v>139.17214</v>
      </c>
      <c r="G579" s="329">
        <f t="shared" ref="G579:G585" si="63">E579*F579</f>
        <v>4873.8083428</v>
      </c>
    </row>
    <row r="580" customHeight="1" spans="1:7">
      <c r="A580" s="314"/>
      <c r="B580" s="327" t="s">
        <v>684</v>
      </c>
      <c r="C580" s="328"/>
      <c r="D580" s="317" t="s">
        <v>70</v>
      </c>
      <c r="E580" s="326">
        <f>E560*混凝土单价计算表!$G$10</f>
        <v>54.384</v>
      </c>
      <c r="F580" s="147"/>
      <c r="G580" s="329">
        <f t="shared" si="63"/>
        <v>0</v>
      </c>
    </row>
    <row r="581" customHeight="1" spans="1:7">
      <c r="A581" s="314"/>
      <c r="B581" s="327" t="s">
        <v>687</v>
      </c>
      <c r="C581" s="328"/>
      <c r="D581" s="317" t="s">
        <v>70</v>
      </c>
      <c r="E581" s="326">
        <f>E560*混凝土单价计算表!$I$10</f>
        <v>86.623</v>
      </c>
      <c r="F581" s="438">
        <f>主要材料预算!$N$9</f>
        <v>26.7921</v>
      </c>
      <c r="G581" s="329">
        <f t="shared" si="63"/>
        <v>2320.8120783</v>
      </c>
    </row>
    <row r="582" customHeight="1" spans="1:7">
      <c r="A582" s="314"/>
      <c r="B582" s="327" t="s">
        <v>696</v>
      </c>
      <c r="C582" s="328"/>
      <c r="D582" s="317" t="s">
        <v>695</v>
      </c>
      <c r="E582" s="326">
        <f>E564*施工机械台时费!$K$28+施工机械台时费!$K$40*混凝土!E565</f>
        <v>9.696</v>
      </c>
      <c r="F582" s="438">
        <f>主要材料预算!$N$14</f>
        <v>7.8077586206897</v>
      </c>
      <c r="G582" s="329">
        <f t="shared" si="63"/>
        <v>75.7040275862073</v>
      </c>
    </row>
    <row r="583" customHeight="1" spans="1:7">
      <c r="A583" s="314"/>
      <c r="B583" s="327" t="s">
        <v>694</v>
      </c>
      <c r="C583" s="328"/>
      <c r="D583" s="317" t="s">
        <v>695</v>
      </c>
      <c r="E583" s="326">
        <f>E566*施工机械台时费!$L$39</f>
        <v>9.462</v>
      </c>
      <c r="F583" s="438">
        <f>主要材料预算!$N$13</f>
        <v>6.0616206482593</v>
      </c>
      <c r="G583" s="329">
        <f t="shared" si="63"/>
        <v>57.3550545738295</v>
      </c>
    </row>
    <row r="584" customHeight="1" spans="1:7">
      <c r="A584" s="314" t="s">
        <v>906</v>
      </c>
      <c r="B584" s="327" t="s">
        <v>772</v>
      </c>
      <c r="C584" s="328"/>
      <c r="D584" s="317"/>
      <c r="E584" s="326">
        <f>G547+G576++G577+G578</f>
        <v>51327.9312942389</v>
      </c>
      <c r="F584" s="156">
        <f>费率表!$F$15</f>
        <v>0.09</v>
      </c>
      <c r="G584" s="329">
        <f t="shared" si="63"/>
        <v>4619.5138164815</v>
      </c>
    </row>
    <row r="585" customHeight="1" spans="1:7">
      <c r="A585" s="314"/>
      <c r="B585" s="327" t="s">
        <v>907</v>
      </c>
      <c r="C585" s="328"/>
      <c r="D585" s="317"/>
      <c r="E585" s="326">
        <f>G547+G576+G577+G578+G584</f>
        <v>55947.4451107204</v>
      </c>
      <c r="F585" s="156">
        <f>费率表!$I$19</f>
        <v>0.03</v>
      </c>
      <c r="G585" s="329">
        <f t="shared" si="63"/>
        <v>1678.42335332161</v>
      </c>
    </row>
    <row r="586" customHeight="1" spans="1:7">
      <c r="A586" s="335"/>
      <c r="B586" s="336" t="s">
        <v>908</v>
      </c>
      <c r="C586" s="337"/>
      <c r="D586" s="338"/>
      <c r="E586" s="339"/>
      <c r="F586" s="161"/>
      <c r="G586" s="340">
        <f>G547+G576+G577+G578+G584+G585</f>
        <v>57625.868464042</v>
      </c>
    </row>
    <row r="587" customHeight="1" spans="1:7">
      <c r="A587" s="227"/>
      <c r="B587" s="227"/>
      <c r="C587" s="227"/>
      <c r="D587" s="227"/>
      <c r="E587" s="228"/>
      <c r="F587" s="123"/>
      <c r="G587" s="228"/>
    </row>
    <row r="588" customHeight="1" spans="1:7">
      <c r="A588" s="227"/>
      <c r="B588" s="227"/>
      <c r="C588" s="227"/>
      <c r="D588" s="227"/>
      <c r="E588" s="228"/>
      <c r="F588" s="123"/>
      <c r="G588" s="228"/>
    </row>
    <row r="589" customHeight="1" spans="1:7">
      <c r="A589" s="227"/>
      <c r="B589" s="227"/>
      <c r="C589" s="227"/>
      <c r="D589" s="227"/>
      <c r="E589" s="228"/>
      <c r="F589" s="123"/>
      <c r="G589" s="228"/>
    </row>
    <row r="590" customHeight="1" spans="1:7">
      <c r="A590" s="227"/>
      <c r="B590" s="227"/>
      <c r="C590" s="227"/>
      <c r="D590" s="227"/>
      <c r="E590" s="228"/>
      <c r="F590" s="123"/>
      <c r="G590" s="228"/>
    </row>
    <row r="591" customHeight="1" spans="1:7">
      <c r="A591" s="227"/>
      <c r="B591" s="227"/>
      <c r="C591" s="227"/>
      <c r="D591" s="227"/>
      <c r="E591" s="228"/>
      <c r="F591" s="123"/>
      <c r="G591" s="228"/>
    </row>
    <row r="592" customHeight="1" spans="1:7">
      <c r="A592" s="394" t="s">
        <v>868</v>
      </c>
      <c r="B592" s="394"/>
      <c r="C592" s="394"/>
      <c r="D592" s="394"/>
      <c r="E592" s="394"/>
      <c r="F592" s="394"/>
      <c r="G592" s="394"/>
    </row>
    <row r="593" customHeight="1" spans="1:7">
      <c r="A593" s="309" t="s">
        <v>869</v>
      </c>
      <c r="B593" s="310"/>
      <c r="C593" s="310" t="s">
        <v>131</v>
      </c>
      <c r="D593" s="310" t="s">
        <v>870</v>
      </c>
      <c r="E593" s="343" t="s">
        <v>951</v>
      </c>
      <c r="F593" s="343"/>
      <c r="G593" s="344"/>
    </row>
    <row r="594" customHeight="1" spans="1:7">
      <c r="A594" s="314" t="s">
        <v>507</v>
      </c>
      <c r="B594" s="315"/>
      <c r="C594" s="316" t="s">
        <v>952</v>
      </c>
      <c r="D594" s="316"/>
      <c r="E594" s="316"/>
      <c r="F594" s="61" t="s">
        <v>873</v>
      </c>
      <c r="G594" s="318" t="s">
        <v>874</v>
      </c>
    </row>
    <row r="595" customHeight="1" spans="1:7">
      <c r="A595" s="319" t="s">
        <v>875</v>
      </c>
      <c r="B595" s="320"/>
      <c r="C595" s="320"/>
      <c r="D595" s="320"/>
      <c r="E595" s="320"/>
      <c r="F595" s="320"/>
      <c r="G595" s="321"/>
    </row>
    <row r="596" customHeight="1" spans="1:7">
      <c r="A596" s="322" t="s">
        <v>912</v>
      </c>
      <c r="B596" s="323"/>
      <c r="C596" s="324"/>
      <c r="D596" s="324"/>
      <c r="E596" s="324"/>
      <c r="F596" s="324"/>
      <c r="G596" s="325"/>
    </row>
    <row r="597" customHeight="1" spans="1:7">
      <c r="A597" s="314" t="s">
        <v>34</v>
      </c>
      <c r="B597" s="317" t="s">
        <v>761</v>
      </c>
      <c r="C597" s="317"/>
      <c r="D597" s="317" t="s">
        <v>60</v>
      </c>
      <c r="E597" s="326" t="s">
        <v>877</v>
      </c>
      <c r="F597" s="61" t="s">
        <v>878</v>
      </c>
      <c r="G597" s="318" t="s">
        <v>879</v>
      </c>
    </row>
    <row r="598" customHeight="1" spans="1:7">
      <c r="A598" s="314" t="s">
        <v>8</v>
      </c>
      <c r="B598" s="327" t="s">
        <v>880</v>
      </c>
      <c r="C598" s="328"/>
      <c r="D598" s="317"/>
      <c r="E598" s="326"/>
      <c r="F598" s="147"/>
      <c r="G598" s="329">
        <f>G599+G623</f>
        <v>58792.5996775762</v>
      </c>
    </row>
    <row r="599" customHeight="1" spans="1:7">
      <c r="A599" s="314" t="s">
        <v>881</v>
      </c>
      <c r="B599" s="327" t="s">
        <v>882</v>
      </c>
      <c r="C599" s="328"/>
      <c r="D599" s="317"/>
      <c r="E599" s="326"/>
      <c r="F599" s="147"/>
      <c r="G599" s="329">
        <f>G600+G603+G612+G620</f>
        <v>55256.2027044889</v>
      </c>
    </row>
    <row r="600" customHeight="1" spans="1:7">
      <c r="A600" s="314" t="s">
        <v>17</v>
      </c>
      <c r="B600" s="327" t="s">
        <v>510</v>
      </c>
      <c r="C600" s="328"/>
      <c r="D600" s="317"/>
      <c r="E600" s="326"/>
      <c r="F600" s="147"/>
      <c r="G600" s="329">
        <f>SUM(G601:G602)</f>
        <v>23058.067</v>
      </c>
    </row>
    <row r="601" customHeight="1" spans="1:7">
      <c r="A601" s="314"/>
      <c r="B601" s="327" t="s">
        <v>704</v>
      </c>
      <c r="C601" s="328"/>
      <c r="D601" s="317" t="s">
        <v>705</v>
      </c>
      <c r="E601" s="423">
        <v>2286.7</v>
      </c>
      <c r="F601" s="423">
        <f>主要材料预算!$D$19</f>
        <v>8.1</v>
      </c>
      <c r="G601" s="329">
        <f>E601*F601</f>
        <v>18522.27</v>
      </c>
    </row>
    <row r="602" customHeight="1" spans="1:7">
      <c r="A602" s="314"/>
      <c r="B602" s="327" t="s">
        <v>706</v>
      </c>
      <c r="C602" s="328"/>
      <c r="D602" s="317" t="s">
        <v>705</v>
      </c>
      <c r="E602" s="423">
        <v>786.1</v>
      </c>
      <c r="F602" s="423">
        <f>主要材料预算!$D$20</f>
        <v>5.77</v>
      </c>
      <c r="G602" s="329">
        <f>E602*F602</f>
        <v>4535.797</v>
      </c>
    </row>
    <row r="603" customHeight="1" spans="1:7">
      <c r="A603" s="314" t="s">
        <v>19</v>
      </c>
      <c r="B603" s="327" t="s">
        <v>511</v>
      </c>
      <c r="C603" s="328"/>
      <c r="D603" s="317"/>
      <c r="E603" s="326"/>
      <c r="F603" s="147"/>
      <c r="G603" s="329">
        <f>SUM(G604:G611)</f>
        <v>27939.342036</v>
      </c>
    </row>
    <row r="604" customHeight="1" spans="1:7">
      <c r="A604" s="314"/>
      <c r="B604" s="327" t="s">
        <v>883</v>
      </c>
      <c r="C604" s="328"/>
      <c r="D604" s="317" t="s">
        <v>70</v>
      </c>
      <c r="E604" s="326">
        <v>0.41</v>
      </c>
      <c r="F604" s="152">
        <f>主要材料预算!$L$6</f>
        <v>2209.125</v>
      </c>
      <c r="G604" s="329">
        <f t="shared" ref="G604:G610" si="64">E604*F604</f>
        <v>905.74125</v>
      </c>
    </row>
    <row r="605" customHeight="1" spans="1:7">
      <c r="A605" s="314"/>
      <c r="B605" s="327" t="s">
        <v>885</v>
      </c>
      <c r="C605" s="328"/>
      <c r="D605" s="317" t="s">
        <v>695</v>
      </c>
      <c r="E605" s="326">
        <v>730</v>
      </c>
      <c r="F605" s="147">
        <f>基础材料!$D$9</f>
        <v>4.44</v>
      </c>
      <c r="G605" s="329">
        <f t="shared" si="64"/>
        <v>3241.2</v>
      </c>
    </row>
    <row r="606" customHeight="1" spans="1:7">
      <c r="A606" s="314"/>
      <c r="B606" s="327" t="s">
        <v>886</v>
      </c>
      <c r="C606" s="328"/>
      <c r="D606" s="317" t="s">
        <v>695</v>
      </c>
      <c r="E606" s="326">
        <v>340</v>
      </c>
      <c r="F606" s="147">
        <f>基础材料!$D$5</f>
        <v>4.5</v>
      </c>
      <c r="G606" s="329">
        <f t="shared" si="64"/>
        <v>1530</v>
      </c>
    </row>
    <row r="607" customHeight="1" spans="1:7">
      <c r="A607" s="314"/>
      <c r="B607" s="327" t="s">
        <v>887</v>
      </c>
      <c r="C607" s="328"/>
      <c r="D607" s="317" t="s">
        <v>695</v>
      </c>
      <c r="E607" s="326">
        <v>451.8</v>
      </c>
      <c r="F607" s="147">
        <f>基础材料!$D$8</f>
        <v>5.15</v>
      </c>
      <c r="G607" s="329">
        <f t="shared" si="64"/>
        <v>2326.77</v>
      </c>
    </row>
    <row r="608" customHeight="1" spans="1:7">
      <c r="A608" s="314"/>
      <c r="B608" s="327" t="s">
        <v>890</v>
      </c>
      <c r="C608" s="328"/>
      <c r="D608" s="317" t="s">
        <v>695</v>
      </c>
      <c r="E608" s="326">
        <v>2.27</v>
      </c>
      <c r="F608" s="147">
        <f>基础材料!$D$57</f>
        <v>5.97</v>
      </c>
      <c r="G608" s="329">
        <f t="shared" si="64"/>
        <v>13.5519</v>
      </c>
    </row>
    <row r="609" customHeight="1" spans="1:7">
      <c r="A609" s="314"/>
      <c r="B609" s="327" t="s">
        <v>949</v>
      </c>
      <c r="C609" s="328"/>
      <c r="D609" s="317" t="s">
        <v>70</v>
      </c>
      <c r="E609" s="331">
        <v>103</v>
      </c>
      <c r="F609" s="147">
        <f>混凝土单价计算表!$M$10</f>
        <v>183.26455</v>
      </c>
      <c r="G609" s="329">
        <f t="shared" si="64"/>
        <v>18876.24865</v>
      </c>
    </row>
    <row r="610" customHeight="1" spans="1:7">
      <c r="A610" s="314"/>
      <c r="B610" s="327" t="s">
        <v>892</v>
      </c>
      <c r="C610" s="328"/>
      <c r="D610" s="317" t="s">
        <v>70</v>
      </c>
      <c r="E610" s="331">
        <v>120</v>
      </c>
      <c r="F610" s="147">
        <f>主要材料预算!$D$16</f>
        <v>4.15</v>
      </c>
      <c r="G610" s="329">
        <f t="shared" si="64"/>
        <v>498</v>
      </c>
    </row>
    <row r="611" customHeight="1" spans="1:7">
      <c r="A611" s="314"/>
      <c r="B611" s="327" t="s">
        <v>893</v>
      </c>
      <c r="C611" s="328"/>
      <c r="D611" s="317" t="s">
        <v>894</v>
      </c>
      <c r="E611" s="152">
        <v>2</v>
      </c>
      <c r="F611" s="147">
        <f>SUM(G604:G610)</f>
        <v>27391.5118</v>
      </c>
      <c r="G611" s="329">
        <f>E611*F611/100</f>
        <v>547.830236</v>
      </c>
    </row>
    <row r="612" customHeight="1" spans="1:7">
      <c r="A612" s="314" t="s">
        <v>21</v>
      </c>
      <c r="B612" s="327" t="s">
        <v>895</v>
      </c>
      <c r="C612" s="328"/>
      <c r="D612" s="317"/>
      <c r="E612" s="147"/>
      <c r="F612" s="147"/>
      <c r="G612" s="329">
        <f>SUM(G613:G619)</f>
        <v>1853.09651983406</v>
      </c>
    </row>
    <row r="613" customHeight="1" spans="1:7">
      <c r="A613" s="314"/>
      <c r="B613" s="327" t="s">
        <v>926</v>
      </c>
      <c r="C613" s="328"/>
      <c r="D613" s="317" t="s">
        <v>896</v>
      </c>
      <c r="E613" s="147">
        <v>6.93</v>
      </c>
      <c r="F613" s="147">
        <f>施工机械台时费!$E$40</f>
        <v>62.3342780215397</v>
      </c>
      <c r="G613" s="329">
        <f t="shared" ref="G613:G618" si="65">E613*F613</f>
        <v>431.97654668927</v>
      </c>
    </row>
    <row r="614" customHeight="1" spans="1:7">
      <c r="A614" s="314"/>
      <c r="B614" s="327" t="s">
        <v>822</v>
      </c>
      <c r="C614" s="328"/>
      <c r="D614" s="317" t="s">
        <v>896</v>
      </c>
      <c r="E614" s="147">
        <v>7.38</v>
      </c>
      <c r="F614" s="147">
        <f>施工机械台时费!$E$28</f>
        <v>49.389824491424</v>
      </c>
      <c r="G614" s="329">
        <f t="shared" si="65"/>
        <v>364.496904746709</v>
      </c>
    </row>
    <row r="615" customHeight="1" spans="1:7">
      <c r="A615" s="314"/>
      <c r="B615" s="327" t="s">
        <v>898</v>
      </c>
      <c r="C615" s="328"/>
      <c r="D615" s="317" t="s">
        <v>896</v>
      </c>
      <c r="E615" s="147">
        <v>2.59</v>
      </c>
      <c r="F615" s="147">
        <f>施工机械台时费!$E$58</f>
        <v>31.1021858795373</v>
      </c>
      <c r="G615" s="329">
        <f t="shared" si="65"/>
        <v>80.5546614280016</v>
      </c>
    </row>
    <row r="616" customHeight="1" spans="1:7">
      <c r="A616" s="314"/>
      <c r="B616" s="327" t="s">
        <v>899</v>
      </c>
      <c r="C616" s="328"/>
      <c r="D616" s="317" t="s">
        <v>896</v>
      </c>
      <c r="E616" s="147">
        <v>18.54</v>
      </c>
      <c r="F616" s="147">
        <f>施工机械台时费!$E$21</f>
        <v>37.4199521340247</v>
      </c>
      <c r="G616" s="329">
        <f t="shared" si="65"/>
        <v>693.765912564818</v>
      </c>
    </row>
    <row r="617" customHeight="1" spans="1:7">
      <c r="A617" s="314"/>
      <c r="B617" s="327" t="s">
        <v>900</v>
      </c>
      <c r="C617" s="328"/>
      <c r="D617" s="317" t="s">
        <v>896</v>
      </c>
      <c r="E617" s="147">
        <v>35.6</v>
      </c>
      <c r="F617" s="147">
        <f>施工机械台时费!$E$22</f>
        <v>3.07752692461109</v>
      </c>
      <c r="G617" s="329">
        <f t="shared" si="65"/>
        <v>109.559958516155</v>
      </c>
    </row>
    <row r="618" customHeight="1" spans="1:7">
      <c r="A618" s="314"/>
      <c r="B618" s="327" t="s">
        <v>901</v>
      </c>
      <c r="C618" s="328"/>
      <c r="D618" s="317" t="s">
        <v>896</v>
      </c>
      <c r="E618" s="147">
        <v>83</v>
      </c>
      <c r="F618" s="147">
        <f>施工机械台时费!$E$36</f>
        <v>0.813242919824491</v>
      </c>
      <c r="G618" s="329">
        <f t="shared" si="65"/>
        <v>67.4991623454328</v>
      </c>
    </row>
    <row r="619" customHeight="1" spans="1:7">
      <c r="A619" s="314"/>
      <c r="B619" s="327" t="s">
        <v>902</v>
      </c>
      <c r="C619" s="328"/>
      <c r="D619" s="317" t="s">
        <v>894</v>
      </c>
      <c r="E619" s="152">
        <v>12</v>
      </c>
      <c r="F619" s="147">
        <f>SUM(G613:G615)</f>
        <v>877.028112863981</v>
      </c>
      <c r="G619" s="329">
        <f>E619*F619/100</f>
        <v>105.243373543678</v>
      </c>
    </row>
    <row r="620" customHeight="1" spans="1:7">
      <c r="A620" s="314" t="s">
        <v>23</v>
      </c>
      <c r="B620" s="327" t="s">
        <v>513</v>
      </c>
      <c r="C620" s="328"/>
      <c r="D620" s="317"/>
      <c r="E620" s="147"/>
      <c r="F620" s="147"/>
      <c r="G620" s="329">
        <f>SUM(G621:G622)</f>
        <v>2405.69714865489</v>
      </c>
    </row>
    <row r="621" customHeight="1" spans="1:7">
      <c r="A621" s="314"/>
      <c r="B621" s="327" t="s">
        <v>903</v>
      </c>
      <c r="C621" s="328"/>
      <c r="D621" s="317" t="s">
        <v>70</v>
      </c>
      <c r="E621" s="147">
        <v>103</v>
      </c>
      <c r="F621" s="147">
        <f>$G$1441/100</f>
        <v>5.03319379720782</v>
      </c>
      <c r="G621" s="329">
        <f t="shared" ref="G621:G625" si="66">E621*F621</f>
        <v>518.418961112405</v>
      </c>
    </row>
    <row r="622" customHeight="1" spans="1:7">
      <c r="A622" s="314"/>
      <c r="B622" s="327" t="s">
        <v>904</v>
      </c>
      <c r="C622" s="328"/>
      <c r="D622" s="317" t="s">
        <v>70</v>
      </c>
      <c r="E622" s="147">
        <v>103</v>
      </c>
      <c r="F622" s="147">
        <f>$G$1469/100</f>
        <v>18.3230891994416</v>
      </c>
      <c r="G622" s="329">
        <f t="shared" si="66"/>
        <v>1887.27818754248</v>
      </c>
    </row>
    <row r="623" customHeight="1" spans="1:7">
      <c r="A623" s="314" t="s">
        <v>905</v>
      </c>
      <c r="B623" s="327" t="s">
        <v>514</v>
      </c>
      <c r="C623" s="328"/>
      <c r="D623" s="317"/>
      <c r="E623" s="332">
        <f>G599</f>
        <v>55256.2027044889</v>
      </c>
      <c r="F623" s="155">
        <f>费率表!$F$12</f>
        <v>0.064</v>
      </c>
      <c r="G623" s="329">
        <f t="shared" si="66"/>
        <v>3536.39697308729</v>
      </c>
    </row>
    <row r="624" customHeight="1" spans="1:7">
      <c r="A624" s="314" t="s">
        <v>10</v>
      </c>
      <c r="B624" s="327" t="s">
        <v>770</v>
      </c>
      <c r="C624" s="328"/>
      <c r="D624" s="317"/>
      <c r="E624" s="326">
        <f>G598</f>
        <v>58792.5996775762</v>
      </c>
      <c r="F624" s="155">
        <f>费率表!$F$13</f>
        <v>0.085</v>
      </c>
      <c r="G624" s="329">
        <f t="shared" si="66"/>
        <v>4997.37097259398</v>
      </c>
    </row>
    <row r="625" customHeight="1" spans="1:9">
      <c r="A625" s="314" t="s">
        <v>12</v>
      </c>
      <c r="B625" s="327" t="s">
        <v>771</v>
      </c>
      <c r="C625" s="328"/>
      <c r="D625" s="317"/>
      <c r="E625" s="326">
        <f>G598+G624</f>
        <v>63789.9706501702</v>
      </c>
      <c r="F625" s="156">
        <f>费率表!$F$14</f>
        <v>0.07</v>
      </c>
      <c r="G625" s="329">
        <f t="shared" si="66"/>
        <v>4465.29794551191</v>
      </c>
    </row>
    <row r="626" customHeight="1" spans="1:9">
      <c r="A626" s="314" t="s">
        <v>15</v>
      </c>
      <c r="B626" s="327" t="s">
        <v>517</v>
      </c>
      <c r="C626" s="328"/>
      <c r="D626" s="317"/>
      <c r="E626" s="326"/>
      <c r="F626" s="157"/>
      <c r="G626" s="329">
        <f>SUM(G627:G630)</f>
        <v>7923.31853316897</v>
      </c>
    </row>
    <row r="627" customHeight="1" spans="1:9">
      <c r="A627" s="314"/>
      <c r="B627" s="327" t="s">
        <v>729</v>
      </c>
      <c r="C627" s="328"/>
      <c r="D627" s="317" t="s">
        <v>204</v>
      </c>
      <c r="E627" s="326">
        <f>E609*混凝土单价计算表!$E$10</f>
        <v>35.02</v>
      </c>
      <c r="F627" s="438">
        <f>主要材料预算!$N$5</f>
        <v>139.17214</v>
      </c>
      <c r="G627" s="329">
        <f t="shared" ref="G627:G632" si="67">E627*F627</f>
        <v>4873.8083428</v>
      </c>
    </row>
    <row r="628" customHeight="1" spans="1:9">
      <c r="A628" s="314"/>
      <c r="B628" s="327" t="s">
        <v>684</v>
      </c>
      <c r="C628" s="328"/>
      <c r="D628" s="317" t="s">
        <v>70</v>
      </c>
      <c r="E628" s="326">
        <f>E609*混凝土单价计算表!$G$10</f>
        <v>54.384</v>
      </c>
      <c r="F628" s="147"/>
      <c r="G628" s="329">
        <f t="shared" si="67"/>
        <v>0</v>
      </c>
      <c r="I628" s="92">
        <f>E613*施工机械台时费!K40+施工机械台时费!K28*混凝土!E614</f>
        <v>93.33</v>
      </c>
    </row>
    <row r="629" customHeight="1" spans="1:9">
      <c r="A629" s="314"/>
      <c r="B629" s="327" t="s">
        <v>687</v>
      </c>
      <c r="C629" s="328"/>
      <c r="D629" s="317" t="s">
        <v>70</v>
      </c>
      <c r="E629" s="326">
        <f>E609*混凝土单价计算表!$I$10</f>
        <v>86.623</v>
      </c>
      <c r="F629" s="438">
        <f>主要材料预算!$N$9</f>
        <v>26.7921</v>
      </c>
      <c r="G629" s="329">
        <f t="shared" si="67"/>
        <v>2320.8120783</v>
      </c>
    </row>
    <row r="630" customHeight="1" spans="1:9">
      <c r="A630" s="314"/>
      <c r="B630" s="327" t="s">
        <v>696</v>
      </c>
      <c r="C630" s="328"/>
      <c r="D630" s="317" t="s">
        <v>695</v>
      </c>
      <c r="E630" s="326">
        <f>E613*施工机械台时费!K40+E614*施工机械台时费!K28</f>
        <v>93.33</v>
      </c>
      <c r="F630" s="438">
        <f>主要材料预算!$N$14</f>
        <v>7.8077586206897</v>
      </c>
      <c r="G630" s="329">
        <f t="shared" si="67"/>
        <v>728.69811206897</v>
      </c>
      <c r="I630" s="92">
        <f>E613*施工机械台时费!K28+E614*施工机械台时费!K28</f>
        <v>103.032</v>
      </c>
    </row>
    <row r="631" customHeight="1" spans="1:9">
      <c r="A631" s="314" t="s">
        <v>906</v>
      </c>
      <c r="B631" s="327" t="s">
        <v>772</v>
      </c>
      <c r="C631" s="328"/>
      <c r="D631" s="317"/>
      <c r="E631" s="326">
        <f>G598+G624++G625+G626</f>
        <v>76178.5871288511</v>
      </c>
      <c r="F631" s="156">
        <f>费率表!$F$15</f>
        <v>0.09</v>
      </c>
      <c r="G631" s="329">
        <f t="shared" si="67"/>
        <v>6856.0728415966</v>
      </c>
    </row>
    <row r="632" customHeight="1" spans="1:9">
      <c r="A632" s="314"/>
      <c r="B632" s="327" t="s">
        <v>907</v>
      </c>
      <c r="C632" s="328"/>
      <c r="D632" s="317"/>
      <c r="E632" s="326">
        <f>G598+G624+G625+G626+G631</f>
        <v>83034.6599704477</v>
      </c>
      <c r="F632" s="156">
        <f>费率表!$I$19</f>
        <v>0.03</v>
      </c>
      <c r="G632" s="329">
        <f t="shared" si="67"/>
        <v>2491.03979911343</v>
      </c>
    </row>
    <row r="633" customHeight="1" spans="1:9">
      <c r="A633" s="335"/>
      <c r="B633" s="336" t="s">
        <v>908</v>
      </c>
      <c r="C633" s="337"/>
      <c r="D633" s="338"/>
      <c r="E633" s="339"/>
      <c r="F633" s="161"/>
      <c r="G633" s="340">
        <f>G598+G624+G625+G626+G631+G632</f>
        <v>85525.6997695611</v>
      </c>
    </row>
    <row r="634" customHeight="1" spans="1:9">
      <c r="A634" s="227"/>
      <c r="B634" s="227"/>
      <c r="C634" s="227"/>
      <c r="D634" s="227"/>
      <c r="E634" s="228"/>
      <c r="F634" s="123"/>
      <c r="G634" s="228"/>
    </row>
    <row r="635" customHeight="1" spans="1:9">
      <c r="A635" s="394" t="s">
        <v>868</v>
      </c>
      <c r="B635" s="394"/>
      <c r="C635" s="394"/>
      <c r="D635" s="394"/>
      <c r="E635" s="394"/>
      <c r="F635" s="394"/>
      <c r="G635" s="394"/>
    </row>
    <row r="636" customHeight="1" spans="1:9">
      <c r="A636" s="309" t="s">
        <v>869</v>
      </c>
      <c r="B636" s="310"/>
      <c r="C636" s="310"/>
      <c r="D636" s="310" t="s">
        <v>870</v>
      </c>
      <c r="E636" s="343" t="s">
        <v>953</v>
      </c>
      <c r="F636" s="343"/>
      <c r="G636" s="344"/>
    </row>
    <row r="637" customHeight="1" spans="1:9">
      <c r="A637" s="314" t="s">
        <v>507</v>
      </c>
      <c r="B637" s="315"/>
      <c r="C637" s="316" t="s">
        <v>954</v>
      </c>
      <c r="D637" s="316"/>
      <c r="E637" s="316"/>
      <c r="F637" s="61" t="s">
        <v>873</v>
      </c>
      <c r="G637" s="318" t="s">
        <v>874</v>
      </c>
    </row>
    <row r="638" customHeight="1" spans="1:9">
      <c r="A638" s="345" t="s">
        <v>955</v>
      </c>
      <c r="B638" s="316"/>
      <c r="C638" s="316"/>
      <c r="D638" s="316"/>
      <c r="E638" s="316"/>
      <c r="F638" s="316"/>
      <c r="G638" s="346"/>
    </row>
    <row r="639" customHeight="1" spans="1:9">
      <c r="A639" s="322" t="s">
        <v>912</v>
      </c>
      <c r="B639" s="323"/>
      <c r="C639" s="324"/>
      <c r="D639" s="324"/>
      <c r="E639" s="324"/>
      <c r="F639" s="324"/>
      <c r="G639" s="325"/>
    </row>
    <row r="640" customHeight="1" spans="1:9">
      <c r="A640" s="314" t="s">
        <v>34</v>
      </c>
      <c r="B640" s="317" t="s">
        <v>761</v>
      </c>
      <c r="C640" s="317"/>
      <c r="D640" s="317" t="s">
        <v>60</v>
      </c>
      <c r="E640" s="326" t="s">
        <v>877</v>
      </c>
      <c r="F640" s="61" t="s">
        <v>878</v>
      </c>
      <c r="G640" s="318" t="s">
        <v>879</v>
      </c>
    </row>
    <row r="641" customHeight="1" spans="1:7">
      <c r="A641" s="314" t="s">
        <v>8</v>
      </c>
      <c r="B641" s="327" t="s">
        <v>880</v>
      </c>
      <c r="C641" s="328"/>
      <c r="D641" s="317"/>
      <c r="E641" s="326"/>
      <c r="F641" s="147"/>
      <c r="G641" s="329">
        <f>G642+G664</f>
        <v>53895.6559755139</v>
      </c>
    </row>
    <row r="642" customHeight="1" spans="1:7">
      <c r="A642" s="314" t="s">
        <v>881</v>
      </c>
      <c r="B642" s="327" t="s">
        <v>882</v>
      </c>
      <c r="C642" s="328"/>
      <c r="D642" s="317"/>
      <c r="E642" s="326"/>
      <c r="F642" s="147"/>
      <c r="G642" s="329">
        <f>G643+G646+G654+G661</f>
        <v>50653.8120070619</v>
      </c>
    </row>
    <row r="643" customHeight="1" spans="1:7">
      <c r="A643" s="314" t="s">
        <v>17</v>
      </c>
      <c r="B643" s="327" t="s">
        <v>510</v>
      </c>
      <c r="C643" s="328"/>
      <c r="D643" s="317"/>
      <c r="E643" s="326"/>
      <c r="F643" s="147"/>
      <c r="G643" s="329">
        <f>SUM(G644:G645)</f>
        <v>21991.916</v>
      </c>
    </row>
    <row r="644" customHeight="1" spans="1:7">
      <c r="A644" s="314"/>
      <c r="B644" s="327" t="s">
        <v>704</v>
      </c>
      <c r="C644" s="328"/>
      <c r="D644" s="317" t="s">
        <v>705</v>
      </c>
      <c r="E644" s="423">
        <v>2282.8</v>
      </c>
      <c r="F644" s="423">
        <f>主要材料预算!$D$19</f>
        <v>8.1</v>
      </c>
      <c r="G644" s="329">
        <f>E644*F644</f>
        <v>18490.68</v>
      </c>
    </row>
    <row r="645" customHeight="1" spans="1:7">
      <c r="A645" s="314"/>
      <c r="B645" s="327" t="s">
        <v>706</v>
      </c>
      <c r="C645" s="328"/>
      <c r="D645" s="317" t="s">
        <v>705</v>
      </c>
      <c r="E645" s="423">
        <v>606.8</v>
      </c>
      <c r="F645" s="423">
        <f>主要材料预算!$D$20</f>
        <v>5.77</v>
      </c>
      <c r="G645" s="329">
        <f>E645*F645</f>
        <v>3501.236</v>
      </c>
    </row>
    <row r="646" customHeight="1" spans="1:7">
      <c r="A646" s="314" t="s">
        <v>19</v>
      </c>
      <c r="B646" s="327" t="s">
        <v>511</v>
      </c>
      <c r="C646" s="328"/>
      <c r="D646" s="317"/>
      <c r="E646" s="326"/>
      <c r="F646" s="147"/>
      <c r="G646" s="329">
        <f>SUM(G647:G653)</f>
        <v>24523.3973595</v>
      </c>
    </row>
    <row r="647" customHeight="1" spans="1:7">
      <c r="A647" s="314"/>
      <c r="B647" s="327" t="s">
        <v>883</v>
      </c>
      <c r="C647" s="328"/>
      <c r="D647" s="317" t="s">
        <v>70</v>
      </c>
      <c r="E647" s="326">
        <v>0.48</v>
      </c>
      <c r="F647" s="423">
        <f>主要材料预算!$L$6</f>
        <v>2209.125</v>
      </c>
      <c r="G647" s="329">
        <f t="shared" ref="G647:G652" si="68">E647*F647</f>
        <v>1060.38</v>
      </c>
    </row>
    <row r="648" customHeight="1" spans="1:7">
      <c r="A648" s="314"/>
      <c r="B648" s="327" t="s">
        <v>885</v>
      </c>
      <c r="C648" s="328"/>
      <c r="D648" s="317" t="s">
        <v>695</v>
      </c>
      <c r="E648" s="326">
        <v>318</v>
      </c>
      <c r="F648" s="423">
        <f>基础材料!$D$9</f>
        <v>4.44</v>
      </c>
      <c r="G648" s="329">
        <f t="shared" si="68"/>
        <v>1411.92</v>
      </c>
    </row>
    <row r="649" customHeight="1" spans="1:7">
      <c r="A649" s="314"/>
      <c r="B649" s="327" t="s">
        <v>886</v>
      </c>
      <c r="C649" s="328"/>
      <c r="D649" s="317" t="s">
        <v>695</v>
      </c>
      <c r="E649" s="326">
        <v>117</v>
      </c>
      <c r="F649" s="147">
        <f>基础材料!$D$5</f>
        <v>4.5</v>
      </c>
      <c r="G649" s="329">
        <f t="shared" si="68"/>
        <v>526.5</v>
      </c>
    </row>
    <row r="650" customHeight="1" spans="1:7">
      <c r="A650" s="314"/>
      <c r="B650" s="327" t="s">
        <v>887</v>
      </c>
      <c r="C650" s="328"/>
      <c r="D650" s="317" t="s">
        <v>695</v>
      </c>
      <c r="E650" s="326">
        <v>230.5</v>
      </c>
      <c r="F650" s="147">
        <f>基础材料!$D$8</f>
        <v>5.15</v>
      </c>
      <c r="G650" s="329">
        <f t="shared" si="68"/>
        <v>1187.075</v>
      </c>
    </row>
    <row r="651" customHeight="1" spans="1:7">
      <c r="A651" s="314"/>
      <c r="B651" s="327" t="s">
        <v>949</v>
      </c>
      <c r="C651" s="328"/>
      <c r="D651" s="317" t="s">
        <v>70</v>
      </c>
      <c r="E651" s="331">
        <v>103</v>
      </c>
      <c r="F651" s="147">
        <f>混凝土单价计算表!$M$10</f>
        <v>183.26455</v>
      </c>
      <c r="G651" s="329">
        <f t="shared" si="68"/>
        <v>18876.24865</v>
      </c>
    </row>
    <row r="652" customHeight="1" spans="1:7">
      <c r="A652" s="314"/>
      <c r="B652" s="327" t="s">
        <v>892</v>
      </c>
      <c r="C652" s="328"/>
      <c r="D652" s="317" t="s">
        <v>70</v>
      </c>
      <c r="E652" s="331">
        <v>180</v>
      </c>
      <c r="F652" s="147">
        <f>主要材料预算!$D$16</f>
        <v>4.15</v>
      </c>
      <c r="G652" s="329">
        <f t="shared" si="68"/>
        <v>747</v>
      </c>
    </row>
    <row r="653" customHeight="1" spans="1:7">
      <c r="A653" s="314"/>
      <c r="B653" s="327" t="s">
        <v>893</v>
      </c>
      <c r="C653" s="328"/>
      <c r="D653" s="317" t="s">
        <v>894</v>
      </c>
      <c r="E653" s="152">
        <v>3</v>
      </c>
      <c r="F653" s="147">
        <f>SUM(G647:G652)</f>
        <v>23809.12365</v>
      </c>
      <c r="G653" s="329">
        <f>E653*F653/100</f>
        <v>714.2737095</v>
      </c>
    </row>
    <row r="654" customHeight="1" spans="1:7">
      <c r="A654" s="314" t="s">
        <v>21</v>
      </c>
      <c r="B654" s="327" t="s">
        <v>895</v>
      </c>
      <c r="C654" s="328"/>
      <c r="D654" s="317"/>
      <c r="E654" s="147"/>
      <c r="F654" s="147"/>
      <c r="G654" s="329">
        <f>SUM(G655:G660)</f>
        <v>1732.80149890706</v>
      </c>
    </row>
    <row r="655" customHeight="1" spans="1:7">
      <c r="A655" s="314"/>
      <c r="B655" s="327" t="s">
        <v>900</v>
      </c>
      <c r="C655" s="328"/>
      <c r="D655" s="317" t="s">
        <v>896</v>
      </c>
      <c r="E655" s="147">
        <v>44</v>
      </c>
      <c r="F655" s="147">
        <f>施工机械台时费!$E$22</f>
        <v>3.07752692461109</v>
      </c>
      <c r="G655" s="329">
        <f t="shared" ref="G655:G659" si="69">E655*F655</f>
        <v>135.411184682888</v>
      </c>
    </row>
    <row r="656" customHeight="1" spans="1:7">
      <c r="A656" s="314"/>
      <c r="B656" s="327" t="s">
        <v>899</v>
      </c>
      <c r="C656" s="328"/>
      <c r="D656" s="317" t="s">
        <v>896</v>
      </c>
      <c r="E656" s="147">
        <v>18.54</v>
      </c>
      <c r="F656" s="147">
        <f>施工机械台时费!$E$21</f>
        <v>37.4199521340247</v>
      </c>
      <c r="G656" s="329">
        <f t="shared" si="69"/>
        <v>693.765912564818</v>
      </c>
    </row>
    <row r="657" customHeight="1" spans="1:7">
      <c r="A657" s="314"/>
      <c r="B657" s="327" t="s">
        <v>901</v>
      </c>
      <c r="C657" s="328"/>
      <c r="D657" s="317" t="s">
        <v>896</v>
      </c>
      <c r="E657" s="147">
        <v>98</v>
      </c>
      <c r="F657" s="147">
        <f>施工机械台时费!$E$36</f>
        <v>0.813242919824491</v>
      </c>
      <c r="G657" s="329">
        <f t="shared" si="69"/>
        <v>79.6978061428002</v>
      </c>
    </row>
    <row r="658" customHeight="1" spans="1:7">
      <c r="A658" s="314"/>
      <c r="B658" s="327" t="s">
        <v>822</v>
      </c>
      <c r="C658" s="328"/>
      <c r="D658" s="317" t="s">
        <v>896</v>
      </c>
      <c r="E658" s="147">
        <v>1.38</v>
      </c>
      <c r="F658" s="147">
        <f>施工机械台时费!$E$28</f>
        <v>49.389824491424</v>
      </c>
      <c r="G658" s="329">
        <f t="shared" si="69"/>
        <v>68.1579577981651</v>
      </c>
    </row>
    <row r="659" customHeight="1" spans="1:7">
      <c r="A659" s="314"/>
      <c r="B659" s="327" t="s">
        <v>956</v>
      </c>
      <c r="C659" s="328"/>
      <c r="D659" s="317" t="s">
        <v>896</v>
      </c>
      <c r="E659" s="147">
        <v>18.5</v>
      </c>
      <c r="F659" s="147">
        <f>施工机械台时费!$E$47</f>
        <v>30.8168288791384</v>
      </c>
      <c r="G659" s="329">
        <f t="shared" si="69"/>
        <v>570.111334264061</v>
      </c>
    </row>
    <row r="660" customHeight="1" spans="1:7">
      <c r="A660" s="314"/>
      <c r="B660" s="327" t="s">
        <v>902</v>
      </c>
      <c r="C660" s="328"/>
      <c r="D660" s="317" t="s">
        <v>894</v>
      </c>
      <c r="E660" s="152">
        <v>12</v>
      </c>
      <c r="F660" s="147">
        <f>SUM(G655:G659)</f>
        <v>1547.14419545273</v>
      </c>
      <c r="G660" s="329">
        <f>E660*F660/100</f>
        <v>185.657303454328</v>
      </c>
    </row>
    <row r="661" customHeight="1" spans="1:7">
      <c r="A661" s="314" t="s">
        <v>23</v>
      </c>
      <c r="B661" s="327" t="s">
        <v>513</v>
      </c>
      <c r="C661" s="328"/>
      <c r="D661" s="317"/>
      <c r="E661" s="147"/>
      <c r="F661" s="147"/>
      <c r="G661" s="329">
        <f>SUM(G662:G663)</f>
        <v>2405.69714865489</v>
      </c>
    </row>
    <row r="662" customHeight="1" spans="1:7">
      <c r="A662" s="314"/>
      <c r="B662" s="327" t="s">
        <v>903</v>
      </c>
      <c r="C662" s="328"/>
      <c r="D662" s="317" t="s">
        <v>70</v>
      </c>
      <c r="E662" s="147">
        <v>103</v>
      </c>
      <c r="F662" s="147">
        <f>$G$1441/100</f>
        <v>5.03319379720782</v>
      </c>
      <c r="G662" s="329">
        <f t="shared" ref="G662:G666" si="70">E662*F662</f>
        <v>518.418961112405</v>
      </c>
    </row>
    <row r="663" customHeight="1" spans="1:7">
      <c r="A663" s="314"/>
      <c r="B663" s="327" t="s">
        <v>904</v>
      </c>
      <c r="C663" s="328"/>
      <c r="D663" s="317" t="s">
        <v>70</v>
      </c>
      <c r="E663" s="147">
        <v>103</v>
      </c>
      <c r="F663" s="147">
        <f>$G$1469/100</f>
        <v>18.3230891994416</v>
      </c>
      <c r="G663" s="329">
        <f t="shared" si="70"/>
        <v>1887.27818754248</v>
      </c>
    </row>
    <row r="664" customHeight="1" spans="1:7">
      <c r="A664" s="314" t="s">
        <v>905</v>
      </c>
      <c r="B664" s="327" t="s">
        <v>514</v>
      </c>
      <c r="C664" s="328"/>
      <c r="D664" s="317"/>
      <c r="E664" s="332">
        <f>G642</f>
        <v>50653.8120070619</v>
      </c>
      <c r="F664" s="155">
        <f>费率表!$F$12</f>
        <v>0.064</v>
      </c>
      <c r="G664" s="329">
        <f t="shared" si="70"/>
        <v>3241.84396845196</v>
      </c>
    </row>
    <row r="665" customHeight="1" spans="1:7">
      <c r="A665" s="314" t="s">
        <v>10</v>
      </c>
      <c r="B665" s="327" t="s">
        <v>770</v>
      </c>
      <c r="C665" s="328"/>
      <c r="D665" s="317"/>
      <c r="E665" s="326">
        <f>G641</f>
        <v>53895.6559755139</v>
      </c>
      <c r="F665" s="155">
        <f>费率表!$F$13</f>
        <v>0.085</v>
      </c>
      <c r="G665" s="329">
        <f t="shared" si="70"/>
        <v>4581.13075791868</v>
      </c>
    </row>
    <row r="666" customHeight="1" spans="1:7">
      <c r="A666" s="314" t="s">
        <v>12</v>
      </c>
      <c r="B666" s="327" t="s">
        <v>771</v>
      </c>
      <c r="C666" s="328"/>
      <c r="D666" s="317"/>
      <c r="E666" s="326">
        <f>G641+G665</f>
        <v>58476.7867334326</v>
      </c>
      <c r="F666" s="156">
        <f>费率表!$F$14</f>
        <v>0.07</v>
      </c>
      <c r="G666" s="329">
        <f t="shared" si="70"/>
        <v>4093.37507134028</v>
      </c>
    </row>
    <row r="667" customHeight="1" spans="1:7">
      <c r="A667" s="314" t="s">
        <v>15</v>
      </c>
      <c r="B667" s="327" t="s">
        <v>517</v>
      </c>
      <c r="C667" s="328"/>
      <c r="D667" s="317"/>
      <c r="E667" s="326"/>
      <c r="F667" s="157"/>
      <c r="G667" s="329">
        <f>SUM(G668:G671)</f>
        <v>7272.19831075517</v>
      </c>
    </row>
    <row r="668" customHeight="1" spans="1:7">
      <c r="A668" s="314"/>
      <c r="B668" s="327" t="s">
        <v>729</v>
      </c>
      <c r="C668" s="328"/>
      <c r="D668" s="317" t="s">
        <v>204</v>
      </c>
      <c r="E668" s="326">
        <f>E651*混凝土单价计算表!$E$10</f>
        <v>35.02</v>
      </c>
      <c r="F668" s="438">
        <f>主要材料预算!$N$5</f>
        <v>139.17214</v>
      </c>
      <c r="G668" s="329">
        <f t="shared" ref="G668:G673" si="71">E668*F668</f>
        <v>4873.8083428</v>
      </c>
    </row>
    <row r="669" customHeight="1" spans="1:7">
      <c r="A669" s="314"/>
      <c r="B669" s="327" t="s">
        <v>684</v>
      </c>
      <c r="C669" s="328"/>
      <c r="D669" s="317" t="s">
        <v>70</v>
      </c>
      <c r="E669" s="326">
        <f>E651*混凝土单价计算表!$G$10</f>
        <v>54.384</v>
      </c>
      <c r="F669" s="147"/>
      <c r="G669" s="329">
        <f t="shared" si="71"/>
        <v>0</v>
      </c>
    </row>
    <row r="670" customHeight="1" spans="1:7">
      <c r="A670" s="314"/>
      <c r="B670" s="327" t="s">
        <v>687</v>
      </c>
      <c r="C670" s="328"/>
      <c r="D670" s="317" t="s">
        <v>70</v>
      </c>
      <c r="E670" s="326">
        <f>E651*混凝土单价计算表!$I$10</f>
        <v>86.623</v>
      </c>
      <c r="F670" s="438">
        <f>主要材料预算!$N$9</f>
        <v>26.7921</v>
      </c>
      <c r="G670" s="329">
        <f t="shared" si="71"/>
        <v>2320.8120783</v>
      </c>
    </row>
    <row r="671" customHeight="1" spans="1:7">
      <c r="A671" s="314"/>
      <c r="B671" s="327" t="s">
        <v>696</v>
      </c>
      <c r="C671" s="328"/>
      <c r="D671" s="317" t="s">
        <v>695</v>
      </c>
      <c r="E671" s="326">
        <f>E658*施工机械台时费!$K$28</f>
        <v>9.936</v>
      </c>
      <c r="F671" s="438">
        <f>主要材料预算!$N$14</f>
        <v>7.8077586206897</v>
      </c>
      <c r="G671" s="329">
        <f t="shared" si="71"/>
        <v>77.5778896551729</v>
      </c>
    </row>
    <row r="672" customHeight="1" spans="1:7">
      <c r="A672" s="314" t="s">
        <v>906</v>
      </c>
      <c r="B672" s="327" t="s">
        <v>772</v>
      </c>
      <c r="C672" s="328"/>
      <c r="D672" s="317"/>
      <c r="E672" s="326">
        <f>G641+G665++G666+G667</f>
        <v>69842.360115528</v>
      </c>
      <c r="F672" s="156">
        <f>费率表!$F$15</f>
        <v>0.09</v>
      </c>
      <c r="G672" s="329">
        <f t="shared" si="71"/>
        <v>6285.81241039752</v>
      </c>
    </row>
    <row r="673" customHeight="1" spans="1:7">
      <c r="A673" s="314"/>
      <c r="B673" s="327" t="s">
        <v>907</v>
      </c>
      <c r="C673" s="328"/>
      <c r="D673" s="317"/>
      <c r="E673" s="326">
        <f>G641+G665+G666+G667+G672</f>
        <v>76128.1725259256</v>
      </c>
      <c r="F673" s="156">
        <f>费率表!$I$19</f>
        <v>0.03</v>
      </c>
      <c r="G673" s="329">
        <f t="shared" si="71"/>
        <v>2283.84517577777</v>
      </c>
    </row>
    <row r="674" customHeight="1" spans="1:7">
      <c r="A674" s="335"/>
      <c r="B674" s="336" t="s">
        <v>908</v>
      </c>
      <c r="C674" s="337"/>
      <c r="D674" s="338"/>
      <c r="E674" s="339"/>
      <c r="F674" s="161"/>
      <c r="G674" s="340">
        <f>G641+G665+G666+G667+G672+G673</f>
        <v>78412.0177017033</v>
      </c>
    </row>
    <row r="675" customHeight="1" spans="1:7">
      <c r="A675" s="227"/>
      <c r="B675" s="227"/>
      <c r="C675" s="227"/>
      <c r="D675" s="227"/>
      <c r="E675" s="228"/>
      <c r="F675" s="123"/>
      <c r="G675" s="228"/>
    </row>
    <row r="676" customHeight="1" spans="1:7">
      <c r="A676" s="394" t="s">
        <v>868</v>
      </c>
      <c r="B676" s="394"/>
      <c r="C676" s="394"/>
      <c r="D676" s="394"/>
      <c r="E676" s="394"/>
      <c r="F676" s="394"/>
      <c r="G676" s="394"/>
    </row>
    <row r="677" customHeight="1" spans="1:7">
      <c r="A677" s="309" t="s">
        <v>869</v>
      </c>
      <c r="B677" s="310"/>
      <c r="C677" s="310" t="s">
        <v>131</v>
      </c>
      <c r="D677" s="310" t="s">
        <v>870</v>
      </c>
      <c r="E677" s="311" t="s">
        <v>957</v>
      </c>
      <c r="F677" s="312"/>
      <c r="G677" s="313"/>
    </row>
    <row r="678" customHeight="1" spans="1:7">
      <c r="A678" s="314" t="s">
        <v>507</v>
      </c>
      <c r="B678" s="315"/>
      <c r="C678" s="316" t="s">
        <v>958</v>
      </c>
      <c r="D678" s="316"/>
      <c r="E678" s="316"/>
      <c r="F678" s="61" t="s">
        <v>873</v>
      </c>
      <c r="G678" s="318" t="s">
        <v>874</v>
      </c>
    </row>
    <row r="679" customHeight="1" spans="1:7">
      <c r="A679" s="319" t="s">
        <v>959</v>
      </c>
      <c r="B679" s="320"/>
      <c r="C679" s="320"/>
      <c r="D679" s="320"/>
      <c r="E679" s="320"/>
      <c r="F679" s="320"/>
      <c r="G679" s="321"/>
    </row>
    <row r="680" customHeight="1" spans="1:7">
      <c r="A680" s="322" t="s">
        <v>912</v>
      </c>
      <c r="B680" s="323"/>
      <c r="C680" s="324"/>
      <c r="D680" s="324"/>
      <c r="E680" s="324"/>
      <c r="F680" s="324"/>
      <c r="G680" s="325"/>
    </row>
    <row r="681" customHeight="1" spans="1:7">
      <c r="A681" s="314" t="s">
        <v>34</v>
      </c>
      <c r="B681" s="317" t="s">
        <v>761</v>
      </c>
      <c r="C681" s="317"/>
      <c r="D681" s="317" t="s">
        <v>60</v>
      </c>
      <c r="E681" s="326" t="s">
        <v>877</v>
      </c>
      <c r="F681" s="61" t="s">
        <v>878</v>
      </c>
      <c r="G681" s="318" t="s">
        <v>879</v>
      </c>
    </row>
    <row r="682" customHeight="1" spans="1:7">
      <c r="A682" s="314" t="s">
        <v>8</v>
      </c>
      <c r="B682" s="327" t="s">
        <v>880</v>
      </c>
      <c r="C682" s="328"/>
      <c r="D682" s="317"/>
      <c r="E682" s="326"/>
      <c r="F682" s="147"/>
      <c r="G682" s="329">
        <f>G683+G707</f>
        <v>39426.948954213</v>
      </c>
    </row>
    <row r="683" customHeight="1" spans="1:7">
      <c r="A683" s="314" t="s">
        <v>881</v>
      </c>
      <c r="B683" s="327" t="s">
        <v>882</v>
      </c>
      <c r="C683" s="328"/>
      <c r="D683" s="317"/>
      <c r="E683" s="326"/>
      <c r="F683" s="147"/>
      <c r="G683" s="329">
        <f>G684+G687+G697+G704</f>
        <v>37055.4031524558</v>
      </c>
    </row>
    <row r="684" customHeight="1" spans="1:7">
      <c r="A684" s="314" t="s">
        <v>17</v>
      </c>
      <c r="B684" s="327" t="s">
        <v>510</v>
      </c>
      <c r="C684" s="328"/>
      <c r="D684" s="317"/>
      <c r="E684" s="326"/>
      <c r="F684" s="147"/>
      <c r="G684" s="329">
        <f>SUM(G685:G686)</f>
        <v>9260.796</v>
      </c>
    </row>
    <row r="685" customHeight="1" spans="1:7">
      <c r="A685" s="314"/>
      <c r="B685" s="327" t="s">
        <v>704</v>
      </c>
      <c r="C685" s="328"/>
      <c r="D685" s="317" t="s">
        <v>705</v>
      </c>
      <c r="E685" s="423">
        <v>857.8</v>
      </c>
      <c r="F685" s="423">
        <f>主要材料预算!$D$19</f>
        <v>8.1</v>
      </c>
      <c r="G685" s="329">
        <f t="shared" ref="G685:G689" si="72">E685*F685</f>
        <v>6948.18</v>
      </c>
    </row>
    <row r="686" customHeight="1" spans="1:7">
      <c r="A686" s="314"/>
      <c r="B686" s="327" t="s">
        <v>706</v>
      </c>
      <c r="C686" s="328"/>
      <c r="D686" s="317" t="s">
        <v>705</v>
      </c>
      <c r="E686" s="423">
        <v>400.8</v>
      </c>
      <c r="F686" s="423">
        <f>主要材料预算!$D$20</f>
        <v>5.77</v>
      </c>
      <c r="G686" s="329">
        <f t="shared" si="72"/>
        <v>2312.616</v>
      </c>
    </row>
    <row r="687" customHeight="1" spans="1:7">
      <c r="A687" s="314" t="s">
        <v>19</v>
      </c>
      <c r="B687" s="327" t="s">
        <v>511</v>
      </c>
      <c r="C687" s="328"/>
      <c r="D687" s="317"/>
      <c r="E687" s="326"/>
      <c r="F687" s="423"/>
      <c r="G687" s="329">
        <f>SUM(G688:G696)</f>
        <v>23834.7693027</v>
      </c>
    </row>
    <row r="688" customHeight="1" spans="1:7">
      <c r="A688" s="314"/>
      <c r="B688" s="327" t="s">
        <v>883</v>
      </c>
      <c r="C688" s="328"/>
      <c r="D688" s="317" t="s">
        <v>70</v>
      </c>
      <c r="E688" s="326">
        <v>0.35</v>
      </c>
      <c r="F688" s="423">
        <f>主要材料预算!$L$6</f>
        <v>2209.125</v>
      </c>
      <c r="G688" s="329">
        <f t="shared" si="72"/>
        <v>773.19375</v>
      </c>
    </row>
    <row r="689" customHeight="1" spans="1:7">
      <c r="A689" s="314"/>
      <c r="B689" s="327" t="s">
        <v>885</v>
      </c>
      <c r="C689" s="328"/>
      <c r="D689" s="317" t="s">
        <v>695</v>
      </c>
      <c r="E689" s="326">
        <v>112.25</v>
      </c>
      <c r="F689" s="147">
        <v>4.44</v>
      </c>
      <c r="G689" s="329">
        <f t="shared" si="72"/>
        <v>498.39</v>
      </c>
    </row>
    <row r="690" customHeight="1" spans="1:7">
      <c r="A690" s="314"/>
      <c r="B690" s="327" t="s">
        <v>886</v>
      </c>
      <c r="C690" s="328"/>
      <c r="D690" s="317" t="s">
        <v>695</v>
      </c>
      <c r="E690" s="326">
        <v>49.4</v>
      </c>
      <c r="F690" s="147">
        <v>4.5</v>
      </c>
      <c r="G690" s="329">
        <f t="shared" ref="G690:G695" si="73">E690*F690</f>
        <v>222.3</v>
      </c>
    </row>
    <row r="691" customHeight="1" spans="1:7">
      <c r="A691" s="314"/>
      <c r="B691" s="327" t="s">
        <v>887</v>
      </c>
      <c r="C691" s="328"/>
      <c r="D691" s="317" t="s">
        <v>695</v>
      </c>
      <c r="E691" s="326">
        <v>49.84</v>
      </c>
      <c r="F691" s="147">
        <v>5.15</v>
      </c>
      <c r="G691" s="329">
        <f t="shared" si="73"/>
        <v>256.676</v>
      </c>
    </row>
    <row r="692" customHeight="1" spans="1:7">
      <c r="A692" s="314"/>
      <c r="B692" s="327" t="s">
        <v>889</v>
      </c>
      <c r="C692" s="328"/>
      <c r="D692" s="317" t="s">
        <v>695</v>
      </c>
      <c r="E692" s="326">
        <v>426.39</v>
      </c>
      <c r="F692" s="147">
        <v>6.39</v>
      </c>
      <c r="G692" s="329">
        <f t="shared" si="73"/>
        <v>2724.6321</v>
      </c>
    </row>
    <row r="693" customHeight="1" spans="1:7">
      <c r="A693" s="314"/>
      <c r="B693" s="327" t="s">
        <v>890</v>
      </c>
      <c r="C693" s="328"/>
      <c r="D693" s="317" t="s">
        <v>695</v>
      </c>
      <c r="E693" s="326">
        <v>8.95</v>
      </c>
      <c r="F693" s="147">
        <v>5.97</v>
      </c>
      <c r="G693" s="329">
        <f t="shared" si="73"/>
        <v>53.4315</v>
      </c>
    </row>
    <row r="694" customHeight="1" spans="1:7">
      <c r="A694" s="314"/>
      <c r="B694" s="327" t="s">
        <v>925</v>
      </c>
      <c r="C694" s="328"/>
      <c r="D694" s="317" t="s">
        <v>70</v>
      </c>
      <c r="E694" s="331">
        <v>103</v>
      </c>
      <c r="F694" s="147">
        <f>混凝土单价计算表!$M$7</f>
        <v>176.454345</v>
      </c>
      <c r="G694" s="329">
        <f t="shared" si="73"/>
        <v>18174.797535</v>
      </c>
    </row>
    <row r="695" customHeight="1" spans="1:7">
      <c r="A695" s="314"/>
      <c r="B695" s="327" t="s">
        <v>892</v>
      </c>
      <c r="C695" s="328"/>
      <c r="D695" s="317" t="s">
        <v>70</v>
      </c>
      <c r="E695" s="331">
        <v>160</v>
      </c>
      <c r="F695" s="147">
        <f>主要材料预算!$D$16</f>
        <v>4.15</v>
      </c>
      <c r="G695" s="329">
        <f t="shared" si="73"/>
        <v>664</v>
      </c>
    </row>
    <row r="696" customHeight="1" spans="1:7">
      <c r="A696" s="314"/>
      <c r="B696" s="327" t="s">
        <v>893</v>
      </c>
      <c r="C696" s="328"/>
      <c r="D696" s="317" t="s">
        <v>894</v>
      </c>
      <c r="E696" s="152">
        <v>2</v>
      </c>
      <c r="F696" s="147">
        <f>SUM(G688:G695)</f>
        <v>23367.420885</v>
      </c>
      <c r="G696" s="329">
        <f>E696*F696/100</f>
        <v>467.3484177</v>
      </c>
    </row>
    <row r="697" customHeight="1" spans="1:7">
      <c r="A697" s="314" t="s">
        <v>21</v>
      </c>
      <c r="B697" s="327" t="s">
        <v>895</v>
      </c>
      <c r="C697" s="328"/>
      <c r="D697" s="317"/>
      <c r="E697" s="147"/>
      <c r="F697" s="147"/>
      <c r="G697" s="329">
        <f>SUM(G698:G703)</f>
        <v>1554.14070110092</v>
      </c>
    </row>
    <row r="698" customHeight="1" spans="1:7">
      <c r="A698" s="314"/>
      <c r="B698" s="327" t="s">
        <v>900</v>
      </c>
      <c r="C698" s="328"/>
      <c r="D698" s="317" t="s">
        <v>896</v>
      </c>
      <c r="E698" s="147">
        <v>49.5</v>
      </c>
      <c r="F698" s="147">
        <f>施工机械台时费!$E$22</f>
        <v>3.07752692461109</v>
      </c>
      <c r="G698" s="329">
        <f t="shared" ref="G698:G702" si="74">E698*F698</f>
        <v>152.337582768249</v>
      </c>
    </row>
    <row r="699" customHeight="1" spans="1:7">
      <c r="A699" s="314"/>
      <c r="B699" s="327" t="s">
        <v>899</v>
      </c>
      <c r="C699" s="328"/>
      <c r="D699" s="317" t="s">
        <v>896</v>
      </c>
      <c r="E699" s="147">
        <v>18.54</v>
      </c>
      <c r="F699" s="147">
        <f>施工机械台时费!$E$21</f>
        <v>37.4199521340247</v>
      </c>
      <c r="G699" s="329">
        <f t="shared" si="74"/>
        <v>693.765912564818</v>
      </c>
    </row>
    <row r="700" customHeight="1" spans="1:7">
      <c r="A700" s="314"/>
      <c r="B700" s="327" t="s">
        <v>901</v>
      </c>
      <c r="C700" s="328"/>
      <c r="D700" s="317" t="s">
        <v>896</v>
      </c>
      <c r="E700" s="147">
        <v>83</v>
      </c>
      <c r="F700" s="147">
        <f>施工机械台时费!$E$36</f>
        <v>0.813242919824491</v>
      </c>
      <c r="G700" s="329">
        <f t="shared" si="74"/>
        <v>67.4991623454328</v>
      </c>
    </row>
    <row r="701" customHeight="1" spans="1:7">
      <c r="A701" s="314"/>
      <c r="B701" s="327" t="s">
        <v>822</v>
      </c>
      <c r="C701" s="328"/>
      <c r="D701" s="317" t="s">
        <v>896</v>
      </c>
      <c r="E701" s="147">
        <v>0.42</v>
      </c>
      <c r="F701" s="147">
        <f>施工机械台时费!$E$28</f>
        <v>49.389824491424</v>
      </c>
      <c r="G701" s="329">
        <f t="shared" si="74"/>
        <v>20.7437262863981</v>
      </c>
    </row>
    <row r="702" customHeight="1" spans="1:7">
      <c r="A702" s="314"/>
      <c r="B702" s="327" t="s">
        <v>898</v>
      </c>
      <c r="C702" s="328"/>
      <c r="D702" s="317" t="s">
        <v>896</v>
      </c>
      <c r="E702" s="147">
        <v>13.41</v>
      </c>
      <c r="F702" s="147">
        <f>施工机械台时费!$E$58</f>
        <v>31.1021858795373</v>
      </c>
      <c r="G702" s="329">
        <f t="shared" si="74"/>
        <v>417.080312644595</v>
      </c>
    </row>
    <row r="703" customHeight="1" spans="1:7">
      <c r="A703" s="314"/>
      <c r="B703" s="327" t="s">
        <v>902</v>
      </c>
      <c r="C703" s="328"/>
      <c r="D703" s="317" t="s">
        <v>894</v>
      </c>
      <c r="E703" s="152">
        <v>15</v>
      </c>
      <c r="F703" s="147">
        <f>SUM(G698:G702)</f>
        <v>1351.42669660949</v>
      </c>
      <c r="G703" s="329">
        <f>E703*F703/100</f>
        <v>202.714004491424</v>
      </c>
    </row>
    <row r="704" customHeight="1" spans="1:7">
      <c r="A704" s="314" t="s">
        <v>23</v>
      </c>
      <c r="B704" s="327" t="s">
        <v>513</v>
      </c>
      <c r="C704" s="328"/>
      <c r="D704" s="317"/>
      <c r="E704" s="147"/>
      <c r="F704" s="147"/>
      <c r="G704" s="329">
        <f>SUM(G705:G706)</f>
        <v>2405.69714865489</v>
      </c>
    </row>
    <row r="705" customHeight="1" spans="1:7">
      <c r="A705" s="314"/>
      <c r="B705" s="327" t="s">
        <v>903</v>
      </c>
      <c r="C705" s="328"/>
      <c r="D705" s="317" t="s">
        <v>70</v>
      </c>
      <c r="E705" s="147">
        <v>103</v>
      </c>
      <c r="F705" s="147">
        <f>$G$1441/100</f>
        <v>5.03319379720782</v>
      </c>
      <c r="G705" s="329">
        <f t="shared" ref="G705:G709" si="75">E705*F705</f>
        <v>518.418961112405</v>
      </c>
    </row>
    <row r="706" customHeight="1" spans="1:7">
      <c r="A706" s="314"/>
      <c r="B706" s="327" t="s">
        <v>904</v>
      </c>
      <c r="C706" s="328"/>
      <c r="D706" s="317" t="s">
        <v>70</v>
      </c>
      <c r="E706" s="147">
        <v>103</v>
      </c>
      <c r="F706" s="147">
        <f>$G$1469/100</f>
        <v>18.3230891994416</v>
      </c>
      <c r="G706" s="329">
        <f t="shared" si="75"/>
        <v>1887.27818754248</v>
      </c>
    </row>
    <row r="707" customHeight="1" spans="1:7">
      <c r="A707" s="314" t="s">
        <v>905</v>
      </c>
      <c r="B707" s="327" t="s">
        <v>514</v>
      </c>
      <c r="C707" s="328"/>
      <c r="D707" s="317"/>
      <c r="E707" s="332">
        <f>G683</f>
        <v>37055.4031524558</v>
      </c>
      <c r="F707" s="155">
        <f>费率表!$F$12</f>
        <v>0.064</v>
      </c>
      <c r="G707" s="329">
        <f t="shared" si="75"/>
        <v>2371.54580175717</v>
      </c>
    </row>
    <row r="708" customHeight="1" spans="1:7">
      <c r="A708" s="314" t="s">
        <v>10</v>
      </c>
      <c r="B708" s="327" t="s">
        <v>770</v>
      </c>
      <c r="C708" s="328"/>
      <c r="D708" s="317"/>
      <c r="E708" s="326">
        <f>G682</f>
        <v>39426.948954213</v>
      </c>
      <c r="F708" s="155">
        <f>费率表!$F$13</f>
        <v>0.085</v>
      </c>
      <c r="G708" s="329">
        <f t="shared" si="75"/>
        <v>3351.2906611081</v>
      </c>
    </row>
    <row r="709" customHeight="1" spans="1:7">
      <c r="A709" s="314" t="s">
        <v>12</v>
      </c>
      <c r="B709" s="327" t="s">
        <v>771</v>
      </c>
      <c r="C709" s="328"/>
      <c r="D709" s="317"/>
      <c r="E709" s="326">
        <f>G682+G708</f>
        <v>42778.2396153211</v>
      </c>
      <c r="F709" s="156">
        <f>费率表!$F$14</f>
        <v>0.07</v>
      </c>
      <c r="G709" s="329">
        <f t="shared" si="75"/>
        <v>2994.47677307248</v>
      </c>
    </row>
    <row r="710" customHeight="1" spans="1:7">
      <c r="A710" s="314" t="s">
        <v>15</v>
      </c>
      <c r="B710" s="327" t="s">
        <v>517</v>
      </c>
      <c r="C710" s="328"/>
      <c r="D710" s="317"/>
      <c r="E710" s="326"/>
      <c r="F710" s="157"/>
      <c r="G710" s="329">
        <f>SUM(G711:G714)</f>
        <v>6749.19002413811</v>
      </c>
    </row>
    <row r="711" customHeight="1" spans="1:7">
      <c r="A711" s="314"/>
      <c r="B711" s="327" t="s">
        <v>729</v>
      </c>
      <c r="C711" s="328"/>
      <c r="D711" s="317" t="s">
        <v>204</v>
      </c>
      <c r="E711" s="326">
        <f>E694*混凝土单价计算表!$E$7</f>
        <v>31.641291</v>
      </c>
      <c r="F711" s="438">
        <f>主要材料预算!$N$5</f>
        <v>139.17214</v>
      </c>
      <c r="G711" s="329">
        <f t="shared" ref="G711:G716" si="76">E711*F711</f>
        <v>4403.58618083274</v>
      </c>
    </row>
    <row r="712" customHeight="1" spans="1:7">
      <c r="A712" s="314"/>
      <c r="B712" s="327" t="s">
        <v>684</v>
      </c>
      <c r="C712" s="328"/>
      <c r="D712" s="317" t="s">
        <v>70</v>
      </c>
      <c r="E712" s="326">
        <f>E694*混凝土单价计算表!$G$7</f>
        <v>56.62734</v>
      </c>
      <c r="F712" s="147"/>
      <c r="G712" s="329">
        <f t="shared" si="76"/>
        <v>0</v>
      </c>
    </row>
    <row r="713" customHeight="1" spans="1:7">
      <c r="A713" s="314"/>
      <c r="B713" s="327" t="s">
        <v>687</v>
      </c>
      <c r="C713" s="328"/>
      <c r="D713" s="317" t="s">
        <v>70</v>
      </c>
      <c r="E713" s="326">
        <f>E694*混凝土单价计算表!$I$7</f>
        <v>86.667084</v>
      </c>
      <c r="F713" s="438">
        <f>主要材料预算!$N$9</f>
        <v>26.7921</v>
      </c>
      <c r="G713" s="329">
        <f t="shared" si="76"/>
        <v>2321.9931812364</v>
      </c>
    </row>
    <row r="714" customHeight="1" spans="1:7">
      <c r="A714" s="314"/>
      <c r="B714" s="327" t="s">
        <v>696</v>
      </c>
      <c r="C714" s="328"/>
      <c r="D714" s="317" t="s">
        <v>695</v>
      </c>
      <c r="E714" s="326">
        <f>E701*7.2</f>
        <v>3.024</v>
      </c>
      <c r="F714" s="438">
        <f>主要材料预算!$N$14</f>
        <v>7.8077586206897</v>
      </c>
      <c r="G714" s="329">
        <f t="shared" si="76"/>
        <v>23.6106620689657</v>
      </c>
    </row>
    <row r="715" customHeight="1" spans="1:7">
      <c r="A715" s="314" t="s">
        <v>906</v>
      </c>
      <c r="B715" s="327" t="s">
        <v>772</v>
      </c>
      <c r="C715" s="328"/>
      <c r="D715" s="317"/>
      <c r="E715" s="326">
        <f>G682+G708++G709+G710</f>
        <v>52521.9064125317</v>
      </c>
      <c r="F715" s="156">
        <f>费率表!$F$15</f>
        <v>0.09</v>
      </c>
      <c r="G715" s="329">
        <f t="shared" si="76"/>
        <v>4726.97157712785</v>
      </c>
    </row>
    <row r="716" customHeight="1" spans="1:7">
      <c r="A716" s="314"/>
      <c r="B716" s="327" t="s">
        <v>907</v>
      </c>
      <c r="C716" s="328"/>
      <c r="D716" s="317"/>
      <c r="E716" s="326">
        <f>G682+G708+G709+G710+G715</f>
        <v>57248.8779896595</v>
      </c>
      <c r="F716" s="156">
        <f>费率表!$I$19</f>
        <v>0.03</v>
      </c>
      <c r="G716" s="329">
        <f t="shared" si="76"/>
        <v>1717.46633968979</v>
      </c>
    </row>
    <row r="717" customHeight="1" spans="1:7">
      <c r="A717" s="335"/>
      <c r="B717" s="336" t="s">
        <v>908</v>
      </c>
      <c r="C717" s="337"/>
      <c r="D717" s="338"/>
      <c r="E717" s="339"/>
      <c r="F717" s="161"/>
      <c r="G717" s="340">
        <f>G682+G708+G709+G710+G715+G716</f>
        <v>58966.3443293493</v>
      </c>
    </row>
    <row r="718" customHeight="1" spans="1:7">
      <c r="A718" s="126" t="s">
        <v>868</v>
      </c>
      <c r="B718" s="126"/>
      <c r="C718" s="126"/>
      <c r="D718" s="126"/>
      <c r="E718" s="126"/>
      <c r="F718" s="126"/>
      <c r="G718" s="126"/>
    </row>
    <row r="719" customHeight="1" spans="1:7">
      <c r="A719" s="309" t="s">
        <v>869</v>
      </c>
      <c r="B719" s="310"/>
      <c r="C719" s="310" t="s">
        <v>131</v>
      </c>
      <c r="D719" s="310" t="s">
        <v>870</v>
      </c>
      <c r="E719" s="311" t="s">
        <v>960</v>
      </c>
      <c r="F719" s="312"/>
      <c r="G719" s="313"/>
    </row>
    <row r="720" customHeight="1" spans="1:7">
      <c r="A720" s="314" t="s">
        <v>507</v>
      </c>
      <c r="B720" s="315"/>
      <c r="C720" s="316" t="s">
        <v>961</v>
      </c>
      <c r="D720" s="316"/>
      <c r="E720" s="316"/>
      <c r="F720" s="61" t="s">
        <v>873</v>
      </c>
      <c r="G720" s="318" t="s">
        <v>874</v>
      </c>
    </row>
    <row r="721" customHeight="1" spans="1:7">
      <c r="A721" s="319" t="s">
        <v>959</v>
      </c>
      <c r="B721" s="320"/>
      <c r="C721" s="320"/>
      <c r="D721" s="320"/>
      <c r="E721" s="320"/>
      <c r="F721" s="320"/>
      <c r="G721" s="321"/>
    </row>
    <row r="722" customHeight="1" spans="1:7">
      <c r="A722" s="322" t="s">
        <v>912</v>
      </c>
      <c r="B722" s="323"/>
      <c r="C722" s="324"/>
      <c r="D722" s="324"/>
      <c r="E722" s="324"/>
      <c r="F722" s="324"/>
      <c r="G722" s="325"/>
    </row>
    <row r="723" customHeight="1" spans="1:7">
      <c r="A723" s="314" t="s">
        <v>34</v>
      </c>
      <c r="B723" s="317" t="s">
        <v>761</v>
      </c>
      <c r="C723" s="317"/>
      <c r="D723" s="317" t="s">
        <v>60</v>
      </c>
      <c r="E723" s="326" t="s">
        <v>877</v>
      </c>
      <c r="F723" s="61" t="s">
        <v>878</v>
      </c>
      <c r="G723" s="318" t="s">
        <v>879</v>
      </c>
    </row>
    <row r="724" customHeight="1" spans="1:7">
      <c r="A724" s="314" t="s">
        <v>8</v>
      </c>
      <c r="B724" s="327" t="s">
        <v>880</v>
      </c>
      <c r="C724" s="328"/>
      <c r="D724" s="317"/>
      <c r="E724" s="326"/>
      <c r="F724" s="147"/>
      <c r="G724" s="329">
        <f>G725+G749</f>
        <v>35226.2820970814</v>
      </c>
    </row>
    <row r="725" customHeight="1" spans="1:7">
      <c r="A725" s="314" t="s">
        <v>881</v>
      </c>
      <c r="B725" s="327" t="s">
        <v>882</v>
      </c>
      <c r="C725" s="328"/>
      <c r="D725" s="317"/>
      <c r="E725" s="326"/>
      <c r="F725" s="147"/>
      <c r="G725" s="329">
        <f>G726+G729+G739+G746</f>
        <v>33107.4079859787</v>
      </c>
    </row>
    <row r="726" customHeight="1" spans="1:7">
      <c r="A726" s="314" t="s">
        <v>17</v>
      </c>
      <c r="B726" s="327" t="s">
        <v>510</v>
      </c>
      <c r="C726" s="328"/>
      <c r="D726" s="317"/>
      <c r="E726" s="326"/>
      <c r="F726" s="147"/>
      <c r="G726" s="329">
        <f>SUM(G727:G728)</f>
        <v>7794.277</v>
      </c>
    </row>
    <row r="727" customHeight="1" spans="1:7">
      <c r="A727" s="314"/>
      <c r="B727" s="327" t="s">
        <v>704</v>
      </c>
      <c r="C727" s="328"/>
      <c r="D727" s="317" t="s">
        <v>705</v>
      </c>
      <c r="E727" s="423">
        <v>720.7</v>
      </c>
      <c r="F727" s="423">
        <f>主要材料预算!$D$19</f>
        <v>8.1</v>
      </c>
      <c r="G727" s="329">
        <f t="shared" ref="G727:G731" si="77">E727*F727</f>
        <v>5837.67</v>
      </c>
    </row>
    <row r="728" customHeight="1" spans="1:7">
      <c r="A728" s="314"/>
      <c r="B728" s="327" t="s">
        <v>706</v>
      </c>
      <c r="C728" s="328"/>
      <c r="D728" s="317" t="s">
        <v>705</v>
      </c>
      <c r="E728" s="423">
        <v>339.1</v>
      </c>
      <c r="F728" s="423">
        <f>主要材料预算!$D$20</f>
        <v>5.77</v>
      </c>
      <c r="G728" s="329">
        <f t="shared" si="77"/>
        <v>1956.607</v>
      </c>
    </row>
    <row r="729" customHeight="1" spans="1:7">
      <c r="A729" s="314" t="s">
        <v>19</v>
      </c>
      <c r="B729" s="327" t="s">
        <v>511</v>
      </c>
      <c r="C729" s="328"/>
      <c r="D729" s="317"/>
      <c r="E729" s="326"/>
      <c r="F729" s="147"/>
      <c r="G729" s="329">
        <f>SUM(G730:G738)</f>
        <v>21618.0410937</v>
      </c>
    </row>
    <row r="730" customHeight="1" spans="1:7">
      <c r="A730" s="314"/>
      <c r="B730" s="327" t="s">
        <v>883</v>
      </c>
      <c r="C730" s="328"/>
      <c r="D730" s="317" t="s">
        <v>70</v>
      </c>
      <c r="E730" s="326">
        <v>0.02</v>
      </c>
      <c r="F730" s="423">
        <f>主要材料预算!$L$6</f>
        <v>2209.125</v>
      </c>
      <c r="G730" s="329">
        <f t="shared" si="77"/>
        <v>44.1825</v>
      </c>
    </row>
    <row r="731" customHeight="1" spans="1:7">
      <c r="A731" s="314"/>
      <c r="B731" s="327" t="s">
        <v>885</v>
      </c>
      <c r="C731" s="328"/>
      <c r="D731" s="317" t="s">
        <v>695</v>
      </c>
      <c r="E731" s="326">
        <v>76.36</v>
      </c>
      <c r="F731" s="423">
        <v>4.44</v>
      </c>
      <c r="G731" s="329">
        <f t="shared" si="77"/>
        <v>339.0384</v>
      </c>
    </row>
    <row r="732" customHeight="1" spans="1:7">
      <c r="A732" s="314"/>
      <c r="B732" s="327" t="s">
        <v>886</v>
      </c>
      <c r="C732" s="328"/>
      <c r="D732" s="317" t="s">
        <v>695</v>
      </c>
      <c r="E732" s="326">
        <v>54.71</v>
      </c>
      <c r="F732" s="147">
        <v>4.5</v>
      </c>
      <c r="G732" s="329">
        <f t="shared" ref="G732:G737" si="78">E732*F732</f>
        <v>246.195</v>
      </c>
    </row>
    <row r="733" customHeight="1" spans="1:7">
      <c r="A733" s="314"/>
      <c r="B733" s="327" t="s">
        <v>887</v>
      </c>
      <c r="C733" s="328"/>
      <c r="D733" s="317" t="s">
        <v>695</v>
      </c>
      <c r="E733" s="326">
        <v>43.7</v>
      </c>
      <c r="F733" s="147">
        <v>5.15</v>
      </c>
      <c r="G733" s="329">
        <f t="shared" si="78"/>
        <v>225.055</v>
      </c>
    </row>
    <row r="734" customHeight="1" spans="1:7">
      <c r="A734" s="314"/>
      <c r="B734" s="327" t="s">
        <v>889</v>
      </c>
      <c r="C734" s="328"/>
      <c r="D734" s="317" t="s">
        <v>695</v>
      </c>
      <c r="E734" s="326">
        <v>287.67</v>
      </c>
      <c r="F734" s="147">
        <v>6.39</v>
      </c>
      <c r="G734" s="329">
        <f t="shared" si="78"/>
        <v>1838.2113</v>
      </c>
    </row>
    <row r="735" customHeight="1" spans="1:7">
      <c r="A735" s="314"/>
      <c r="B735" s="327" t="s">
        <v>890</v>
      </c>
      <c r="C735" s="328"/>
      <c r="D735" s="317" t="s">
        <v>695</v>
      </c>
      <c r="E735" s="326">
        <v>6.06</v>
      </c>
      <c r="F735" s="147">
        <v>5.97</v>
      </c>
      <c r="G735" s="329">
        <f t="shared" si="78"/>
        <v>36.1782</v>
      </c>
    </row>
    <row r="736" customHeight="1" spans="1:7">
      <c r="A736" s="314"/>
      <c r="B736" s="327" t="s">
        <v>925</v>
      </c>
      <c r="C736" s="328"/>
      <c r="D736" s="317" t="s">
        <v>70</v>
      </c>
      <c r="E736" s="331">
        <v>103</v>
      </c>
      <c r="F736" s="147">
        <f>混凝土单价计算表!$M$7</f>
        <v>176.454345</v>
      </c>
      <c r="G736" s="329">
        <f t="shared" si="78"/>
        <v>18174.797535</v>
      </c>
    </row>
    <row r="737" customHeight="1" spans="1:7">
      <c r="A737" s="314"/>
      <c r="B737" s="327" t="s">
        <v>892</v>
      </c>
      <c r="C737" s="328"/>
      <c r="D737" s="317" t="s">
        <v>70</v>
      </c>
      <c r="E737" s="331">
        <v>70</v>
      </c>
      <c r="F737" s="147">
        <f>主要材料预算!$D$16</f>
        <v>4.15</v>
      </c>
      <c r="G737" s="329">
        <f t="shared" si="78"/>
        <v>290.5</v>
      </c>
    </row>
    <row r="738" customHeight="1" spans="1:7">
      <c r="A738" s="314"/>
      <c r="B738" s="327" t="s">
        <v>893</v>
      </c>
      <c r="C738" s="328"/>
      <c r="D738" s="317" t="s">
        <v>894</v>
      </c>
      <c r="E738" s="152">
        <v>2</v>
      </c>
      <c r="F738" s="147">
        <f>SUM(G730:G737)</f>
        <v>21194.157935</v>
      </c>
      <c r="G738" s="329">
        <f>E738*F738/100</f>
        <v>423.8831587</v>
      </c>
    </row>
    <row r="739" customHeight="1" spans="1:7">
      <c r="A739" s="314" t="s">
        <v>21</v>
      </c>
      <c r="B739" s="327" t="s">
        <v>895</v>
      </c>
      <c r="C739" s="328"/>
      <c r="D739" s="317"/>
      <c r="E739" s="147"/>
      <c r="F739" s="147"/>
      <c r="G739" s="329">
        <f>SUM(G740:G745)</f>
        <v>1289.39274362385</v>
      </c>
    </row>
    <row r="740" customHeight="1" spans="1:7">
      <c r="A740" s="314"/>
      <c r="B740" s="327" t="s">
        <v>900</v>
      </c>
      <c r="C740" s="328"/>
      <c r="D740" s="317" t="s">
        <v>896</v>
      </c>
      <c r="E740" s="147">
        <v>20</v>
      </c>
      <c r="F740" s="147">
        <f>施工机械台时费!$E$22</f>
        <v>3.07752692461109</v>
      </c>
      <c r="G740" s="329">
        <f t="shared" ref="G740:G744" si="79">E740*F740</f>
        <v>61.5505384922218</v>
      </c>
    </row>
    <row r="741" customHeight="1" spans="1:7">
      <c r="A741" s="314"/>
      <c r="B741" s="327" t="s">
        <v>899</v>
      </c>
      <c r="C741" s="328"/>
      <c r="D741" s="317" t="s">
        <v>896</v>
      </c>
      <c r="E741" s="147">
        <v>18.54</v>
      </c>
      <c r="F741" s="147">
        <f>施工机械台时费!$E$21</f>
        <v>37.4199521340247</v>
      </c>
      <c r="G741" s="329">
        <f t="shared" si="79"/>
        <v>693.765912564818</v>
      </c>
    </row>
    <row r="742" customHeight="1" spans="1:7">
      <c r="A742" s="314"/>
      <c r="B742" s="327" t="s">
        <v>901</v>
      </c>
      <c r="C742" s="328"/>
      <c r="D742" s="317" t="s">
        <v>896</v>
      </c>
      <c r="E742" s="147">
        <v>83</v>
      </c>
      <c r="F742" s="147">
        <f>施工机械台时费!$E$36</f>
        <v>0.813242919824491</v>
      </c>
      <c r="G742" s="329">
        <f t="shared" si="79"/>
        <v>67.4991623454328</v>
      </c>
    </row>
    <row r="743" customHeight="1" spans="1:7">
      <c r="A743" s="314"/>
      <c r="B743" s="327" t="s">
        <v>822</v>
      </c>
      <c r="C743" s="328"/>
      <c r="D743" s="317" t="s">
        <v>896</v>
      </c>
      <c r="E743" s="147">
        <v>0.33</v>
      </c>
      <c r="F743" s="147">
        <f>施工机械台时费!$E$28</f>
        <v>49.389824491424</v>
      </c>
      <c r="G743" s="329">
        <f t="shared" si="79"/>
        <v>16.2986420821699</v>
      </c>
    </row>
    <row r="744" customHeight="1" spans="1:7">
      <c r="A744" s="314"/>
      <c r="B744" s="327" t="s">
        <v>898</v>
      </c>
      <c r="C744" s="328"/>
      <c r="D744" s="317" t="s">
        <v>896</v>
      </c>
      <c r="E744" s="147">
        <v>9.07</v>
      </c>
      <c r="F744" s="147">
        <f>施工机械台时费!$E$58</f>
        <v>31.1021858795373</v>
      </c>
      <c r="G744" s="329">
        <f t="shared" si="79"/>
        <v>282.096825927403</v>
      </c>
    </row>
    <row r="745" customHeight="1" spans="1:7">
      <c r="A745" s="314"/>
      <c r="B745" s="327" t="s">
        <v>902</v>
      </c>
      <c r="C745" s="328"/>
      <c r="D745" s="317" t="s">
        <v>894</v>
      </c>
      <c r="E745" s="152">
        <v>15</v>
      </c>
      <c r="F745" s="147">
        <f>SUM(G740:G744)</f>
        <v>1121.21108141205</v>
      </c>
      <c r="G745" s="329">
        <f>E745*F745/100</f>
        <v>168.181662211807</v>
      </c>
    </row>
    <row r="746" customHeight="1" spans="1:7">
      <c r="A746" s="314" t="s">
        <v>23</v>
      </c>
      <c r="B746" s="327" t="s">
        <v>513</v>
      </c>
      <c r="C746" s="328"/>
      <c r="D746" s="317"/>
      <c r="E746" s="147"/>
      <c r="F746" s="147"/>
      <c r="G746" s="329">
        <f>SUM(G747:G748)</f>
        <v>2405.69714865489</v>
      </c>
    </row>
    <row r="747" customHeight="1" spans="1:7">
      <c r="A747" s="314"/>
      <c r="B747" s="327" t="s">
        <v>903</v>
      </c>
      <c r="C747" s="328"/>
      <c r="D747" s="317" t="s">
        <v>70</v>
      </c>
      <c r="E747" s="147">
        <v>103</v>
      </c>
      <c r="F747" s="147">
        <f>$G$1441/100</f>
        <v>5.03319379720782</v>
      </c>
      <c r="G747" s="329">
        <f t="shared" ref="G747:G751" si="80">E747*F747</f>
        <v>518.418961112405</v>
      </c>
    </row>
    <row r="748" customHeight="1" spans="1:7">
      <c r="A748" s="314"/>
      <c r="B748" s="327" t="s">
        <v>904</v>
      </c>
      <c r="C748" s="328"/>
      <c r="D748" s="317" t="s">
        <v>70</v>
      </c>
      <c r="E748" s="147">
        <v>103</v>
      </c>
      <c r="F748" s="147">
        <f>$G$1469/100</f>
        <v>18.3230891994416</v>
      </c>
      <c r="G748" s="329">
        <f t="shared" si="80"/>
        <v>1887.27818754248</v>
      </c>
    </row>
    <row r="749" customHeight="1" spans="1:7">
      <c r="A749" s="314" t="s">
        <v>905</v>
      </c>
      <c r="B749" s="327" t="s">
        <v>514</v>
      </c>
      <c r="C749" s="328"/>
      <c r="D749" s="317"/>
      <c r="E749" s="332">
        <f>G725</f>
        <v>33107.4079859787</v>
      </c>
      <c r="F749" s="155">
        <f>费率表!$F$12</f>
        <v>0.064</v>
      </c>
      <c r="G749" s="329">
        <f t="shared" si="80"/>
        <v>2118.87411110264</v>
      </c>
    </row>
    <row r="750" customHeight="1" spans="1:7">
      <c r="A750" s="314" t="s">
        <v>10</v>
      </c>
      <c r="B750" s="327" t="s">
        <v>770</v>
      </c>
      <c r="C750" s="328"/>
      <c r="D750" s="317"/>
      <c r="E750" s="326">
        <f>G724</f>
        <v>35226.2820970814</v>
      </c>
      <c r="F750" s="155">
        <f>费率表!$F$13</f>
        <v>0.085</v>
      </c>
      <c r="G750" s="329">
        <f t="shared" si="80"/>
        <v>2994.23397825192</v>
      </c>
    </row>
    <row r="751" customHeight="1" spans="1:7">
      <c r="A751" s="314" t="s">
        <v>12</v>
      </c>
      <c r="B751" s="327" t="s">
        <v>771</v>
      </c>
      <c r="C751" s="328"/>
      <c r="D751" s="317"/>
      <c r="E751" s="326">
        <f>G724+G750</f>
        <v>38220.5160753333</v>
      </c>
      <c r="F751" s="156">
        <f>费率表!$F$14</f>
        <v>0.07</v>
      </c>
      <c r="G751" s="329">
        <f t="shared" si="80"/>
        <v>2675.43612527333</v>
      </c>
    </row>
    <row r="752" customHeight="1" spans="1:7">
      <c r="A752" s="314" t="s">
        <v>15</v>
      </c>
      <c r="B752" s="327" t="s">
        <v>517</v>
      </c>
      <c r="C752" s="328"/>
      <c r="D752" s="317"/>
      <c r="E752" s="326"/>
      <c r="F752" s="157"/>
      <c r="G752" s="329">
        <f>SUM(G753:G756)</f>
        <v>6744.1305965519</v>
      </c>
    </row>
    <row r="753" customHeight="1" spans="1:7">
      <c r="A753" s="314"/>
      <c r="B753" s="327" t="s">
        <v>729</v>
      </c>
      <c r="C753" s="328"/>
      <c r="D753" s="317" t="s">
        <v>204</v>
      </c>
      <c r="E753" s="326">
        <f>E736*混凝土单价计算表!$E$7</f>
        <v>31.641291</v>
      </c>
      <c r="F753" s="438">
        <f>主要材料预算!$N$5</f>
        <v>139.17214</v>
      </c>
      <c r="G753" s="329">
        <f t="shared" ref="G753:G758" si="81">E753*F753</f>
        <v>4403.58618083274</v>
      </c>
    </row>
    <row r="754" customHeight="1" spans="1:7">
      <c r="A754" s="314"/>
      <c r="B754" s="327" t="s">
        <v>684</v>
      </c>
      <c r="C754" s="328"/>
      <c r="D754" s="317" t="s">
        <v>70</v>
      </c>
      <c r="E754" s="326">
        <f>E736*混凝土单价计算表!$G$7</f>
        <v>56.62734</v>
      </c>
      <c r="F754" s="147"/>
      <c r="G754" s="329">
        <f t="shared" si="81"/>
        <v>0</v>
      </c>
    </row>
    <row r="755" customHeight="1" spans="1:7">
      <c r="A755" s="314"/>
      <c r="B755" s="327" t="s">
        <v>687</v>
      </c>
      <c r="C755" s="328"/>
      <c r="D755" s="317" t="s">
        <v>70</v>
      </c>
      <c r="E755" s="326">
        <f>E736*混凝土单价计算表!$I$7</f>
        <v>86.667084</v>
      </c>
      <c r="F755" s="438">
        <f>主要材料预算!$N$9</f>
        <v>26.7921</v>
      </c>
      <c r="G755" s="329">
        <f t="shared" si="81"/>
        <v>2321.9931812364</v>
      </c>
    </row>
    <row r="756" customHeight="1" spans="1:7">
      <c r="A756" s="314"/>
      <c r="B756" s="327" t="s">
        <v>696</v>
      </c>
      <c r="C756" s="328"/>
      <c r="D756" s="317" t="s">
        <v>695</v>
      </c>
      <c r="E756" s="326">
        <f>E743*7.2</f>
        <v>2.376</v>
      </c>
      <c r="F756" s="438">
        <f>主要材料预算!$N$14</f>
        <v>7.8077586206897</v>
      </c>
      <c r="G756" s="329">
        <f t="shared" si="81"/>
        <v>18.5512344827587</v>
      </c>
    </row>
    <row r="757" customHeight="1" spans="1:7">
      <c r="A757" s="314" t="s">
        <v>906</v>
      </c>
      <c r="B757" s="327" t="s">
        <v>772</v>
      </c>
      <c r="C757" s="328"/>
      <c r="D757" s="317"/>
      <c r="E757" s="326">
        <f>G724+G750++G751+G752</f>
        <v>47640.0827971585</v>
      </c>
      <c r="F757" s="156">
        <f>费率表!$F$15</f>
        <v>0.09</v>
      </c>
      <c r="G757" s="329">
        <f t="shared" si="81"/>
        <v>4287.60745174427</v>
      </c>
    </row>
    <row r="758" customHeight="1" spans="1:7">
      <c r="A758" s="314"/>
      <c r="B758" s="327" t="s">
        <v>907</v>
      </c>
      <c r="C758" s="328"/>
      <c r="D758" s="317"/>
      <c r="E758" s="326">
        <f>G724+G750+G751+G752+G757</f>
        <v>51927.6902489028</v>
      </c>
      <c r="F758" s="156">
        <f>费率表!$I$19</f>
        <v>0.03</v>
      </c>
      <c r="G758" s="329">
        <f t="shared" si="81"/>
        <v>1557.83070746708</v>
      </c>
    </row>
    <row r="759" customHeight="1" spans="1:7">
      <c r="A759" s="335"/>
      <c r="B759" s="336" t="s">
        <v>908</v>
      </c>
      <c r="C759" s="337"/>
      <c r="D759" s="338"/>
      <c r="E759" s="339"/>
      <c r="F759" s="161"/>
      <c r="G759" s="340">
        <f>G724+G750+G751+G752+G757+G758</f>
        <v>53485.5209563699</v>
      </c>
    </row>
    <row r="760" customHeight="1" spans="1:7">
      <c r="A760" s="227"/>
      <c r="B760" s="227"/>
      <c r="C760" s="227"/>
      <c r="D760" s="227"/>
      <c r="E760" s="228"/>
      <c r="F760" s="123"/>
      <c r="G760" s="228"/>
    </row>
    <row r="761" customHeight="1" spans="1:7">
      <c r="A761" s="126" t="s">
        <v>868</v>
      </c>
      <c r="B761" s="126"/>
      <c r="C761" s="126"/>
      <c r="D761" s="126"/>
      <c r="E761" s="126"/>
      <c r="F761" s="126"/>
      <c r="G761" s="126"/>
    </row>
    <row r="762" customHeight="1" spans="1:7">
      <c r="A762" s="309" t="s">
        <v>869</v>
      </c>
      <c r="B762" s="310"/>
      <c r="C762" s="310" t="s">
        <v>131</v>
      </c>
      <c r="D762" s="310" t="s">
        <v>870</v>
      </c>
      <c r="E762" s="311" t="s">
        <v>962</v>
      </c>
      <c r="F762" s="312"/>
      <c r="G762" s="313"/>
    </row>
    <row r="763" customHeight="1" spans="1:7">
      <c r="A763" s="314" t="s">
        <v>507</v>
      </c>
      <c r="B763" s="315"/>
      <c r="C763" s="316" t="s">
        <v>963</v>
      </c>
      <c r="D763" s="316"/>
      <c r="E763" s="316"/>
      <c r="F763" s="61" t="s">
        <v>873</v>
      </c>
      <c r="G763" s="318" t="s">
        <v>874</v>
      </c>
    </row>
    <row r="764" customHeight="1" spans="1:7">
      <c r="A764" s="445" t="s">
        <v>964</v>
      </c>
      <c r="B764" s="446"/>
      <c r="C764" s="446"/>
      <c r="D764" s="446"/>
      <c r="E764" s="446"/>
      <c r="F764" s="446"/>
      <c r="G764" s="447"/>
    </row>
    <row r="765" customHeight="1" spans="1:7">
      <c r="A765" s="448" t="s">
        <v>965</v>
      </c>
      <c r="B765" s="449"/>
      <c r="C765" s="449"/>
      <c r="D765" s="449"/>
      <c r="E765" s="449"/>
      <c r="F765" s="449"/>
      <c r="G765" s="450"/>
    </row>
    <row r="766" customHeight="1" spans="1:7">
      <c r="A766" s="314" t="s">
        <v>34</v>
      </c>
      <c r="B766" s="317" t="s">
        <v>761</v>
      </c>
      <c r="C766" s="317"/>
      <c r="D766" s="317" t="s">
        <v>60</v>
      </c>
      <c r="E766" s="326" t="s">
        <v>877</v>
      </c>
      <c r="F766" s="61" t="s">
        <v>878</v>
      </c>
      <c r="G766" s="318" t="s">
        <v>879</v>
      </c>
    </row>
    <row r="767" customHeight="1" spans="1:7">
      <c r="A767" s="314" t="s">
        <v>8</v>
      </c>
      <c r="B767" s="327" t="s">
        <v>880</v>
      </c>
      <c r="C767" s="328"/>
      <c r="D767" s="317"/>
      <c r="E767" s="326"/>
      <c r="F767" s="147"/>
      <c r="G767" s="329">
        <f>G768+G787</f>
        <v>39408.7040368366</v>
      </c>
    </row>
    <row r="768" customHeight="1" spans="1:7">
      <c r="A768" s="314" t="s">
        <v>881</v>
      </c>
      <c r="B768" s="327" t="s">
        <v>882</v>
      </c>
      <c r="C768" s="328"/>
      <c r="D768" s="317"/>
      <c r="E768" s="326"/>
      <c r="F768" s="147"/>
      <c r="G768" s="329">
        <f>G769+G772+G778+G784</f>
        <v>37038.2556737186</v>
      </c>
    </row>
    <row r="769" customHeight="1" spans="1:7">
      <c r="A769" s="314" t="s">
        <v>17</v>
      </c>
      <c r="B769" s="327" t="s">
        <v>510</v>
      </c>
      <c r="C769" s="328"/>
      <c r="D769" s="317"/>
      <c r="E769" s="326"/>
      <c r="F769" s="147"/>
      <c r="G769" s="329">
        <f>SUM(G770:G771)</f>
        <v>13755.267</v>
      </c>
    </row>
    <row r="770" customHeight="1" spans="1:7">
      <c r="A770" s="314"/>
      <c r="B770" s="327" t="s">
        <v>704</v>
      </c>
      <c r="C770" s="328"/>
      <c r="D770" s="317" t="s">
        <v>705</v>
      </c>
      <c r="E770" s="423">
        <v>1282.1</v>
      </c>
      <c r="F770" s="423">
        <f>主要材料预算!$D$19</f>
        <v>8.1</v>
      </c>
      <c r="G770" s="329">
        <f t="shared" ref="G770:G776" si="82">E770*F770</f>
        <v>10385.01</v>
      </c>
    </row>
    <row r="771" customHeight="1" spans="1:7">
      <c r="A771" s="314"/>
      <c r="B771" s="327" t="s">
        <v>706</v>
      </c>
      <c r="C771" s="328"/>
      <c r="D771" s="317" t="s">
        <v>705</v>
      </c>
      <c r="E771" s="423">
        <v>584.1</v>
      </c>
      <c r="F771" s="423">
        <f>主要材料预算!$D$20</f>
        <v>5.77</v>
      </c>
      <c r="G771" s="329">
        <f t="shared" si="82"/>
        <v>3370.257</v>
      </c>
    </row>
    <row r="772" customHeight="1" spans="1:7">
      <c r="A772" s="314" t="s">
        <v>19</v>
      </c>
      <c r="B772" s="327" t="s">
        <v>511</v>
      </c>
      <c r="C772" s="328"/>
      <c r="D772" s="317"/>
      <c r="E772" s="326"/>
      <c r="F772" s="147"/>
      <c r="G772" s="329">
        <f>SUM(G773:G777)</f>
        <v>19806.6526619</v>
      </c>
    </row>
    <row r="773" customHeight="1" spans="1:7">
      <c r="A773" s="314"/>
      <c r="B773" s="451" t="s">
        <v>966</v>
      </c>
      <c r="C773" s="451" t="s">
        <v>966</v>
      </c>
      <c r="D773" s="452" t="s">
        <v>695</v>
      </c>
      <c r="E773" s="453">
        <v>116.41</v>
      </c>
      <c r="F773" s="423">
        <f>基础材料!$D$9</f>
        <v>4.44</v>
      </c>
      <c r="G773" s="329">
        <f t="shared" si="82"/>
        <v>516.8604</v>
      </c>
    </row>
    <row r="774" customHeight="1" spans="1:7">
      <c r="A774" s="314"/>
      <c r="B774" s="451" t="s">
        <v>913</v>
      </c>
      <c r="C774" s="451" t="s">
        <v>913</v>
      </c>
      <c r="D774" s="452" t="s">
        <v>695</v>
      </c>
      <c r="E774" s="453">
        <v>24.59</v>
      </c>
      <c r="F774" s="423">
        <f>基础材料!$D$3</f>
        <v>4.04</v>
      </c>
      <c r="G774" s="329">
        <f t="shared" si="82"/>
        <v>99.3436</v>
      </c>
    </row>
    <row r="775" customHeight="1" spans="1:7">
      <c r="A775" s="314"/>
      <c r="B775" s="451" t="s">
        <v>925</v>
      </c>
      <c r="C775" s="451"/>
      <c r="D775" s="452" t="s">
        <v>70</v>
      </c>
      <c r="E775" s="454">
        <v>102</v>
      </c>
      <c r="F775" s="147">
        <f>混凝土单价计算表!$M$8</f>
        <v>176.454345</v>
      </c>
      <c r="G775" s="329">
        <f t="shared" si="82"/>
        <v>17998.34319</v>
      </c>
    </row>
    <row r="776" customHeight="1" spans="1:7">
      <c r="A776" s="314"/>
      <c r="B776" s="451" t="s">
        <v>892</v>
      </c>
      <c r="C776" s="451"/>
      <c r="D776" s="452" t="s">
        <v>70</v>
      </c>
      <c r="E776" s="454">
        <v>240</v>
      </c>
      <c r="F776" s="147">
        <f>主要材料预算!$D$16</f>
        <v>4.15</v>
      </c>
      <c r="G776" s="329">
        <f t="shared" si="82"/>
        <v>996</v>
      </c>
    </row>
    <row r="777" customHeight="1" spans="1:7">
      <c r="A777" s="314"/>
      <c r="B777" s="327" t="s">
        <v>893</v>
      </c>
      <c r="C777" s="328"/>
      <c r="D777" s="317" t="s">
        <v>894</v>
      </c>
      <c r="E777" s="454">
        <v>1</v>
      </c>
      <c r="F777" s="147">
        <f>SUM(G773:G776)</f>
        <v>19610.54719</v>
      </c>
      <c r="G777" s="329">
        <f>E777*F777/100</f>
        <v>196.1054719</v>
      </c>
    </row>
    <row r="778" customHeight="1" spans="1:7">
      <c r="A778" s="314" t="s">
        <v>21</v>
      </c>
      <c r="B778" s="327" t="s">
        <v>895</v>
      </c>
      <c r="C778" s="328"/>
      <c r="D778" s="317"/>
      <c r="E778" s="147"/>
      <c r="F778" s="147"/>
      <c r="G778" s="329">
        <f>SUM(G779:G783)</f>
        <v>1093.99514616035</v>
      </c>
    </row>
    <row r="779" customHeight="1" spans="1:7">
      <c r="A779" s="314"/>
      <c r="B779" s="451" t="s">
        <v>899</v>
      </c>
      <c r="C779" s="451"/>
      <c r="D779" s="452" t="s">
        <v>896</v>
      </c>
      <c r="E779" s="453">
        <v>18.36</v>
      </c>
      <c r="F779" s="147">
        <f>施工机械台时费!$E$21</f>
        <v>37.4199521340247</v>
      </c>
      <c r="G779" s="329">
        <f t="shared" ref="G779:G782" si="83">E779*F779</f>
        <v>687.030321180694</v>
      </c>
    </row>
    <row r="780" customHeight="1" spans="1:7">
      <c r="A780" s="314"/>
      <c r="B780" s="451" t="s">
        <v>967</v>
      </c>
      <c r="C780" s="451"/>
      <c r="D780" s="452" t="s">
        <v>896</v>
      </c>
      <c r="E780" s="453">
        <v>35.6</v>
      </c>
      <c r="F780" s="147">
        <f>施工机械台时费!$E$24</f>
        <v>5.08152772237734</v>
      </c>
      <c r="G780" s="329">
        <f t="shared" si="83"/>
        <v>180.902386916633</v>
      </c>
    </row>
    <row r="781" customHeight="1" spans="1:7">
      <c r="A781" s="314"/>
      <c r="B781" s="451" t="s">
        <v>822</v>
      </c>
      <c r="C781" s="451"/>
      <c r="D781" s="452" t="s">
        <v>896</v>
      </c>
      <c r="E781" s="453">
        <v>1.6</v>
      </c>
      <c r="F781" s="147">
        <f>施工机械台时费!$E$28</f>
        <v>49.389824491424</v>
      </c>
      <c r="G781" s="329">
        <f t="shared" si="83"/>
        <v>79.0237191862784</v>
      </c>
    </row>
    <row r="782" customHeight="1" spans="1:7">
      <c r="A782" s="314"/>
      <c r="B782" s="451" t="s">
        <v>834</v>
      </c>
      <c r="C782" s="451"/>
      <c r="D782" s="452" t="s">
        <v>896</v>
      </c>
      <c r="E782" s="453">
        <v>92.8</v>
      </c>
      <c r="F782" s="147">
        <f>施工机械台时费!$E$36</f>
        <v>0.813242919824491</v>
      </c>
      <c r="G782" s="329">
        <f t="shared" si="83"/>
        <v>75.4689429597128</v>
      </c>
    </row>
    <row r="783" customHeight="1" spans="1:7">
      <c r="A783" s="314"/>
      <c r="B783" s="327" t="s">
        <v>902</v>
      </c>
      <c r="C783" s="328"/>
      <c r="D783" s="317" t="s">
        <v>894</v>
      </c>
      <c r="E783" s="152">
        <v>7</v>
      </c>
      <c r="F783" s="147">
        <f>SUM(G779:G782)</f>
        <v>1022.42537024332</v>
      </c>
      <c r="G783" s="329">
        <f>E783*F783/100</f>
        <v>71.5697759170323</v>
      </c>
    </row>
    <row r="784" customHeight="1" spans="1:7">
      <c r="A784" s="314" t="s">
        <v>23</v>
      </c>
      <c r="B784" s="327" t="s">
        <v>513</v>
      </c>
      <c r="C784" s="328"/>
      <c r="D784" s="317"/>
      <c r="E784" s="147"/>
      <c r="F784" s="147"/>
      <c r="G784" s="329">
        <f>SUM(G785:G786)</f>
        <v>2382.34086565824</v>
      </c>
    </row>
    <row r="785" customHeight="1" spans="1:7">
      <c r="A785" s="314"/>
      <c r="B785" s="327" t="s">
        <v>903</v>
      </c>
      <c r="C785" s="328"/>
      <c r="D785" s="317" t="s">
        <v>70</v>
      </c>
      <c r="E785" s="147">
        <v>102</v>
      </c>
      <c r="F785" s="147">
        <f>$G$1441/100</f>
        <v>5.03319379720782</v>
      </c>
      <c r="G785" s="329">
        <f t="shared" ref="G785:G789" si="84">E785*F785</f>
        <v>513.385767315197</v>
      </c>
    </row>
    <row r="786" customHeight="1" spans="1:7">
      <c r="A786" s="314"/>
      <c r="B786" s="327" t="s">
        <v>904</v>
      </c>
      <c r="C786" s="328"/>
      <c r="D786" s="317" t="s">
        <v>70</v>
      </c>
      <c r="E786" s="147">
        <v>102</v>
      </c>
      <c r="F786" s="147">
        <f>$G$1469/100</f>
        <v>18.3230891994416</v>
      </c>
      <c r="G786" s="329">
        <f t="shared" si="84"/>
        <v>1868.95509834304</v>
      </c>
    </row>
    <row r="787" customHeight="1" spans="1:7">
      <c r="A787" s="314" t="s">
        <v>905</v>
      </c>
      <c r="B787" s="327" t="s">
        <v>514</v>
      </c>
      <c r="C787" s="328"/>
      <c r="D787" s="317"/>
      <c r="E787" s="332">
        <f>G768</f>
        <v>37038.2556737186</v>
      </c>
      <c r="F787" s="155">
        <f>费率表!$F$12</f>
        <v>0.064</v>
      </c>
      <c r="G787" s="329">
        <f t="shared" si="84"/>
        <v>2370.44836311799</v>
      </c>
    </row>
    <row r="788" customHeight="1" spans="1:7">
      <c r="A788" s="314" t="s">
        <v>10</v>
      </c>
      <c r="B788" s="327" t="s">
        <v>770</v>
      </c>
      <c r="C788" s="328"/>
      <c r="D788" s="317"/>
      <c r="E788" s="326">
        <f>G767</f>
        <v>39408.7040368366</v>
      </c>
      <c r="F788" s="155">
        <f>费率表!$F$13</f>
        <v>0.085</v>
      </c>
      <c r="G788" s="329">
        <f t="shared" si="84"/>
        <v>3349.73984313111</v>
      </c>
    </row>
    <row r="789" customHeight="1" spans="1:7">
      <c r="A789" s="314" t="s">
        <v>12</v>
      </c>
      <c r="B789" s="327" t="s">
        <v>771</v>
      </c>
      <c r="C789" s="328"/>
      <c r="D789" s="317"/>
      <c r="E789" s="326">
        <f>G767+G788</f>
        <v>42758.4438799677</v>
      </c>
      <c r="F789" s="156">
        <f>费率表!$F$14</f>
        <v>0.07</v>
      </c>
      <c r="G789" s="329">
        <f t="shared" si="84"/>
        <v>2993.09107159774</v>
      </c>
    </row>
    <row r="790" customHeight="1" spans="1:7">
      <c r="A790" s="314" t="s">
        <v>15</v>
      </c>
      <c r="B790" s="327" t="s">
        <v>517</v>
      </c>
      <c r="C790" s="328"/>
      <c r="D790" s="317"/>
      <c r="E790" s="326"/>
      <c r="F790" s="157"/>
      <c r="G790" s="329">
        <f>SUM(G791:G794)</f>
        <v>6750.22785436911</v>
      </c>
    </row>
    <row r="791" customHeight="1" spans="1:7">
      <c r="A791" s="314"/>
      <c r="B791" s="327" t="s">
        <v>729</v>
      </c>
      <c r="C791" s="328"/>
      <c r="D791" s="317" t="s">
        <v>204</v>
      </c>
      <c r="E791" s="326">
        <f>E775*混凝土单价计算表!$E$8</f>
        <v>31.334094</v>
      </c>
      <c r="F791" s="438">
        <f>主要材料预算!$N$5</f>
        <v>139.17214</v>
      </c>
      <c r="G791" s="329">
        <f t="shared" ref="G791:G796" si="85">E791*F791</f>
        <v>4360.83291694116</v>
      </c>
    </row>
    <row r="792" customHeight="1" spans="1:7">
      <c r="A792" s="314"/>
      <c r="B792" s="327" t="s">
        <v>684</v>
      </c>
      <c r="C792" s="328"/>
      <c r="D792" s="317" t="s">
        <v>70</v>
      </c>
      <c r="E792" s="326">
        <f>E775*混凝土单价计算表!$G$8</f>
        <v>56.07756</v>
      </c>
      <c r="F792" s="147"/>
      <c r="G792" s="329">
        <f t="shared" si="85"/>
        <v>0</v>
      </c>
    </row>
    <row r="793" customHeight="1" spans="1:7">
      <c r="A793" s="314"/>
      <c r="B793" s="327" t="s">
        <v>687</v>
      </c>
      <c r="C793" s="328"/>
      <c r="D793" s="317" t="s">
        <v>70</v>
      </c>
      <c r="E793" s="326">
        <f>E775*混凝土单价计算表!$I$8</f>
        <v>85.825656</v>
      </c>
      <c r="F793" s="438">
        <f>主要材料预算!$N$9</f>
        <v>26.7921</v>
      </c>
      <c r="G793" s="329">
        <f t="shared" si="85"/>
        <v>2299.4495581176</v>
      </c>
    </row>
    <row r="794" customHeight="1" spans="1:7">
      <c r="A794" s="314"/>
      <c r="B794" s="327" t="s">
        <v>696</v>
      </c>
      <c r="C794" s="328"/>
      <c r="D794" s="317" t="s">
        <v>695</v>
      </c>
      <c r="E794" s="326">
        <f>E781*施工机械台时费!$K$28</f>
        <v>11.52</v>
      </c>
      <c r="F794" s="438">
        <f>主要材料预算!$N$14</f>
        <v>7.8077586206897</v>
      </c>
      <c r="G794" s="329">
        <f t="shared" si="85"/>
        <v>89.9453793103453</v>
      </c>
    </row>
    <row r="795" customHeight="1" spans="1:7">
      <c r="A795" s="314" t="s">
        <v>906</v>
      </c>
      <c r="B795" s="327" t="s">
        <v>772</v>
      </c>
      <c r="C795" s="328"/>
      <c r="D795" s="317"/>
      <c r="E795" s="326">
        <f>G767+G788++G789+G790</f>
        <v>52501.7628059346</v>
      </c>
      <c r="F795" s="156">
        <f>费率表!$F$15</f>
        <v>0.09</v>
      </c>
      <c r="G795" s="329">
        <f t="shared" si="85"/>
        <v>4725.15865253411</v>
      </c>
    </row>
    <row r="796" customHeight="1" spans="1:7">
      <c r="A796" s="314"/>
      <c r="B796" s="327" t="s">
        <v>907</v>
      </c>
      <c r="C796" s="328"/>
      <c r="D796" s="317"/>
      <c r="E796" s="326">
        <f>G767+G788+G789+G790+G795</f>
        <v>57226.9214584687</v>
      </c>
      <c r="F796" s="156">
        <f>费率表!$I$19</f>
        <v>0.03</v>
      </c>
      <c r="G796" s="329">
        <f t="shared" si="85"/>
        <v>1716.80764375406</v>
      </c>
    </row>
    <row r="797" customHeight="1" spans="1:7">
      <c r="A797" s="335"/>
      <c r="B797" s="336" t="s">
        <v>908</v>
      </c>
      <c r="C797" s="337"/>
      <c r="D797" s="338"/>
      <c r="E797" s="339"/>
      <c r="F797" s="161"/>
      <c r="G797" s="340">
        <f>G767+G788+G789+G790+G795+G796</f>
        <v>58943.7291022227</v>
      </c>
    </row>
    <row r="798" customHeight="1" spans="1:7">
      <c r="A798" s="227"/>
      <c r="B798" s="227"/>
      <c r="C798" s="227"/>
      <c r="D798" s="227"/>
      <c r="E798" s="228"/>
      <c r="F798" s="123"/>
      <c r="G798" s="228"/>
    </row>
    <row r="799" customHeight="1" spans="1:7">
      <c r="A799" s="227"/>
      <c r="B799" s="227"/>
      <c r="C799" s="227"/>
      <c r="D799" s="227"/>
      <c r="E799" s="228"/>
      <c r="F799" s="123"/>
      <c r="G799" s="228"/>
    </row>
    <row r="800" customHeight="1" spans="1:7">
      <c r="A800" s="126" t="s">
        <v>868</v>
      </c>
      <c r="B800" s="126"/>
      <c r="C800" s="126"/>
      <c r="D800" s="126"/>
      <c r="E800" s="126"/>
      <c r="F800" s="126"/>
      <c r="G800" s="126"/>
    </row>
    <row r="801" customHeight="1" spans="1:7">
      <c r="A801" s="309" t="s">
        <v>869</v>
      </c>
      <c r="B801" s="310"/>
      <c r="C801" s="310" t="s">
        <v>131</v>
      </c>
      <c r="D801" s="310" t="s">
        <v>870</v>
      </c>
      <c r="E801" s="311" t="s">
        <v>968</v>
      </c>
      <c r="F801" s="312"/>
      <c r="G801" s="313"/>
    </row>
    <row r="802" customHeight="1" spans="1:7">
      <c r="A802" s="314" t="s">
        <v>507</v>
      </c>
      <c r="B802" s="315"/>
      <c r="C802" s="316" t="s">
        <v>969</v>
      </c>
      <c r="D802" s="316"/>
      <c r="E802" s="316"/>
      <c r="F802" s="61" t="s">
        <v>873</v>
      </c>
      <c r="G802" s="318" t="s">
        <v>874</v>
      </c>
    </row>
    <row r="803" customHeight="1" spans="1:7">
      <c r="A803" s="445" t="s">
        <v>875</v>
      </c>
      <c r="B803" s="446"/>
      <c r="C803" s="446"/>
      <c r="D803" s="446"/>
      <c r="E803" s="446"/>
      <c r="F803" s="446"/>
      <c r="G803" s="447"/>
    </row>
    <row r="804" customHeight="1" spans="1:7">
      <c r="A804" s="448" t="s">
        <v>970</v>
      </c>
      <c r="B804" s="449"/>
      <c r="C804" s="449"/>
      <c r="D804" s="449"/>
      <c r="E804" s="449"/>
      <c r="F804" s="449"/>
      <c r="G804" s="450"/>
    </row>
    <row r="805" customHeight="1" spans="1:7">
      <c r="A805" s="314" t="s">
        <v>34</v>
      </c>
      <c r="B805" s="317" t="s">
        <v>761</v>
      </c>
      <c r="C805" s="317"/>
      <c r="D805" s="317" t="s">
        <v>60</v>
      </c>
      <c r="E805" s="326" t="s">
        <v>877</v>
      </c>
      <c r="F805" s="61" t="s">
        <v>878</v>
      </c>
      <c r="G805" s="318" t="s">
        <v>879</v>
      </c>
    </row>
    <row r="806" customHeight="1" spans="1:7">
      <c r="A806" s="314" t="s">
        <v>8</v>
      </c>
      <c r="B806" s="327" t="s">
        <v>880</v>
      </c>
      <c r="C806" s="328"/>
      <c r="D806" s="317"/>
      <c r="E806" s="326"/>
      <c r="F806" s="147"/>
      <c r="G806" s="329">
        <f>G807+G820</f>
        <v>52458.6911947087</v>
      </c>
    </row>
    <row r="807" customHeight="1" spans="1:7">
      <c r="A807" s="314" t="s">
        <v>881</v>
      </c>
      <c r="B807" s="327" t="s">
        <v>882</v>
      </c>
      <c r="C807" s="328"/>
      <c r="D807" s="317"/>
      <c r="E807" s="326"/>
      <c r="F807" s="147"/>
      <c r="G807" s="329">
        <f>G808+G811+G815+G818</f>
        <v>49303.2811980345</v>
      </c>
    </row>
    <row r="808" customHeight="1" spans="1:7">
      <c r="A808" s="314" t="s">
        <v>17</v>
      </c>
      <c r="B808" s="327" t="s">
        <v>510</v>
      </c>
      <c r="C808" s="328"/>
      <c r="D808" s="317"/>
      <c r="E808" s="326"/>
      <c r="F808" s="147"/>
      <c r="G808" s="329">
        <f>SUM(G809:G810)</f>
        <v>8877.76342857143</v>
      </c>
    </row>
    <row r="809" customHeight="1" spans="1:7">
      <c r="A809" s="314"/>
      <c r="B809" s="327" t="s">
        <v>704</v>
      </c>
      <c r="C809" s="328"/>
      <c r="D809" s="317" t="s">
        <v>705</v>
      </c>
      <c r="E809" s="147">
        <f>855.6-(855.6-818.4)/(0.21-0.14)*(0.17-0.14)</f>
        <v>839.657142857143</v>
      </c>
      <c r="F809" s="423">
        <f>主要材料预算!$D$19</f>
        <v>8.1</v>
      </c>
      <c r="G809" s="329">
        <f t="shared" ref="G809:G813" si="86">E809*F809</f>
        <v>6801.22285714286</v>
      </c>
    </row>
    <row r="810" customHeight="1" spans="1:7">
      <c r="A810" s="314"/>
      <c r="B810" s="327" t="s">
        <v>706</v>
      </c>
      <c r="C810" s="328"/>
      <c r="D810" s="317" t="s">
        <v>705</v>
      </c>
      <c r="E810" s="147">
        <f>366.7-(366.7-350.8)/(0.21-0.14)*(0.17-0.14)</f>
        <v>359.885714285714</v>
      </c>
      <c r="F810" s="423">
        <f>主要材料预算!$D$20</f>
        <v>5.77</v>
      </c>
      <c r="G810" s="329">
        <f t="shared" si="86"/>
        <v>2076.54057142857</v>
      </c>
    </row>
    <row r="811" customHeight="1" spans="1:7">
      <c r="A811" s="314" t="s">
        <v>19</v>
      </c>
      <c r="B811" s="327" t="s">
        <v>511</v>
      </c>
      <c r="C811" s="328"/>
      <c r="D811" s="317"/>
      <c r="E811" s="326"/>
      <c r="F811" s="147"/>
      <c r="G811" s="329">
        <f>SUM(G812:G814)</f>
        <v>36392.1523233703</v>
      </c>
    </row>
    <row r="812" customHeight="1" spans="1:7">
      <c r="A812" s="314"/>
      <c r="B812" s="451" t="s">
        <v>971</v>
      </c>
      <c r="C812" s="451"/>
      <c r="D812" s="452" t="s">
        <v>695</v>
      </c>
      <c r="E812" s="147">
        <f>90-(90-84.3)/(0.21-0.14)*(0.17-0.14)</f>
        <v>87.5571428571428</v>
      </c>
      <c r="F812" s="423">
        <f>G768/100</f>
        <v>370.382556737186</v>
      </c>
      <c r="G812" s="329">
        <f t="shared" si="86"/>
        <v>32429.6384320316</v>
      </c>
    </row>
    <row r="813" customHeight="1" spans="1:7">
      <c r="A813" s="314"/>
      <c r="B813" s="451" t="s">
        <v>972</v>
      </c>
      <c r="C813" s="451"/>
      <c r="D813" s="452" t="s">
        <v>695</v>
      </c>
      <c r="E813" s="147">
        <f>23.7+(29.4-23.7)/(0.21-0.14)*(0.17-0.14)</f>
        <v>26.1428571428571</v>
      </c>
      <c r="F813" s="423">
        <f>混凝土单价计算表!M14</f>
        <v>144.64595</v>
      </c>
      <c r="G813" s="329">
        <f t="shared" si="86"/>
        <v>3781.45840714286</v>
      </c>
    </row>
    <row r="814" customHeight="1" spans="1:7">
      <c r="A814" s="314"/>
      <c r="B814" s="327" t="s">
        <v>893</v>
      </c>
      <c r="C814" s="328"/>
      <c r="D814" s="317" t="s">
        <v>894</v>
      </c>
      <c r="E814" s="455">
        <v>0.5</v>
      </c>
      <c r="F814" s="147">
        <f>SUM(G812:G813)</f>
        <v>36211.0968391745</v>
      </c>
      <c r="G814" s="329">
        <f>E814*F814/100</f>
        <v>181.055484195872</v>
      </c>
    </row>
    <row r="815" customHeight="1" spans="1:7">
      <c r="A815" s="314" t="s">
        <v>21</v>
      </c>
      <c r="B815" s="327" t="s">
        <v>895</v>
      </c>
      <c r="C815" s="328"/>
      <c r="D815" s="317"/>
      <c r="E815" s="147"/>
      <c r="F815" s="147"/>
      <c r="G815" s="329">
        <f>SUM(G816:G817)</f>
        <v>224.265936475013</v>
      </c>
    </row>
    <row r="816" customHeight="1" spans="1:7">
      <c r="A816" s="314"/>
      <c r="B816" s="451" t="s">
        <v>899</v>
      </c>
      <c r="C816" s="451"/>
      <c r="D816" s="452" t="s">
        <v>896</v>
      </c>
      <c r="E816" s="147">
        <f>2.95+(3.92-2.95)/(0.21-0.14)*(0.17-0.14)</f>
        <v>3.36571428571429</v>
      </c>
      <c r="F816" s="147">
        <f>施工机械台时费!$E$21</f>
        <v>37.4199521340247</v>
      </c>
      <c r="G816" s="329">
        <f t="shared" ref="G816:G822" si="87">E816*F816</f>
        <v>125.944867468232</v>
      </c>
    </row>
    <row r="817" customHeight="1" spans="1:7">
      <c r="A817" s="314"/>
      <c r="B817" s="451" t="s">
        <v>834</v>
      </c>
      <c r="C817" s="451"/>
      <c r="D817" s="452" t="s">
        <v>896</v>
      </c>
      <c r="E817" s="147">
        <f>120.33+(121.66-120.33)/(0.21-0.14)*(0.17-0.14)</f>
        <v>120.9</v>
      </c>
      <c r="F817" s="147">
        <f>施工机械台时费!$E$36</f>
        <v>0.813242919824491</v>
      </c>
      <c r="G817" s="329">
        <f t="shared" si="87"/>
        <v>98.321069006781</v>
      </c>
    </row>
    <row r="818" customHeight="1" spans="1:7">
      <c r="A818" s="314" t="s">
        <v>23</v>
      </c>
      <c r="B818" s="327" t="s">
        <v>513</v>
      </c>
      <c r="C818" s="328"/>
      <c r="D818" s="317"/>
      <c r="E818" s="147"/>
      <c r="F818" s="147"/>
      <c r="G818" s="329">
        <f>SUM(G819:G819)</f>
        <v>3809.09950961773</v>
      </c>
    </row>
    <row r="819" customHeight="1" spans="1:7">
      <c r="A819" s="314"/>
      <c r="B819" s="327" t="s">
        <v>973</v>
      </c>
      <c r="C819" s="328"/>
      <c r="D819" s="317" t="s">
        <v>70</v>
      </c>
      <c r="E819" s="147">
        <f>90-(90-84.3)/(0.21-0.14)*(0.17-0.14)</f>
        <v>87.5571428571428</v>
      </c>
      <c r="F819" s="147">
        <f>$G$1091/100</f>
        <v>43.5041549475022</v>
      </c>
      <c r="G819" s="329">
        <f t="shared" si="87"/>
        <v>3809.09950961773</v>
      </c>
    </row>
    <row r="820" customHeight="1" spans="1:7">
      <c r="A820" s="314" t="s">
        <v>905</v>
      </c>
      <c r="B820" s="327" t="s">
        <v>514</v>
      </c>
      <c r="C820" s="328"/>
      <c r="D820" s="317"/>
      <c r="E820" s="332">
        <f>G807</f>
        <v>49303.2811980345</v>
      </c>
      <c r="F820" s="155">
        <f>费率表!$F$12</f>
        <v>0.064</v>
      </c>
      <c r="G820" s="329">
        <f t="shared" si="87"/>
        <v>3155.40999667421</v>
      </c>
    </row>
    <row r="821" customHeight="1" spans="1:7">
      <c r="A821" s="314" t="s">
        <v>10</v>
      </c>
      <c r="B821" s="327" t="s">
        <v>770</v>
      </c>
      <c r="C821" s="328"/>
      <c r="D821" s="317"/>
      <c r="E821" s="326">
        <f>G806</f>
        <v>52458.6911947087</v>
      </c>
      <c r="F821" s="155">
        <f>费率表!$F$13</f>
        <v>0.085</v>
      </c>
      <c r="G821" s="329">
        <f t="shared" si="87"/>
        <v>4458.98875155024</v>
      </c>
    </row>
    <row r="822" customHeight="1" spans="1:7">
      <c r="A822" s="314" t="s">
        <v>12</v>
      </c>
      <c r="B822" s="327" t="s">
        <v>771</v>
      </c>
      <c r="C822" s="328"/>
      <c r="D822" s="317"/>
      <c r="E822" s="326">
        <f>G806+G821</f>
        <v>56917.6799462589</v>
      </c>
      <c r="F822" s="156">
        <f>费率表!$F$14</f>
        <v>0.07</v>
      </c>
      <c r="G822" s="329">
        <f t="shared" si="87"/>
        <v>3984.23759623812</v>
      </c>
    </row>
    <row r="823" customHeight="1" spans="1:7">
      <c r="A823" s="314" t="s">
        <v>15</v>
      </c>
      <c r="B823" s="327" t="s">
        <v>517</v>
      </c>
      <c r="C823" s="328"/>
      <c r="D823" s="317"/>
      <c r="E823" s="326"/>
      <c r="F823" s="157"/>
      <c r="G823" s="329">
        <f>SUM(G824:G828)</f>
        <v>8602.61063151197</v>
      </c>
    </row>
    <row r="824" customHeight="1" spans="1:7">
      <c r="A824" s="314"/>
      <c r="B824" s="327" t="s">
        <v>729</v>
      </c>
      <c r="C824" s="328"/>
      <c r="D824" s="317" t="s">
        <v>204</v>
      </c>
      <c r="E824" s="326">
        <f t="shared" ref="E824:E827" si="88">E791</f>
        <v>31.334094</v>
      </c>
      <c r="F824" s="438">
        <f>主要材料预算!$N$5</f>
        <v>139.17214</v>
      </c>
      <c r="G824" s="329">
        <f t="shared" ref="G824:G830" si="89">E824*F824</f>
        <v>4360.83291694116</v>
      </c>
    </row>
    <row r="825" customHeight="1" spans="1:7">
      <c r="A825" s="314"/>
      <c r="B825" s="327" t="s">
        <v>684</v>
      </c>
      <c r="C825" s="328"/>
      <c r="D825" s="317" t="s">
        <v>70</v>
      </c>
      <c r="E825" s="326">
        <f t="shared" si="88"/>
        <v>56.07756</v>
      </c>
      <c r="F825" s="147"/>
      <c r="G825" s="329">
        <f t="shared" si="89"/>
        <v>0</v>
      </c>
    </row>
    <row r="826" customHeight="1" spans="1:7">
      <c r="A826" s="314"/>
      <c r="B826" s="327" t="s">
        <v>687</v>
      </c>
      <c r="C826" s="328"/>
      <c r="D826" s="317" t="s">
        <v>70</v>
      </c>
      <c r="E826" s="326">
        <f t="shared" si="88"/>
        <v>85.825656</v>
      </c>
      <c r="F826" s="438">
        <f>主要材料预算!$N$9</f>
        <v>26.7921</v>
      </c>
      <c r="G826" s="329">
        <f t="shared" si="89"/>
        <v>2299.4495581176</v>
      </c>
    </row>
    <row r="827" customHeight="1" spans="1:7">
      <c r="A827" s="314"/>
      <c r="B827" s="327" t="s">
        <v>696</v>
      </c>
      <c r="C827" s="328"/>
      <c r="D827" s="317" t="s">
        <v>695</v>
      </c>
      <c r="E827" s="326">
        <f t="shared" si="88"/>
        <v>11.52</v>
      </c>
      <c r="F827" s="438">
        <f>主要材料预算!$N$14</f>
        <v>7.8077586206897</v>
      </c>
      <c r="G827" s="329">
        <f t="shared" si="89"/>
        <v>89.9453793103453</v>
      </c>
    </row>
    <row r="828" customHeight="1" spans="1:7">
      <c r="A828" s="314"/>
      <c r="B828" s="327" t="s">
        <v>694</v>
      </c>
      <c r="C828" s="328"/>
      <c r="D828" s="317" t="s">
        <v>695</v>
      </c>
      <c r="E828" s="326">
        <f>E1074</f>
        <v>305.592</v>
      </c>
      <c r="F828" s="438">
        <f>主要材料预算!$N$13</f>
        <v>6.0616206482593</v>
      </c>
      <c r="G828" s="329">
        <f t="shared" si="89"/>
        <v>1852.38277714286</v>
      </c>
    </row>
    <row r="829" customHeight="1" spans="1:7">
      <c r="A829" s="314" t="s">
        <v>906</v>
      </c>
      <c r="B829" s="327" t="s">
        <v>772</v>
      </c>
      <c r="C829" s="328"/>
      <c r="D829" s="317"/>
      <c r="E829" s="326">
        <f>G806+G821++G822+G823</f>
        <v>69504.528174009</v>
      </c>
      <c r="F829" s="156">
        <f>费率表!$F$15</f>
        <v>0.09</v>
      </c>
      <c r="G829" s="329">
        <f t="shared" si="89"/>
        <v>6255.40753566081</v>
      </c>
    </row>
    <row r="830" customHeight="1" spans="1:7">
      <c r="A830" s="314"/>
      <c r="B830" s="327" t="s">
        <v>907</v>
      </c>
      <c r="C830" s="328"/>
      <c r="D830" s="317"/>
      <c r="E830" s="326">
        <f>G806+G821+G822+G823+G829</f>
        <v>75759.9357096698</v>
      </c>
      <c r="F830" s="156">
        <f>费率表!$I$19</f>
        <v>0.03</v>
      </c>
      <c r="G830" s="329">
        <f t="shared" si="89"/>
        <v>2272.79807129009</v>
      </c>
    </row>
    <row r="831" customHeight="1" spans="1:7">
      <c r="A831" s="335"/>
      <c r="B831" s="336" t="s">
        <v>908</v>
      </c>
      <c r="C831" s="337"/>
      <c r="D831" s="338"/>
      <c r="E831" s="339"/>
      <c r="F831" s="161"/>
      <c r="G831" s="340">
        <f>G806+G821+G822+G823+G829+G830</f>
        <v>78032.7337809599</v>
      </c>
    </row>
    <row r="832" customHeight="1" spans="1:7">
      <c r="A832" s="227"/>
      <c r="B832" s="227"/>
      <c r="C832" s="227"/>
      <c r="D832" s="227"/>
      <c r="E832" s="228"/>
      <c r="F832" s="123"/>
      <c r="G832" s="228"/>
    </row>
    <row r="833" customHeight="1" spans="1:7">
      <c r="A833" s="227"/>
      <c r="B833" s="227"/>
      <c r="C833" s="227"/>
      <c r="D833" s="227"/>
      <c r="E833" s="228"/>
      <c r="F833" s="123"/>
      <c r="G833" s="228"/>
    </row>
    <row r="834" customHeight="1" spans="1:7">
      <c r="A834" s="227"/>
      <c r="B834" s="227"/>
      <c r="C834" s="227"/>
      <c r="D834" s="227"/>
      <c r="E834" s="228"/>
      <c r="F834" s="123"/>
      <c r="G834" s="228"/>
    </row>
    <row r="835" customHeight="1" spans="1:7">
      <c r="A835" s="227"/>
      <c r="B835" s="227"/>
      <c r="C835" s="227"/>
      <c r="D835" s="227"/>
      <c r="E835" s="228"/>
      <c r="F835" s="123"/>
      <c r="G835" s="228"/>
    </row>
    <row r="836" customHeight="1" spans="1:7">
      <c r="A836" s="227"/>
      <c r="B836" s="227"/>
      <c r="C836" s="227"/>
      <c r="D836" s="227"/>
      <c r="E836" s="228"/>
      <c r="F836" s="123"/>
      <c r="G836" s="228"/>
    </row>
    <row r="837" customHeight="1" spans="1:7">
      <c r="A837" s="227"/>
      <c r="B837" s="227"/>
      <c r="C837" s="227"/>
      <c r="D837" s="227"/>
      <c r="E837" s="228"/>
      <c r="F837" s="123"/>
      <c r="G837" s="228"/>
    </row>
    <row r="838" customHeight="1" spans="1:7">
      <c r="A838" s="227"/>
      <c r="B838" s="227"/>
      <c r="C838" s="227"/>
      <c r="D838" s="227"/>
      <c r="E838" s="228"/>
      <c r="F838" s="123"/>
      <c r="G838" s="228"/>
    </row>
    <row r="839" customHeight="1" spans="1:7">
      <c r="A839" s="227"/>
      <c r="B839" s="227"/>
      <c r="C839" s="227"/>
      <c r="D839" s="227"/>
      <c r="E839" s="228"/>
      <c r="F839" s="123"/>
      <c r="G839" s="228"/>
    </row>
    <row r="840" customHeight="1" spans="1:7">
      <c r="A840" s="227"/>
      <c r="B840" s="227"/>
      <c r="C840" s="227"/>
      <c r="D840" s="227"/>
      <c r="E840" s="228"/>
      <c r="F840" s="123"/>
      <c r="G840" s="228"/>
    </row>
    <row r="841" customHeight="1" spans="1:7">
      <c r="A841" s="227"/>
      <c r="B841" s="227"/>
      <c r="C841" s="227"/>
      <c r="D841" s="227"/>
      <c r="E841" s="228"/>
      <c r="F841" s="123"/>
      <c r="G841" s="228"/>
    </row>
    <row r="842" customHeight="1" spans="1:7">
      <c r="A842" s="227"/>
      <c r="B842" s="227"/>
      <c r="C842" s="227"/>
      <c r="D842" s="227"/>
      <c r="E842" s="228"/>
      <c r="F842" s="123"/>
      <c r="G842" s="228"/>
    </row>
    <row r="843" customHeight="1" spans="1:7">
      <c r="A843" s="227"/>
      <c r="B843" s="227"/>
      <c r="C843" s="227"/>
      <c r="D843" s="227"/>
      <c r="E843" s="228"/>
      <c r="F843" s="123"/>
      <c r="G843" s="228"/>
    </row>
    <row r="844" customHeight="1" spans="1:7">
      <c r="A844" s="227"/>
      <c r="B844" s="227"/>
      <c r="C844" s="227"/>
      <c r="D844" s="227"/>
      <c r="E844" s="228"/>
      <c r="F844" s="123"/>
      <c r="G844" s="228"/>
    </row>
    <row r="845" customHeight="1" spans="1:7">
      <c r="A845" s="227"/>
      <c r="B845" s="227"/>
      <c r="C845" s="227"/>
      <c r="D845" s="227"/>
      <c r="E845" s="228"/>
      <c r="F845" s="123"/>
      <c r="G845" s="228"/>
    </row>
    <row r="846" customHeight="1" spans="1:7">
      <c r="A846" s="227"/>
      <c r="B846" s="227"/>
      <c r="C846" s="227"/>
      <c r="D846" s="227"/>
      <c r="E846" s="228"/>
      <c r="F846" s="123"/>
      <c r="G846" s="228"/>
    </row>
    <row r="847" customHeight="1" spans="1:7">
      <c r="A847" s="126" t="s">
        <v>868</v>
      </c>
      <c r="B847" s="126"/>
      <c r="C847" s="126"/>
      <c r="D847" s="126"/>
      <c r="E847" s="126"/>
      <c r="F847" s="126"/>
      <c r="G847" s="126"/>
    </row>
    <row r="848" customHeight="1" spans="1:7">
      <c r="A848" s="309" t="s">
        <v>869</v>
      </c>
      <c r="B848" s="310"/>
      <c r="C848" s="310" t="s">
        <v>131</v>
      </c>
      <c r="D848" s="310" t="s">
        <v>870</v>
      </c>
      <c r="E848" s="311" t="s">
        <v>974</v>
      </c>
      <c r="F848" s="312"/>
      <c r="G848" s="313"/>
    </row>
    <row r="849" customHeight="1" spans="1:7">
      <c r="A849" s="314" t="s">
        <v>507</v>
      </c>
      <c r="B849" s="315"/>
      <c r="C849" s="316" t="s">
        <v>975</v>
      </c>
      <c r="D849" s="316"/>
      <c r="E849" s="316"/>
      <c r="F849" s="61" t="s">
        <v>873</v>
      </c>
      <c r="G849" s="318" t="s">
        <v>874</v>
      </c>
    </row>
    <row r="850" customHeight="1" spans="1:7">
      <c r="A850" s="445" t="s">
        <v>976</v>
      </c>
      <c r="B850" s="446"/>
      <c r="C850" s="446"/>
      <c r="D850" s="446"/>
      <c r="E850" s="446"/>
      <c r="F850" s="446"/>
      <c r="G850" s="447"/>
    </row>
    <row r="851" customHeight="1" spans="1:7">
      <c r="A851" s="448" t="s">
        <v>977</v>
      </c>
      <c r="B851" s="449"/>
      <c r="C851" s="449"/>
      <c r="D851" s="449"/>
      <c r="E851" s="449"/>
      <c r="F851" s="449"/>
      <c r="G851" s="450"/>
    </row>
    <row r="852" customHeight="1" spans="1:7">
      <c r="A852" s="314" t="s">
        <v>34</v>
      </c>
      <c r="B852" s="317" t="s">
        <v>761</v>
      </c>
      <c r="C852" s="317"/>
      <c r="D852" s="317" t="s">
        <v>60</v>
      </c>
      <c r="E852" s="326" t="s">
        <v>877</v>
      </c>
      <c r="F852" s="61" t="s">
        <v>878</v>
      </c>
      <c r="G852" s="318" t="s">
        <v>879</v>
      </c>
    </row>
    <row r="853" customHeight="1" spans="1:7">
      <c r="A853" s="314" t="s">
        <v>8</v>
      </c>
      <c r="B853" s="327" t="s">
        <v>880</v>
      </c>
      <c r="C853" s="328"/>
      <c r="D853" s="317"/>
      <c r="E853" s="326"/>
      <c r="F853" s="147"/>
      <c r="G853" s="329">
        <f>G854+G873</f>
        <v>52391.2076938152</v>
      </c>
    </row>
    <row r="854" customHeight="1" spans="1:7">
      <c r="A854" s="314" t="s">
        <v>881</v>
      </c>
      <c r="B854" s="327" t="s">
        <v>882</v>
      </c>
      <c r="C854" s="328"/>
      <c r="D854" s="317"/>
      <c r="E854" s="326"/>
      <c r="F854" s="147"/>
      <c r="G854" s="329">
        <f>G855+G858+G864+G870</f>
        <v>49239.8568550894</v>
      </c>
    </row>
    <row r="855" customHeight="1" spans="1:7">
      <c r="A855" s="314" t="s">
        <v>17</v>
      </c>
      <c r="B855" s="327" t="s">
        <v>510</v>
      </c>
      <c r="C855" s="328"/>
      <c r="D855" s="317"/>
      <c r="E855" s="326"/>
      <c r="F855" s="147"/>
      <c r="G855" s="329">
        <f>SUM(G856:G857)</f>
        <v>16572.418</v>
      </c>
    </row>
    <row r="856" customHeight="1" spans="1:7">
      <c r="A856" s="314"/>
      <c r="B856" s="327" t="s">
        <v>704</v>
      </c>
      <c r="C856" s="328"/>
      <c r="D856" s="317" t="s">
        <v>705</v>
      </c>
      <c r="E856" s="423">
        <v>1549.9</v>
      </c>
      <c r="F856" s="423">
        <f>主要材料预算!$D$19</f>
        <v>8.1</v>
      </c>
      <c r="G856" s="329">
        <f t="shared" ref="G856:G862" si="90">E856*F856</f>
        <v>12554.19</v>
      </c>
    </row>
    <row r="857" customHeight="1" spans="1:7">
      <c r="A857" s="314"/>
      <c r="B857" s="327" t="s">
        <v>706</v>
      </c>
      <c r="C857" s="328"/>
      <c r="D857" s="317" t="s">
        <v>705</v>
      </c>
      <c r="E857" s="423">
        <v>696.4</v>
      </c>
      <c r="F857" s="423">
        <f>主要材料预算!$D$20</f>
        <v>5.77</v>
      </c>
      <c r="G857" s="329">
        <f t="shared" si="90"/>
        <v>4018.228</v>
      </c>
    </row>
    <row r="858" customHeight="1" spans="1:7">
      <c r="A858" s="314" t="s">
        <v>19</v>
      </c>
      <c r="B858" s="327" t="s">
        <v>511</v>
      </c>
      <c r="C858" s="328"/>
      <c r="D858" s="317"/>
      <c r="E858" s="326"/>
      <c r="F858" s="147"/>
      <c r="G858" s="329">
        <f>SUM(G859:G863)</f>
        <v>26129.410482</v>
      </c>
    </row>
    <row r="859" customHeight="1" spans="1:7">
      <c r="A859" s="314"/>
      <c r="B859" s="451" t="s">
        <v>883</v>
      </c>
      <c r="C859" s="451"/>
      <c r="D859" s="452" t="s">
        <v>70</v>
      </c>
      <c r="E859" s="453">
        <v>2.76</v>
      </c>
      <c r="F859" s="423">
        <f>主要材料预算!$L$6</f>
        <v>2209.125</v>
      </c>
      <c r="G859" s="329">
        <f t="shared" si="90"/>
        <v>6097.185</v>
      </c>
    </row>
    <row r="860" customHeight="1" spans="1:7">
      <c r="A860" s="314"/>
      <c r="B860" s="451" t="s">
        <v>978</v>
      </c>
      <c r="C860" s="451"/>
      <c r="D860" s="452" t="s">
        <v>695</v>
      </c>
      <c r="E860" s="453">
        <v>10</v>
      </c>
      <c r="F860" s="423">
        <f>基础材料!$D$6</f>
        <v>7.99</v>
      </c>
      <c r="G860" s="329">
        <f t="shared" si="90"/>
        <v>79.9</v>
      </c>
    </row>
    <row r="861" customHeight="1" spans="1:7">
      <c r="A861" s="314"/>
      <c r="B861" s="451" t="s">
        <v>949</v>
      </c>
      <c r="C861" s="451"/>
      <c r="D861" s="452" t="s">
        <v>70</v>
      </c>
      <c r="E861" s="454">
        <v>102</v>
      </c>
      <c r="F861" s="147">
        <f>混凝土单价计算表!$M$10</f>
        <v>183.26455</v>
      </c>
      <c r="G861" s="329">
        <f t="shared" si="90"/>
        <v>18692.9841</v>
      </c>
    </row>
    <row r="862" customHeight="1" spans="1:7">
      <c r="A862" s="314"/>
      <c r="B862" s="451" t="s">
        <v>892</v>
      </c>
      <c r="C862" s="451"/>
      <c r="D862" s="452" t="s">
        <v>70</v>
      </c>
      <c r="E862" s="454">
        <v>180</v>
      </c>
      <c r="F862" s="147">
        <f>主要材料预算!$D$16</f>
        <v>4.15</v>
      </c>
      <c r="G862" s="329">
        <f t="shared" si="90"/>
        <v>747</v>
      </c>
    </row>
    <row r="863" customHeight="1" spans="1:7">
      <c r="A863" s="314"/>
      <c r="B863" s="327" t="s">
        <v>893</v>
      </c>
      <c r="C863" s="328"/>
      <c r="D863" s="317" t="s">
        <v>894</v>
      </c>
      <c r="E863" s="455">
        <v>2</v>
      </c>
      <c r="F863" s="147">
        <f>SUM(G859:G862)</f>
        <v>25617.0691</v>
      </c>
      <c r="G863" s="329">
        <f>E863*F863/100</f>
        <v>512.341382</v>
      </c>
    </row>
    <row r="864" customHeight="1" spans="1:7">
      <c r="A864" s="314" t="s">
        <v>21</v>
      </c>
      <c r="B864" s="327" t="s">
        <v>895</v>
      </c>
      <c r="C864" s="328"/>
      <c r="D864" s="317"/>
      <c r="E864" s="147"/>
      <c r="F864" s="147"/>
      <c r="G864" s="329">
        <f>SUM(G865:G869)</f>
        <v>4155.68750743119</v>
      </c>
    </row>
    <row r="865" customHeight="1" spans="1:7">
      <c r="A865" s="314"/>
      <c r="B865" s="451" t="s">
        <v>822</v>
      </c>
      <c r="C865" s="451"/>
      <c r="D865" s="452" t="s">
        <v>896</v>
      </c>
      <c r="E865" s="453">
        <v>1.5</v>
      </c>
      <c r="F865" s="147">
        <f>施工机械台时费!$E$28</f>
        <v>49.389824491424</v>
      </c>
      <c r="G865" s="329">
        <f t="shared" ref="G865:G868" si="91">E865*F865</f>
        <v>74.084736737136</v>
      </c>
    </row>
    <row r="866" customHeight="1" spans="1:7">
      <c r="A866" s="314"/>
      <c r="B866" s="451" t="s">
        <v>979</v>
      </c>
      <c r="C866" s="451"/>
      <c r="D866" s="452" t="s">
        <v>896</v>
      </c>
      <c r="E866" s="453">
        <v>17.7</v>
      </c>
      <c r="F866" s="147">
        <f>施工机械台时费!$E$38</f>
        <v>153.509325887515</v>
      </c>
      <c r="G866" s="329">
        <f t="shared" si="91"/>
        <v>2717.11506820901</v>
      </c>
    </row>
    <row r="867" customHeight="1" spans="1:7">
      <c r="A867" s="314"/>
      <c r="B867" s="451" t="s">
        <v>899</v>
      </c>
      <c r="C867" s="451"/>
      <c r="D867" s="452" t="s">
        <v>896</v>
      </c>
      <c r="E867" s="453">
        <v>18.36</v>
      </c>
      <c r="F867" s="147">
        <f>施工机械台时费!$E$21</f>
        <v>37.4199521340247</v>
      </c>
      <c r="G867" s="329">
        <f t="shared" si="91"/>
        <v>687.030321180694</v>
      </c>
    </row>
    <row r="868" customHeight="1" spans="1:7">
      <c r="A868" s="314"/>
      <c r="B868" s="451" t="s">
        <v>900</v>
      </c>
      <c r="C868" s="451"/>
      <c r="D868" s="452" t="s">
        <v>896</v>
      </c>
      <c r="E868" s="453">
        <v>44</v>
      </c>
      <c r="F868" s="147">
        <f>施工机械台时费!$E$22</f>
        <v>3.07752692461109</v>
      </c>
      <c r="G868" s="329">
        <f t="shared" si="91"/>
        <v>135.411184682888</v>
      </c>
    </row>
    <row r="869" customHeight="1" spans="1:7">
      <c r="A869" s="314"/>
      <c r="B869" s="327" t="s">
        <v>902</v>
      </c>
      <c r="C869" s="328"/>
      <c r="D869" s="317" t="s">
        <v>894</v>
      </c>
      <c r="E869" s="152">
        <v>15</v>
      </c>
      <c r="F869" s="147">
        <f>SUM(G865:G868)</f>
        <v>3613.64131080973</v>
      </c>
      <c r="G869" s="329">
        <f>E869*F869/100</f>
        <v>542.04619662146</v>
      </c>
    </row>
    <row r="870" customHeight="1" spans="1:7">
      <c r="A870" s="314" t="s">
        <v>23</v>
      </c>
      <c r="B870" s="327" t="s">
        <v>513</v>
      </c>
      <c r="C870" s="328"/>
      <c r="D870" s="317"/>
      <c r="E870" s="147"/>
      <c r="F870" s="147"/>
      <c r="G870" s="329">
        <f>SUM(G871:G872)</f>
        <v>2382.34086565824</v>
      </c>
    </row>
    <row r="871" customHeight="1" spans="1:7">
      <c r="A871" s="314"/>
      <c r="B871" s="327" t="s">
        <v>903</v>
      </c>
      <c r="C871" s="328"/>
      <c r="D871" s="317" t="s">
        <v>70</v>
      </c>
      <c r="E871" s="147">
        <v>102</v>
      </c>
      <c r="F871" s="147">
        <f>$G$1441/100</f>
        <v>5.03319379720782</v>
      </c>
      <c r="G871" s="329">
        <f t="shared" ref="G871:G875" si="92">E871*F871</f>
        <v>513.385767315197</v>
      </c>
    </row>
    <row r="872" customHeight="1" spans="1:7">
      <c r="A872" s="314"/>
      <c r="B872" s="327" t="s">
        <v>904</v>
      </c>
      <c r="C872" s="328"/>
      <c r="D872" s="317" t="s">
        <v>70</v>
      </c>
      <c r="E872" s="147">
        <v>102</v>
      </c>
      <c r="F872" s="147">
        <f>$G$1469/100</f>
        <v>18.3230891994416</v>
      </c>
      <c r="G872" s="329">
        <f t="shared" si="92"/>
        <v>1868.95509834304</v>
      </c>
    </row>
    <row r="873" customHeight="1" spans="1:7">
      <c r="A873" s="314" t="s">
        <v>905</v>
      </c>
      <c r="B873" s="327" t="s">
        <v>514</v>
      </c>
      <c r="C873" s="328"/>
      <c r="D873" s="317"/>
      <c r="E873" s="332">
        <f>G854</f>
        <v>49239.8568550894</v>
      </c>
      <c r="F873" s="155">
        <f>费率表!$F$12</f>
        <v>0.064</v>
      </c>
      <c r="G873" s="329">
        <f t="shared" si="92"/>
        <v>3151.35083872572</v>
      </c>
    </row>
    <row r="874" customHeight="1" spans="1:7">
      <c r="A874" s="314" t="s">
        <v>10</v>
      </c>
      <c r="B874" s="327" t="s">
        <v>770</v>
      </c>
      <c r="C874" s="328"/>
      <c r="D874" s="317"/>
      <c r="E874" s="326">
        <f>G853</f>
        <v>52391.2076938152</v>
      </c>
      <c r="F874" s="155">
        <f>费率表!$F$13</f>
        <v>0.085</v>
      </c>
      <c r="G874" s="329">
        <f t="shared" si="92"/>
        <v>4453.25265397429</v>
      </c>
    </row>
    <row r="875" customHeight="1" spans="1:7">
      <c r="A875" s="314" t="s">
        <v>12</v>
      </c>
      <c r="B875" s="327" t="s">
        <v>771</v>
      </c>
      <c r="C875" s="328"/>
      <c r="D875" s="317"/>
      <c r="E875" s="326">
        <f>G853+G874</f>
        <v>56844.4603477894</v>
      </c>
      <c r="F875" s="156">
        <f>费率表!$F$14</f>
        <v>0.07</v>
      </c>
      <c r="G875" s="329">
        <f t="shared" si="92"/>
        <v>3979.11222434526</v>
      </c>
    </row>
    <row r="876" customHeight="1" spans="1:7">
      <c r="A876" s="314" t="s">
        <v>15</v>
      </c>
      <c r="B876" s="327" t="s">
        <v>517</v>
      </c>
      <c r="C876" s="328"/>
      <c r="D876" s="317"/>
      <c r="E876" s="326"/>
      <c r="F876" s="157"/>
      <c r="G876" s="329">
        <f>SUM(G877:G880)</f>
        <v>7209.09353050345</v>
      </c>
    </row>
    <row r="877" customHeight="1" spans="1:7">
      <c r="A877" s="314"/>
      <c r="B877" s="327" t="s">
        <v>729</v>
      </c>
      <c r="C877" s="328"/>
      <c r="D877" s="317" t="s">
        <v>204</v>
      </c>
      <c r="E877" s="326">
        <f>E861*混凝土单价计算表!$E$10</f>
        <v>34.68</v>
      </c>
      <c r="F877" s="438">
        <f>主要材料预算!$N$5</f>
        <v>139.17214</v>
      </c>
      <c r="G877" s="329">
        <f t="shared" ref="G877:G882" si="93">E877*F877</f>
        <v>4826.4898152</v>
      </c>
    </row>
    <row r="878" customHeight="1" spans="1:7">
      <c r="A878" s="314"/>
      <c r="B878" s="327" t="s">
        <v>684</v>
      </c>
      <c r="C878" s="328"/>
      <c r="D878" s="317" t="s">
        <v>70</v>
      </c>
      <c r="E878" s="326">
        <f>E861*混凝土单价计算表!$G$10</f>
        <v>53.856</v>
      </c>
      <c r="F878" s="147"/>
      <c r="G878" s="329">
        <f t="shared" si="93"/>
        <v>0</v>
      </c>
    </row>
    <row r="879" customHeight="1" spans="1:7">
      <c r="A879" s="314"/>
      <c r="B879" s="327" t="s">
        <v>687</v>
      </c>
      <c r="C879" s="328"/>
      <c r="D879" s="317" t="s">
        <v>70</v>
      </c>
      <c r="E879" s="326">
        <f>E861*混凝土单价计算表!$I$10</f>
        <v>85.782</v>
      </c>
      <c r="F879" s="438">
        <f>主要材料预算!$N$9</f>
        <v>26.7921</v>
      </c>
      <c r="G879" s="329">
        <f t="shared" si="93"/>
        <v>2298.2799222</v>
      </c>
    </row>
    <row r="880" customHeight="1" spans="1:7">
      <c r="A880" s="314"/>
      <c r="B880" s="327" t="s">
        <v>696</v>
      </c>
      <c r="C880" s="328"/>
      <c r="D880" s="317" t="s">
        <v>695</v>
      </c>
      <c r="E880" s="326">
        <f>E865*施工机械台时费!$K$28</f>
        <v>10.8</v>
      </c>
      <c r="F880" s="438">
        <f>主要材料预算!$N$14</f>
        <v>7.8077586206897</v>
      </c>
      <c r="G880" s="329">
        <f t="shared" si="93"/>
        <v>84.3237931034488</v>
      </c>
    </row>
    <row r="881" customHeight="1" spans="1:7">
      <c r="A881" s="314" t="s">
        <v>906</v>
      </c>
      <c r="B881" s="327" t="s">
        <v>772</v>
      </c>
      <c r="C881" s="328"/>
      <c r="D881" s="317"/>
      <c r="E881" s="326">
        <f>G853+G874++G875+G876</f>
        <v>68032.6661026381</v>
      </c>
      <c r="F881" s="156">
        <f>费率表!$F$15</f>
        <v>0.09</v>
      </c>
      <c r="G881" s="329">
        <f t="shared" si="93"/>
        <v>6122.93994923743</v>
      </c>
    </row>
    <row r="882" customHeight="1" spans="1:7">
      <c r="A882" s="314"/>
      <c r="B882" s="327" t="s">
        <v>907</v>
      </c>
      <c r="C882" s="328"/>
      <c r="D882" s="317"/>
      <c r="E882" s="326">
        <f>G853+G874+G875+G876+G881</f>
        <v>74155.6060518756</v>
      </c>
      <c r="F882" s="156">
        <f>费率表!$I$19</f>
        <v>0.03</v>
      </c>
      <c r="G882" s="329">
        <f t="shared" si="93"/>
        <v>2224.66818155627</v>
      </c>
    </row>
    <row r="883" customHeight="1" spans="1:7">
      <c r="A883" s="335"/>
      <c r="B883" s="336" t="s">
        <v>908</v>
      </c>
      <c r="C883" s="337"/>
      <c r="D883" s="338"/>
      <c r="E883" s="339"/>
      <c r="F883" s="161"/>
      <c r="G883" s="340">
        <f>G853+G874+G875+G876+G881+G882</f>
        <v>76380.2742334318</v>
      </c>
    </row>
    <row r="884" customHeight="1" spans="1:7">
      <c r="A884" s="227"/>
      <c r="B884" s="227"/>
      <c r="C884" s="227"/>
      <c r="D884" s="227"/>
      <c r="E884" s="228"/>
      <c r="F884" s="123"/>
      <c r="G884" s="228"/>
    </row>
    <row r="885" customHeight="1" spans="1:7">
      <c r="A885" s="126" t="s">
        <v>868</v>
      </c>
      <c r="B885" s="126"/>
      <c r="C885" s="126"/>
      <c r="D885" s="126"/>
      <c r="E885" s="126"/>
      <c r="F885" s="126"/>
      <c r="G885" s="126"/>
    </row>
    <row r="886" customHeight="1" spans="1:7">
      <c r="A886" s="456" t="s">
        <v>869</v>
      </c>
      <c r="B886" s="457"/>
      <c r="C886" s="458"/>
      <c r="D886" s="458" t="s">
        <v>870</v>
      </c>
      <c r="E886" s="459" t="s">
        <v>980</v>
      </c>
      <c r="F886" s="459"/>
      <c r="G886" s="460"/>
    </row>
    <row r="887" customHeight="1" spans="1:7">
      <c r="A887" s="461" t="s">
        <v>507</v>
      </c>
      <c r="B887" s="462"/>
      <c r="C887" s="463" t="s">
        <v>981</v>
      </c>
      <c r="D887" s="446"/>
      <c r="E887" s="464"/>
      <c r="F887" s="452" t="s">
        <v>873</v>
      </c>
      <c r="G887" s="465" t="s">
        <v>874</v>
      </c>
    </row>
    <row r="888" customHeight="1" spans="1:7">
      <c r="A888" s="445" t="s">
        <v>982</v>
      </c>
      <c r="B888" s="446"/>
      <c r="C888" s="446"/>
      <c r="D888" s="446"/>
      <c r="E888" s="446"/>
      <c r="F888" s="446"/>
      <c r="G888" s="447"/>
    </row>
    <row r="889" customHeight="1" spans="1:7">
      <c r="A889" s="448" t="s">
        <v>983</v>
      </c>
      <c r="B889" s="449"/>
      <c r="C889" s="449"/>
      <c r="D889" s="449"/>
      <c r="E889" s="449"/>
      <c r="F889" s="449"/>
      <c r="G889" s="450"/>
    </row>
    <row r="890" customHeight="1" spans="1:7">
      <c r="A890" s="314" t="s">
        <v>34</v>
      </c>
      <c r="B890" s="317" t="s">
        <v>761</v>
      </c>
      <c r="C890" s="317"/>
      <c r="D890" s="317" t="s">
        <v>60</v>
      </c>
      <c r="E890" s="326" t="s">
        <v>877</v>
      </c>
      <c r="F890" s="61" t="s">
        <v>878</v>
      </c>
      <c r="G890" s="318" t="s">
        <v>879</v>
      </c>
    </row>
    <row r="891" customHeight="1" spans="1:7">
      <c r="A891" s="314" t="s">
        <v>8</v>
      </c>
      <c r="B891" s="327" t="s">
        <v>880</v>
      </c>
      <c r="C891" s="328"/>
      <c r="D891" s="317"/>
      <c r="E891" s="326"/>
      <c r="F891" s="147"/>
      <c r="G891" s="329">
        <f>G892+G911</f>
        <v>64814.7690845495</v>
      </c>
    </row>
    <row r="892" customHeight="1" spans="1:7">
      <c r="A892" s="314" t="s">
        <v>881</v>
      </c>
      <c r="B892" s="327" t="s">
        <v>882</v>
      </c>
      <c r="C892" s="328"/>
      <c r="D892" s="317"/>
      <c r="E892" s="326"/>
      <c r="F892" s="147"/>
      <c r="G892" s="329">
        <f>G893+G896+G903+G908</f>
        <v>60916.1363576593</v>
      </c>
    </row>
    <row r="893" customHeight="1" spans="1:7">
      <c r="A893" s="314" t="s">
        <v>17</v>
      </c>
      <c r="B893" s="327" t="s">
        <v>510</v>
      </c>
      <c r="C893" s="328"/>
      <c r="D893" s="317"/>
      <c r="E893" s="326"/>
      <c r="F893" s="147"/>
      <c r="G893" s="329">
        <f>SUM(G894:G895)</f>
        <v>3650.67</v>
      </c>
    </row>
    <row r="894" customHeight="1" spans="1:7">
      <c r="A894" s="314"/>
      <c r="B894" s="327" t="s">
        <v>704</v>
      </c>
      <c r="C894" s="328"/>
      <c r="D894" s="317" t="s">
        <v>705</v>
      </c>
      <c r="E894" s="423">
        <v>450.7</v>
      </c>
      <c r="F894" s="423">
        <f>主要材料预算!$D$19</f>
        <v>8.1</v>
      </c>
      <c r="G894" s="329">
        <f t="shared" ref="G894:G901" si="94">E894*F894</f>
        <v>3650.67</v>
      </c>
    </row>
    <row r="895" customHeight="1" spans="1:7">
      <c r="A895" s="314"/>
      <c r="B895" s="327" t="s">
        <v>706</v>
      </c>
      <c r="C895" s="328"/>
      <c r="D895" s="317" t="s">
        <v>705</v>
      </c>
      <c r="E895" s="423"/>
      <c r="F895" s="423">
        <f>主要材料预算!$D$20</f>
        <v>5.77</v>
      </c>
      <c r="G895" s="329">
        <f t="shared" si="94"/>
        <v>0</v>
      </c>
    </row>
    <row r="896" customHeight="1" spans="1:7">
      <c r="A896" s="314" t="s">
        <v>19</v>
      </c>
      <c r="B896" s="327" t="s">
        <v>511</v>
      </c>
      <c r="C896" s="328"/>
      <c r="D896" s="317"/>
      <c r="E896" s="326"/>
      <c r="F896" s="147"/>
      <c r="G896" s="329">
        <f>SUM(G897:G902)</f>
        <v>52701.4555513649</v>
      </c>
    </row>
    <row r="897" customHeight="1" spans="1:7">
      <c r="A897" s="314"/>
      <c r="B897" s="451" t="s">
        <v>883</v>
      </c>
      <c r="C897" s="451"/>
      <c r="D897" s="452" t="s">
        <v>70</v>
      </c>
      <c r="E897" s="453">
        <v>0.19</v>
      </c>
      <c r="F897" s="423">
        <f>主要材料预算!$L$6</f>
        <v>2209.125</v>
      </c>
      <c r="G897" s="329">
        <f t="shared" si="94"/>
        <v>419.73375</v>
      </c>
    </row>
    <row r="898" customHeight="1" spans="1:7">
      <c r="A898" s="314"/>
      <c r="B898" s="451" t="s">
        <v>984</v>
      </c>
      <c r="C898" s="451"/>
      <c r="D898" s="452" t="s">
        <v>70</v>
      </c>
      <c r="E898" s="453">
        <v>0.62</v>
      </c>
      <c r="F898" s="423">
        <f>基础材料!$D$49</f>
        <v>1568</v>
      </c>
      <c r="G898" s="329">
        <f t="shared" si="94"/>
        <v>972.16</v>
      </c>
    </row>
    <row r="899" customHeight="1" spans="1:7">
      <c r="A899" s="314"/>
      <c r="B899" s="451" t="s">
        <v>985</v>
      </c>
      <c r="C899" s="451"/>
      <c r="D899" s="452" t="s">
        <v>70</v>
      </c>
      <c r="E899" s="453">
        <v>100</v>
      </c>
      <c r="F899" s="147">
        <f>$G$854/100</f>
        <v>492.398568550894</v>
      </c>
      <c r="G899" s="329">
        <f t="shared" si="94"/>
        <v>49239.8568550894</v>
      </c>
    </row>
    <row r="900" customHeight="1" spans="1:7">
      <c r="A900" s="314"/>
      <c r="B900" s="451" t="s">
        <v>949</v>
      </c>
      <c r="C900" s="451"/>
      <c r="D900" s="452" t="s">
        <v>70</v>
      </c>
      <c r="E900" s="453">
        <v>8.6</v>
      </c>
      <c r="F900" s="147">
        <f>混凝土单价计算表!$M$10</f>
        <v>183.26455</v>
      </c>
      <c r="G900" s="329">
        <f t="shared" si="94"/>
        <v>1576.07513</v>
      </c>
    </row>
    <row r="901" customHeight="1" spans="1:7">
      <c r="A901" s="314"/>
      <c r="B901" s="451" t="s">
        <v>986</v>
      </c>
      <c r="C901" s="451"/>
      <c r="D901" s="452" t="s">
        <v>70</v>
      </c>
      <c r="E901" s="453">
        <v>1.6</v>
      </c>
      <c r="F901" s="147">
        <f>混凝土单价计算表!$M$14</f>
        <v>144.64595</v>
      </c>
      <c r="G901" s="329">
        <f t="shared" si="94"/>
        <v>231.43352</v>
      </c>
    </row>
    <row r="902" customHeight="1" spans="1:7">
      <c r="A902" s="314"/>
      <c r="B902" s="327" t="s">
        <v>893</v>
      </c>
      <c r="C902" s="328"/>
      <c r="D902" s="317" t="s">
        <v>894</v>
      </c>
      <c r="E902" s="455">
        <v>0.5</v>
      </c>
      <c r="F902" s="147">
        <f>SUM(G897:G901)</f>
        <v>52439.2592550894</v>
      </c>
      <c r="G902" s="329">
        <f>E902*F902/100</f>
        <v>262.196296275447</v>
      </c>
    </row>
    <row r="903" customHeight="1" spans="1:7">
      <c r="A903" s="314" t="s">
        <v>21</v>
      </c>
      <c r="B903" s="327" t="s">
        <v>895</v>
      </c>
      <c r="C903" s="328"/>
      <c r="D903" s="317"/>
      <c r="E903" s="147"/>
      <c r="F903" s="147"/>
      <c r="G903" s="329">
        <f>SUM(G904:G907)</f>
        <v>2181.66994063622</v>
      </c>
    </row>
    <row r="904" customHeight="1" spans="1:7">
      <c r="A904" s="314"/>
      <c r="B904" s="451" t="s">
        <v>899</v>
      </c>
      <c r="C904" s="451"/>
      <c r="D904" s="452" t="s">
        <v>896</v>
      </c>
      <c r="E904" s="453">
        <v>1.59</v>
      </c>
      <c r="F904" s="147">
        <f>施工机械台时费!$E$21</f>
        <v>37.4199521340247</v>
      </c>
      <c r="G904" s="329">
        <f t="shared" ref="G904:G906" si="95">E904*F904</f>
        <v>59.4977238930993</v>
      </c>
    </row>
    <row r="905" customHeight="1" spans="1:7">
      <c r="A905" s="314"/>
      <c r="B905" s="451" t="s">
        <v>901</v>
      </c>
      <c r="C905" s="451"/>
      <c r="D905" s="452" t="s">
        <v>896</v>
      </c>
      <c r="E905" s="453">
        <v>8</v>
      </c>
      <c r="F905" s="147">
        <f>施工机械台时费!$E$36</f>
        <v>0.813242919824491</v>
      </c>
      <c r="G905" s="329">
        <f t="shared" si="95"/>
        <v>6.50594335859593</v>
      </c>
    </row>
    <row r="906" customHeight="1" spans="1:7">
      <c r="A906" s="314"/>
      <c r="B906" s="451" t="s">
        <v>897</v>
      </c>
      <c r="C906" s="451"/>
      <c r="D906" s="452" t="s">
        <v>896</v>
      </c>
      <c r="E906" s="453">
        <v>29.5</v>
      </c>
      <c r="F906" s="147">
        <f>施工机械台时费!$E$40</f>
        <v>62.3342780215397</v>
      </c>
      <c r="G906" s="329">
        <f t="shared" si="95"/>
        <v>1838.86120163542</v>
      </c>
    </row>
    <row r="907" customHeight="1" spans="1:7">
      <c r="A907" s="314"/>
      <c r="B907" s="327" t="s">
        <v>902</v>
      </c>
      <c r="C907" s="328"/>
      <c r="D907" s="317" t="s">
        <v>894</v>
      </c>
      <c r="E907" s="152">
        <v>15</v>
      </c>
      <c r="F907" s="147">
        <f>SUM(G905:G906)</f>
        <v>1845.36714499402</v>
      </c>
      <c r="G907" s="329">
        <f>E907*F907/100</f>
        <v>276.805071749103</v>
      </c>
    </row>
    <row r="908" customHeight="1" spans="1:7">
      <c r="A908" s="314" t="s">
        <v>23</v>
      </c>
      <c r="B908" s="327" t="s">
        <v>513</v>
      </c>
      <c r="C908" s="328"/>
      <c r="D908" s="317"/>
      <c r="E908" s="147"/>
      <c r="F908" s="147"/>
      <c r="G908" s="329">
        <f>SUM(G909:G910)</f>
        <v>2382.34086565824</v>
      </c>
    </row>
    <row r="909" customHeight="1" spans="1:7">
      <c r="A909" s="314"/>
      <c r="B909" s="327" t="s">
        <v>903</v>
      </c>
      <c r="C909" s="328"/>
      <c r="D909" s="317" t="s">
        <v>70</v>
      </c>
      <c r="E909" s="147">
        <v>102</v>
      </c>
      <c r="F909" s="147">
        <f>$G$1441/100</f>
        <v>5.03319379720782</v>
      </c>
      <c r="G909" s="329">
        <f t="shared" ref="G909:G913" si="96">E909*F909</f>
        <v>513.385767315197</v>
      </c>
    </row>
    <row r="910" customHeight="1" spans="1:7">
      <c r="A910" s="314"/>
      <c r="B910" s="327" t="s">
        <v>904</v>
      </c>
      <c r="C910" s="328"/>
      <c r="D910" s="317" t="s">
        <v>70</v>
      </c>
      <c r="E910" s="147">
        <v>102</v>
      </c>
      <c r="F910" s="147">
        <f>$G$1469/100</f>
        <v>18.3230891994416</v>
      </c>
      <c r="G910" s="329">
        <f t="shared" si="96"/>
        <v>1868.95509834304</v>
      </c>
    </row>
    <row r="911" customHeight="1" spans="1:7">
      <c r="A911" s="314" t="s">
        <v>905</v>
      </c>
      <c r="B911" s="327" t="s">
        <v>514</v>
      </c>
      <c r="C911" s="328"/>
      <c r="D911" s="317"/>
      <c r="E911" s="332">
        <f>G892</f>
        <v>60916.1363576593</v>
      </c>
      <c r="F911" s="155">
        <f>费率表!$F$12</f>
        <v>0.064</v>
      </c>
      <c r="G911" s="329">
        <f t="shared" si="96"/>
        <v>3898.6327268902</v>
      </c>
    </row>
    <row r="912" customHeight="1" spans="1:7">
      <c r="A912" s="314" t="s">
        <v>10</v>
      </c>
      <c r="B912" s="327" t="s">
        <v>770</v>
      </c>
      <c r="C912" s="328"/>
      <c r="D912" s="317"/>
      <c r="E912" s="326">
        <f>G891</f>
        <v>64814.7690845495</v>
      </c>
      <c r="F912" s="155">
        <f>费率表!$F$13</f>
        <v>0.085</v>
      </c>
      <c r="G912" s="329">
        <f t="shared" si="96"/>
        <v>5509.25537218671</v>
      </c>
    </row>
    <row r="913" customHeight="1" spans="1:7">
      <c r="A913" s="314" t="s">
        <v>12</v>
      </c>
      <c r="B913" s="327" t="s">
        <v>771</v>
      </c>
      <c r="C913" s="328"/>
      <c r="D913" s="317"/>
      <c r="E913" s="326">
        <f>G891+G912</f>
        <v>70324.0244567362</v>
      </c>
      <c r="F913" s="156">
        <f>费率表!$F$14</f>
        <v>0.07</v>
      </c>
      <c r="G913" s="329">
        <f t="shared" si="96"/>
        <v>4922.68171197154</v>
      </c>
    </row>
    <row r="914" customHeight="1" spans="1:7">
      <c r="A914" s="314" t="s">
        <v>15</v>
      </c>
      <c r="B914" s="327" t="s">
        <v>517</v>
      </c>
      <c r="C914" s="328"/>
      <c r="D914" s="317"/>
      <c r="E914" s="326"/>
      <c r="F914" s="157"/>
      <c r="G914" s="329">
        <f>SUM(G915:G918)</f>
        <v>9204.12467403866</v>
      </c>
    </row>
    <row r="915" customHeight="1" spans="1:7">
      <c r="A915" s="314"/>
      <c r="B915" s="327" t="s">
        <v>729</v>
      </c>
      <c r="C915" s="328"/>
      <c r="D915" s="317" t="s">
        <v>204</v>
      </c>
      <c r="E915" s="326">
        <f>E900*混凝土单价计算表!$E$10+混凝土!E901*混凝土单价计算表!$E$14+混凝土!$E$877</f>
        <v>38.02368</v>
      </c>
      <c r="F915" s="438">
        <f>主要材料预算!$N$5</f>
        <v>139.17214</v>
      </c>
      <c r="G915" s="329">
        <f t="shared" ref="G915:G920" si="97">E915*F915</f>
        <v>5291.8369162752</v>
      </c>
    </row>
    <row r="916" customHeight="1" spans="1:7">
      <c r="A916" s="314"/>
      <c r="B916" s="327" t="s">
        <v>684</v>
      </c>
      <c r="C916" s="328"/>
      <c r="D916" s="317" t="s">
        <v>70</v>
      </c>
      <c r="E916" s="326">
        <f>E900*混凝土单价计算表!$G$10+混凝土单价计算表!$G$14*混凝土!E901+混凝土!$E$878</f>
        <v>60.1568</v>
      </c>
      <c r="F916" s="147"/>
      <c r="G916" s="329">
        <f t="shared" si="97"/>
        <v>0</v>
      </c>
    </row>
    <row r="917" customHeight="1" spans="1:7">
      <c r="A917" s="314"/>
      <c r="B917" s="327" t="s">
        <v>687</v>
      </c>
      <c r="C917" s="328"/>
      <c r="D917" s="317" t="s">
        <v>70</v>
      </c>
      <c r="E917" s="326">
        <f>E900*混凝土单价计算表!$I$10+混凝土!$E$879</f>
        <v>93.0146</v>
      </c>
      <c r="F917" s="438">
        <f>主要材料预算!$N$9</f>
        <v>26.7921</v>
      </c>
      <c r="G917" s="329">
        <f t="shared" si="97"/>
        <v>2492.05646466</v>
      </c>
    </row>
    <row r="918" customHeight="1" spans="1:7">
      <c r="A918" s="314"/>
      <c r="B918" s="327" t="s">
        <v>696</v>
      </c>
      <c r="C918" s="328"/>
      <c r="D918" s="317" t="s">
        <v>695</v>
      </c>
      <c r="E918" s="326">
        <f>E906*施工机械台时费!K40+E880</f>
        <v>181.9</v>
      </c>
      <c r="F918" s="438">
        <f>主要材料预算!$N$14</f>
        <v>7.8077586206897</v>
      </c>
      <c r="G918" s="329">
        <f t="shared" si="97"/>
        <v>1420.23129310346</v>
      </c>
    </row>
    <row r="919" customHeight="1" spans="1:7">
      <c r="A919" s="314" t="s">
        <v>906</v>
      </c>
      <c r="B919" s="327" t="s">
        <v>772</v>
      </c>
      <c r="C919" s="328"/>
      <c r="D919" s="317"/>
      <c r="E919" s="326">
        <f>G891+G912++G913+G914</f>
        <v>84450.8308427464</v>
      </c>
      <c r="F919" s="156">
        <f>费率表!$F$15</f>
        <v>0.09</v>
      </c>
      <c r="G919" s="329">
        <f t="shared" si="97"/>
        <v>7600.57477584718</v>
      </c>
    </row>
    <row r="920" customHeight="1" spans="1:7">
      <c r="A920" s="314"/>
      <c r="B920" s="327" t="s">
        <v>907</v>
      </c>
      <c r="C920" s="328"/>
      <c r="D920" s="317"/>
      <c r="E920" s="326">
        <f>G891+G912+G913+G914+G919</f>
        <v>92051.4056185936</v>
      </c>
      <c r="F920" s="156">
        <f>费率表!$I$19</f>
        <v>0.03</v>
      </c>
      <c r="G920" s="329">
        <f t="shared" si="97"/>
        <v>2761.54216855781</v>
      </c>
    </row>
    <row r="921" customHeight="1" spans="1:7">
      <c r="A921" s="335"/>
      <c r="B921" s="336" t="s">
        <v>908</v>
      </c>
      <c r="C921" s="337"/>
      <c r="D921" s="338"/>
      <c r="E921" s="339"/>
      <c r="F921" s="161"/>
      <c r="G921" s="340">
        <f>G891+G912+G913+G914+G919+G920</f>
        <v>94812.9477871514</v>
      </c>
    </row>
    <row r="922" customHeight="1" spans="1:7">
      <c r="A922" s="227"/>
      <c r="B922" s="227"/>
      <c r="C922" s="227"/>
      <c r="D922" s="227"/>
      <c r="E922" s="228"/>
      <c r="F922" s="123"/>
      <c r="G922" s="228"/>
    </row>
    <row r="923" customHeight="1" spans="1:7">
      <c r="A923" s="126" t="s">
        <v>868</v>
      </c>
      <c r="B923" s="126"/>
      <c r="C923" s="126"/>
      <c r="D923" s="126"/>
      <c r="E923" s="126"/>
      <c r="F923" s="126"/>
      <c r="G923" s="126"/>
    </row>
    <row r="924" customHeight="1" spans="1:7">
      <c r="A924" s="309" t="s">
        <v>869</v>
      </c>
      <c r="B924" s="310"/>
      <c r="C924" s="310"/>
      <c r="D924" s="310" t="s">
        <v>870</v>
      </c>
      <c r="E924" s="177" t="s">
        <v>987</v>
      </c>
      <c r="F924" s="177"/>
      <c r="G924" s="178"/>
    </row>
    <row r="925" customHeight="1" spans="1:7">
      <c r="A925" s="314" t="s">
        <v>507</v>
      </c>
      <c r="B925" s="315"/>
      <c r="C925" s="316" t="s">
        <v>988</v>
      </c>
      <c r="D925" s="316"/>
      <c r="E925" s="316"/>
      <c r="F925" s="61" t="s">
        <v>873</v>
      </c>
      <c r="G925" s="318" t="s">
        <v>874</v>
      </c>
    </row>
    <row r="926" customHeight="1" spans="1:7">
      <c r="A926" s="319" t="s">
        <v>989</v>
      </c>
      <c r="B926" s="320"/>
      <c r="C926" s="320"/>
      <c r="D926" s="320"/>
      <c r="E926" s="320"/>
      <c r="F926" s="320"/>
      <c r="G926" s="321"/>
    </row>
    <row r="927" customHeight="1" spans="1:7">
      <c r="A927" s="322" t="s">
        <v>912</v>
      </c>
      <c r="B927" s="323"/>
      <c r="C927" s="324"/>
      <c r="D927" s="324"/>
      <c r="E927" s="324"/>
      <c r="F927" s="324"/>
      <c r="G927" s="325"/>
    </row>
    <row r="928" customHeight="1" spans="1:7">
      <c r="A928" s="314" t="s">
        <v>34</v>
      </c>
      <c r="B928" s="317" t="s">
        <v>761</v>
      </c>
      <c r="C928" s="317"/>
      <c r="D928" s="317" t="s">
        <v>60</v>
      </c>
      <c r="E928" s="326" t="s">
        <v>877</v>
      </c>
      <c r="F928" s="61" t="s">
        <v>878</v>
      </c>
      <c r="G928" s="318" t="s">
        <v>879</v>
      </c>
    </row>
    <row r="929" customHeight="1" spans="1:7">
      <c r="A929" s="314" t="s">
        <v>8</v>
      </c>
      <c r="B929" s="327" t="s">
        <v>880</v>
      </c>
      <c r="C929" s="328"/>
      <c r="D929" s="317"/>
      <c r="E929" s="326"/>
      <c r="F929" s="147"/>
      <c r="G929" s="329">
        <f>G930+G949</f>
        <v>70177.1442172659</v>
      </c>
    </row>
    <row r="930" customHeight="1" spans="1:7">
      <c r="A930" s="314" t="s">
        <v>881</v>
      </c>
      <c r="B930" s="327" t="s">
        <v>882</v>
      </c>
      <c r="C930" s="328"/>
      <c r="D930" s="317"/>
      <c r="E930" s="326"/>
      <c r="F930" s="147"/>
      <c r="G930" s="329">
        <f>G931+G934+G944</f>
        <v>65955.9626102124</v>
      </c>
    </row>
    <row r="931" customHeight="1" spans="1:7">
      <c r="A931" s="314" t="s">
        <v>17</v>
      </c>
      <c r="B931" s="327" t="s">
        <v>510</v>
      </c>
      <c r="C931" s="328"/>
      <c r="D931" s="317"/>
      <c r="E931" s="326"/>
      <c r="F931" s="147"/>
      <c r="G931" s="329">
        <f>SUM(G932:G933)</f>
        <v>32722.018</v>
      </c>
    </row>
    <row r="932" customHeight="1" spans="1:7">
      <c r="A932" s="314"/>
      <c r="B932" s="327" t="s">
        <v>704</v>
      </c>
      <c r="C932" s="328"/>
      <c r="D932" s="317" t="s">
        <v>705</v>
      </c>
      <c r="E932" s="423">
        <v>3094.9</v>
      </c>
      <c r="F932" s="423">
        <f>主要材料预算!$D$19</f>
        <v>8.1</v>
      </c>
      <c r="G932" s="329">
        <f t="shared" ref="G932:G935" si="98">E932*F932</f>
        <v>25068.69</v>
      </c>
    </row>
    <row r="933" customHeight="1" spans="1:7">
      <c r="A933" s="314"/>
      <c r="B933" s="327" t="s">
        <v>706</v>
      </c>
      <c r="C933" s="328"/>
      <c r="D933" s="317" t="s">
        <v>705</v>
      </c>
      <c r="E933" s="423">
        <v>1326.4</v>
      </c>
      <c r="F933" s="423">
        <f>主要材料预算!$D$20</f>
        <v>5.77</v>
      </c>
      <c r="G933" s="329">
        <f t="shared" si="98"/>
        <v>7653.328</v>
      </c>
    </row>
    <row r="934" customHeight="1" spans="1:7">
      <c r="A934" s="314" t="s">
        <v>19</v>
      </c>
      <c r="B934" s="327" t="s">
        <v>511</v>
      </c>
      <c r="C934" s="328"/>
      <c r="D934" s="317"/>
      <c r="E934" s="326"/>
      <c r="F934" s="147"/>
      <c r="G934" s="329">
        <f>SUM(G935:G943)</f>
        <v>32210.512841772</v>
      </c>
    </row>
    <row r="935" customHeight="1" spans="1:7">
      <c r="A935" s="314"/>
      <c r="B935" s="327" t="s">
        <v>883</v>
      </c>
      <c r="C935" s="328"/>
      <c r="D935" s="317" t="s">
        <v>70</v>
      </c>
      <c r="E935" s="326">
        <v>1.68</v>
      </c>
      <c r="F935" s="423">
        <f>主要材料预算!$L$6</f>
        <v>2209.125</v>
      </c>
      <c r="G935" s="329">
        <f t="shared" si="98"/>
        <v>3711.33</v>
      </c>
    </row>
    <row r="936" customHeight="1" spans="1:7">
      <c r="A936" s="314"/>
      <c r="B936" s="327" t="s">
        <v>885</v>
      </c>
      <c r="C936" s="328"/>
      <c r="D936" s="317" t="s">
        <v>695</v>
      </c>
      <c r="E936" s="326">
        <v>1133.9</v>
      </c>
      <c r="F936" s="423">
        <f>基础材料!$D$9</f>
        <v>4.44</v>
      </c>
      <c r="G936" s="329">
        <f t="shared" ref="G936:G942" si="99">E936*F936</f>
        <v>5034.516</v>
      </c>
    </row>
    <row r="937" customHeight="1" spans="1:7">
      <c r="A937" s="314"/>
      <c r="B937" s="327" t="s">
        <v>990</v>
      </c>
      <c r="C937" s="328"/>
      <c r="D937" s="317" t="s">
        <v>695</v>
      </c>
      <c r="E937" s="326">
        <v>612.3</v>
      </c>
      <c r="F937" s="147">
        <f>基础材料!$D$5</f>
        <v>4.5</v>
      </c>
      <c r="G937" s="329">
        <f t="shared" si="99"/>
        <v>2755.35</v>
      </c>
    </row>
    <row r="938" customHeight="1" spans="1:7">
      <c r="A938" s="314"/>
      <c r="B938" s="327" t="s">
        <v>887</v>
      </c>
      <c r="C938" s="328"/>
      <c r="D938" s="317" t="s">
        <v>695</v>
      </c>
      <c r="E938" s="326">
        <v>361</v>
      </c>
      <c r="F938" s="147">
        <f>基础材料!$D$8</f>
        <v>5.15</v>
      </c>
      <c r="G938" s="329">
        <f t="shared" si="99"/>
        <v>1859.15</v>
      </c>
    </row>
    <row r="939" customHeight="1" spans="1:7">
      <c r="A939" s="314"/>
      <c r="B939" s="327" t="s">
        <v>913</v>
      </c>
      <c r="C939" s="328"/>
      <c r="D939" s="317" t="s">
        <v>695</v>
      </c>
      <c r="E939" s="326">
        <v>256</v>
      </c>
      <c r="F939" s="147">
        <f>基础材料!$D$3</f>
        <v>4.04</v>
      </c>
      <c r="G939" s="329">
        <f t="shared" si="99"/>
        <v>1034.24</v>
      </c>
    </row>
    <row r="940" customHeight="1" spans="1:7">
      <c r="A940" s="314"/>
      <c r="B940" s="327" t="s">
        <v>890</v>
      </c>
      <c r="C940" s="328"/>
      <c r="D940" s="317" t="s">
        <v>695</v>
      </c>
      <c r="E940" s="326">
        <v>12</v>
      </c>
      <c r="F940" s="147">
        <f>基础材料!$D$57</f>
        <v>5.97</v>
      </c>
      <c r="G940" s="329">
        <f t="shared" si="99"/>
        <v>71.64</v>
      </c>
    </row>
    <row r="941" customHeight="1" spans="1:7">
      <c r="A941" s="314"/>
      <c r="B941" s="327" t="s">
        <v>918</v>
      </c>
      <c r="C941" s="328"/>
      <c r="D941" s="317" t="s">
        <v>70</v>
      </c>
      <c r="E941" s="326">
        <v>103</v>
      </c>
      <c r="F941" s="147">
        <f>混凝土单价计算表!$M$5</f>
        <v>161.3078462</v>
      </c>
      <c r="G941" s="329">
        <f t="shared" si="99"/>
        <v>16614.7081586</v>
      </c>
    </row>
    <row r="942" customHeight="1" spans="1:7">
      <c r="A942" s="314"/>
      <c r="B942" s="327" t="s">
        <v>892</v>
      </c>
      <c r="C942" s="328"/>
      <c r="D942" s="317" t="s">
        <v>70</v>
      </c>
      <c r="E942" s="326">
        <v>120</v>
      </c>
      <c r="F942" s="147">
        <f>主要材料预算!$D$16</f>
        <v>4.15</v>
      </c>
      <c r="G942" s="329">
        <f t="shared" si="99"/>
        <v>498</v>
      </c>
    </row>
    <row r="943" customHeight="1" spans="1:7">
      <c r="A943" s="314"/>
      <c r="B943" s="327" t="s">
        <v>893</v>
      </c>
      <c r="C943" s="328"/>
      <c r="D943" s="317" t="s">
        <v>894</v>
      </c>
      <c r="E943" s="331">
        <v>2</v>
      </c>
      <c r="F943" s="147">
        <f>SUM(G935:G942)</f>
        <v>31578.9341586</v>
      </c>
      <c r="G943" s="329">
        <f>E943*F943/100</f>
        <v>631.578683172</v>
      </c>
    </row>
    <row r="944" customHeight="1" spans="1:7">
      <c r="A944" s="314" t="s">
        <v>21</v>
      </c>
      <c r="B944" s="327" t="s">
        <v>895</v>
      </c>
      <c r="C944" s="328"/>
      <c r="D944" s="317"/>
      <c r="E944" s="147"/>
      <c r="F944" s="147"/>
      <c r="G944" s="329">
        <f>SUM(G945:G948)</f>
        <v>1023.43176844037</v>
      </c>
    </row>
    <row r="945" customHeight="1" spans="1:7">
      <c r="A945" s="314"/>
      <c r="B945" s="327" t="s">
        <v>899</v>
      </c>
      <c r="C945" s="328"/>
      <c r="D945" s="317" t="s">
        <v>896</v>
      </c>
      <c r="E945" s="147">
        <v>18.36</v>
      </c>
      <c r="F945" s="147">
        <f>施工机械台时费!$E$21</f>
        <v>37.4199521340247</v>
      </c>
      <c r="G945" s="329">
        <f t="shared" ref="G945:G947" si="100">E945*F945</f>
        <v>687.030321180694</v>
      </c>
    </row>
    <row r="946" customHeight="1" spans="1:7">
      <c r="A946" s="314"/>
      <c r="B946" s="327" t="s">
        <v>900</v>
      </c>
      <c r="C946" s="328"/>
      <c r="D946" s="317" t="s">
        <v>896</v>
      </c>
      <c r="E946" s="147">
        <v>44</v>
      </c>
      <c r="F946" s="147">
        <f>施工机械台时费!$E$22</f>
        <v>3.07752692461109</v>
      </c>
      <c r="G946" s="329">
        <f t="shared" si="100"/>
        <v>135.411184682888</v>
      </c>
    </row>
    <row r="947" customHeight="1" spans="1:7">
      <c r="A947" s="314"/>
      <c r="B947" s="327" t="s">
        <v>901</v>
      </c>
      <c r="C947" s="328"/>
      <c r="D947" s="317" t="s">
        <v>896</v>
      </c>
      <c r="E947" s="147">
        <v>83</v>
      </c>
      <c r="F947" s="147">
        <f>施工机械台时费!$E$36</f>
        <v>0.813242919824491</v>
      </c>
      <c r="G947" s="329">
        <f t="shared" si="100"/>
        <v>67.4991623454328</v>
      </c>
    </row>
    <row r="948" customHeight="1" spans="1:7">
      <c r="A948" s="314"/>
      <c r="B948" s="327" t="s">
        <v>902</v>
      </c>
      <c r="C948" s="328"/>
      <c r="D948" s="317" t="s">
        <v>894</v>
      </c>
      <c r="E948" s="152">
        <v>15</v>
      </c>
      <c r="F948" s="147">
        <f>SUM(G945:G947)</f>
        <v>889.940668209015</v>
      </c>
      <c r="G948" s="329">
        <f>E948*F948/100</f>
        <v>133.491100231352</v>
      </c>
    </row>
    <row r="949" customHeight="1" spans="1:7">
      <c r="A949" s="314" t="s">
        <v>905</v>
      </c>
      <c r="B949" s="327" t="s">
        <v>514</v>
      </c>
      <c r="C949" s="328"/>
      <c r="D949" s="317"/>
      <c r="E949" s="332">
        <f>G930</f>
        <v>65955.9626102124</v>
      </c>
      <c r="F949" s="155">
        <f>费率表!$F$12</f>
        <v>0.064</v>
      </c>
      <c r="G949" s="329">
        <f t="shared" ref="G949:G951" si="101">E949*F949</f>
        <v>4221.18160705359</v>
      </c>
    </row>
    <row r="950" customHeight="1" spans="1:7">
      <c r="A950" s="314" t="s">
        <v>10</v>
      </c>
      <c r="B950" s="327" t="s">
        <v>770</v>
      </c>
      <c r="C950" s="328"/>
      <c r="D950" s="317"/>
      <c r="E950" s="326">
        <f>G929</f>
        <v>70177.1442172659</v>
      </c>
      <c r="F950" s="155">
        <f>费率表!$F$13</f>
        <v>0.085</v>
      </c>
      <c r="G950" s="329">
        <f t="shared" si="101"/>
        <v>5965.05725846761</v>
      </c>
    </row>
    <row r="951" customHeight="1" spans="1:7">
      <c r="A951" s="314" t="s">
        <v>12</v>
      </c>
      <c r="B951" s="327" t="s">
        <v>771</v>
      </c>
      <c r="C951" s="328"/>
      <c r="D951" s="317"/>
      <c r="E951" s="326">
        <f>G929+G950</f>
        <v>76142.2014757336</v>
      </c>
      <c r="F951" s="156">
        <f>费率表!$F$14</f>
        <v>0.07</v>
      </c>
      <c r="G951" s="329">
        <f t="shared" si="101"/>
        <v>5329.95410330135</v>
      </c>
    </row>
    <row r="952" customHeight="1" spans="1:7">
      <c r="A952" s="314" t="s">
        <v>15</v>
      </c>
      <c r="B952" s="327" t="s">
        <v>517</v>
      </c>
      <c r="C952" s="328"/>
      <c r="D952" s="317"/>
      <c r="E952" s="326"/>
      <c r="F952" s="157"/>
      <c r="G952" s="329">
        <f>SUM(G953:G955)</f>
        <v>5832.20807812724</v>
      </c>
    </row>
    <row r="953" customHeight="1" spans="1:7">
      <c r="A953" s="314"/>
      <c r="B953" s="327" t="s">
        <v>729</v>
      </c>
      <c r="C953" s="328"/>
      <c r="D953" s="317" t="s">
        <v>204</v>
      </c>
      <c r="E953" s="326">
        <f>E941*混凝土单价计算表!$E$5</f>
        <v>25.23059572</v>
      </c>
      <c r="F953" s="438">
        <f>主要材料预算!$N$5</f>
        <v>139.17214</v>
      </c>
      <c r="G953" s="329">
        <f t="shared" ref="G953:G957" si="102">E953*F953</f>
        <v>3511.39599982724</v>
      </c>
    </row>
    <row r="954" customHeight="1" spans="1:7">
      <c r="A954" s="314"/>
      <c r="B954" s="327" t="s">
        <v>684</v>
      </c>
      <c r="C954" s="328"/>
      <c r="D954" s="317" t="s">
        <v>70</v>
      </c>
      <c r="E954" s="326">
        <f>E941*混凝土单价计算表!$G$5</f>
        <v>57.73768</v>
      </c>
      <c r="F954" s="147"/>
      <c r="G954" s="329">
        <f t="shared" si="102"/>
        <v>0</v>
      </c>
    </row>
    <row r="955" customHeight="1" spans="1:7">
      <c r="A955" s="314"/>
      <c r="B955" s="327" t="s">
        <v>687</v>
      </c>
      <c r="C955" s="328"/>
      <c r="D955" s="317" t="s">
        <v>70</v>
      </c>
      <c r="E955" s="326">
        <f>E941*混凝土单价计算表!$I$5</f>
        <v>86.623</v>
      </c>
      <c r="F955" s="438">
        <f>主要材料预算!$N$9</f>
        <v>26.7921</v>
      </c>
      <c r="G955" s="329">
        <f t="shared" si="102"/>
        <v>2320.8120783</v>
      </c>
    </row>
    <row r="956" customHeight="1" spans="1:7">
      <c r="A956" s="314" t="s">
        <v>906</v>
      </c>
      <c r="B956" s="327" t="s">
        <v>772</v>
      </c>
      <c r="C956" s="328"/>
      <c r="D956" s="317"/>
      <c r="E956" s="326">
        <f>G929+G950++G951+G952</f>
        <v>87304.3636571621</v>
      </c>
      <c r="F956" s="156">
        <f>费率表!$F$15</f>
        <v>0.09</v>
      </c>
      <c r="G956" s="329">
        <f t="shared" si="102"/>
        <v>7857.39272914459</v>
      </c>
    </row>
    <row r="957" customHeight="1" spans="1:7">
      <c r="A957" s="314"/>
      <c r="B957" s="327" t="s">
        <v>907</v>
      </c>
      <c r="C957" s="328"/>
      <c r="D957" s="317"/>
      <c r="E957" s="326">
        <f>G929+G950+G951+G952+G956</f>
        <v>95161.7563863067</v>
      </c>
      <c r="F957" s="156">
        <f>费率表!$I$19</f>
        <v>0.03</v>
      </c>
      <c r="G957" s="329">
        <f t="shared" si="102"/>
        <v>2854.8526915892</v>
      </c>
    </row>
    <row r="958" customHeight="1" spans="1:7">
      <c r="A958" s="335"/>
      <c r="B958" s="336" t="s">
        <v>908</v>
      </c>
      <c r="C958" s="337"/>
      <c r="D958" s="338"/>
      <c r="E958" s="339"/>
      <c r="F958" s="161"/>
      <c r="G958" s="340">
        <f>G929+G950+G951+G952+G956+G957</f>
        <v>98016.6090778959</v>
      </c>
    </row>
    <row r="959" customHeight="1" spans="1:7">
      <c r="A959" s="227"/>
      <c r="B959" s="227"/>
      <c r="C959" s="227"/>
      <c r="D959" s="227"/>
      <c r="E959" s="228"/>
      <c r="F959" s="123"/>
      <c r="G959" s="228"/>
    </row>
    <row r="960" customHeight="1" spans="1:7">
      <c r="A960" s="126" t="s">
        <v>868</v>
      </c>
      <c r="B960" s="126"/>
      <c r="C960" s="126"/>
      <c r="D960" s="126"/>
      <c r="E960" s="126"/>
      <c r="F960" s="126"/>
      <c r="G960" s="126"/>
    </row>
    <row r="961" customHeight="1" spans="1:7">
      <c r="A961" s="309" t="s">
        <v>869</v>
      </c>
      <c r="B961" s="310"/>
      <c r="C961" s="310"/>
      <c r="D961" s="310" t="s">
        <v>870</v>
      </c>
      <c r="E961" s="311" t="s">
        <v>991</v>
      </c>
      <c r="F961" s="312"/>
      <c r="G961" s="313"/>
    </row>
    <row r="962" customHeight="1" spans="1:7">
      <c r="A962" s="314" t="s">
        <v>507</v>
      </c>
      <c r="B962" s="315"/>
      <c r="C962" s="316" t="s">
        <v>992</v>
      </c>
      <c r="D962" s="316"/>
      <c r="E962" s="316"/>
      <c r="F962" s="61" t="s">
        <v>873</v>
      </c>
      <c r="G962" s="318" t="s">
        <v>874</v>
      </c>
    </row>
    <row r="963" customHeight="1" spans="1:7">
      <c r="A963" s="319" t="s">
        <v>993</v>
      </c>
      <c r="B963" s="320"/>
      <c r="C963" s="320"/>
      <c r="D963" s="320"/>
      <c r="E963" s="320"/>
      <c r="F963" s="320"/>
      <c r="G963" s="321"/>
    </row>
    <row r="964" customHeight="1" spans="1:7">
      <c r="A964" s="322" t="s">
        <v>912</v>
      </c>
      <c r="B964" s="323"/>
      <c r="C964" s="324"/>
      <c r="D964" s="324"/>
      <c r="E964" s="324"/>
      <c r="F964" s="324"/>
      <c r="G964" s="325"/>
    </row>
    <row r="965" customHeight="1" spans="1:7">
      <c r="A965" s="314" t="s">
        <v>34</v>
      </c>
      <c r="B965" s="317" t="s">
        <v>761</v>
      </c>
      <c r="C965" s="317"/>
      <c r="D965" s="317" t="s">
        <v>60</v>
      </c>
      <c r="E965" s="326" t="s">
        <v>877</v>
      </c>
      <c r="F965" s="61" t="s">
        <v>878</v>
      </c>
      <c r="G965" s="318" t="s">
        <v>879</v>
      </c>
    </row>
    <row r="966" customHeight="1" spans="1:7">
      <c r="A966" s="314" t="s">
        <v>8</v>
      </c>
      <c r="B966" s="327" t="s">
        <v>880</v>
      </c>
      <c r="C966" s="328"/>
      <c r="D966" s="317"/>
      <c r="E966" s="326"/>
      <c r="F966" s="147"/>
      <c r="G966" s="329">
        <f>G967+G985</f>
        <v>45545.9701890574</v>
      </c>
    </row>
    <row r="967" customHeight="1" spans="1:7">
      <c r="A967" s="314" t="s">
        <v>881</v>
      </c>
      <c r="B967" s="327" t="s">
        <v>882</v>
      </c>
      <c r="C967" s="328"/>
      <c r="D967" s="317"/>
      <c r="E967" s="326"/>
      <c r="F967" s="147"/>
      <c r="G967" s="329">
        <f>G968+G971+G980</f>
        <v>42806.3629596404</v>
      </c>
    </row>
    <row r="968" customHeight="1" spans="1:7">
      <c r="A968" s="314" t="s">
        <v>17</v>
      </c>
      <c r="B968" s="327" t="s">
        <v>510</v>
      </c>
      <c r="C968" s="328"/>
      <c r="D968" s="317"/>
      <c r="E968" s="326"/>
      <c r="F968" s="147"/>
      <c r="G968" s="329">
        <f>SUM(G969:G970)</f>
        <v>18598.395</v>
      </c>
    </row>
    <row r="969" customHeight="1" spans="1:7">
      <c r="A969" s="314"/>
      <c r="B969" s="327" t="s">
        <v>704</v>
      </c>
      <c r="C969" s="328"/>
      <c r="D969" s="317" t="s">
        <v>705</v>
      </c>
      <c r="E969" s="423">
        <v>1739.4</v>
      </c>
      <c r="F969" s="423">
        <f>主要材料预算!D19</f>
        <v>8.1</v>
      </c>
      <c r="G969" s="329">
        <f t="shared" ref="G969:G972" si="103">E969*F969</f>
        <v>14089.14</v>
      </c>
    </row>
    <row r="970" customHeight="1" spans="1:7">
      <c r="A970" s="314"/>
      <c r="B970" s="327" t="s">
        <v>706</v>
      </c>
      <c r="C970" s="328"/>
      <c r="D970" s="317" t="s">
        <v>705</v>
      </c>
      <c r="E970" s="423">
        <v>781.5</v>
      </c>
      <c r="F970" s="423">
        <f>主要材料预算!D20</f>
        <v>5.77</v>
      </c>
      <c r="G970" s="329">
        <f t="shared" si="103"/>
        <v>4509.255</v>
      </c>
    </row>
    <row r="971" customHeight="1" spans="1:7">
      <c r="A971" s="314" t="s">
        <v>19</v>
      </c>
      <c r="B971" s="327" t="s">
        <v>511</v>
      </c>
      <c r="C971" s="328"/>
      <c r="D971" s="317"/>
      <c r="E971" s="326"/>
      <c r="F971" s="147"/>
      <c r="G971" s="329">
        <f>SUM(G972:G979)</f>
        <v>23184.5361912</v>
      </c>
    </row>
    <row r="972" customHeight="1" spans="1:7">
      <c r="A972" s="314"/>
      <c r="B972" s="327" t="s">
        <v>883</v>
      </c>
      <c r="C972" s="328"/>
      <c r="D972" s="317" t="s">
        <v>70</v>
      </c>
      <c r="E972" s="326">
        <v>0.9</v>
      </c>
      <c r="F972" s="147">
        <f>主要材料预算!$L$6</f>
        <v>2209.125</v>
      </c>
      <c r="G972" s="329">
        <f t="shared" si="103"/>
        <v>1988.2125</v>
      </c>
    </row>
    <row r="973" customHeight="1" spans="1:7">
      <c r="A973" s="314"/>
      <c r="B973" s="327" t="s">
        <v>885</v>
      </c>
      <c r="C973" s="328"/>
      <c r="D973" s="317" t="s">
        <v>695</v>
      </c>
      <c r="E973" s="326">
        <v>316.07</v>
      </c>
      <c r="F973" s="147">
        <f>基础材料!$D$9</f>
        <v>4.44</v>
      </c>
      <c r="G973" s="329">
        <f t="shared" ref="G973:G978" si="104">E973*F973</f>
        <v>1403.3508</v>
      </c>
    </row>
    <row r="974" customHeight="1" spans="1:7">
      <c r="A974" s="314"/>
      <c r="B974" s="327" t="s">
        <v>887</v>
      </c>
      <c r="C974" s="328"/>
      <c r="D974" s="317" t="s">
        <v>695</v>
      </c>
      <c r="E974" s="326">
        <v>100.6</v>
      </c>
      <c r="F974" s="147">
        <f>基础材料!$D$8</f>
        <v>5.15</v>
      </c>
      <c r="G974" s="329">
        <f t="shared" si="104"/>
        <v>518.09</v>
      </c>
    </row>
    <row r="975" customHeight="1" spans="1:7">
      <c r="A975" s="314"/>
      <c r="B975" s="327" t="s">
        <v>913</v>
      </c>
      <c r="C975" s="328"/>
      <c r="D975" s="317" t="s">
        <v>695</v>
      </c>
      <c r="E975" s="326">
        <v>71.36</v>
      </c>
      <c r="F975" s="147">
        <f>基础材料!$D$3</f>
        <v>4.04</v>
      </c>
      <c r="G975" s="329">
        <f t="shared" si="104"/>
        <v>288.2944</v>
      </c>
    </row>
    <row r="976" customHeight="1" spans="1:7">
      <c r="A976" s="314"/>
      <c r="B976" s="327" t="s">
        <v>994</v>
      </c>
      <c r="C976" s="328"/>
      <c r="D976" s="317" t="s">
        <v>70</v>
      </c>
      <c r="E976" s="326">
        <v>1</v>
      </c>
      <c r="F976" s="147">
        <f>混凝土单价计算表!$M$12</f>
        <v>125.89935</v>
      </c>
      <c r="G976" s="329">
        <f t="shared" si="104"/>
        <v>125.89935</v>
      </c>
    </row>
    <row r="977" customHeight="1" spans="1:7">
      <c r="A977" s="314"/>
      <c r="B977" s="327" t="s">
        <v>921</v>
      </c>
      <c r="C977" s="328"/>
      <c r="D977" s="317" t="s">
        <v>70</v>
      </c>
      <c r="E977" s="326">
        <v>102</v>
      </c>
      <c r="F977" s="147">
        <f>混凝土单价计算表!$M$7</f>
        <v>176.454345</v>
      </c>
      <c r="G977" s="329">
        <f t="shared" si="104"/>
        <v>17998.34319</v>
      </c>
    </row>
    <row r="978" customHeight="1" spans="1:7">
      <c r="A978" s="314"/>
      <c r="B978" s="327" t="s">
        <v>892</v>
      </c>
      <c r="C978" s="328"/>
      <c r="D978" s="317" t="s">
        <v>70</v>
      </c>
      <c r="E978" s="326">
        <v>180</v>
      </c>
      <c r="F978" s="147">
        <f>主要材料预算!$D$16</f>
        <v>4.15</v>
      </c>
      <c r="G978" s="329">
        <f t="shared" si="104"/>
        <v>747</v>
      </c>
    </row>
    <row r="979" customHeight="1" spans="1:7">
      <c r="A979" s="314"/>
      <c r="B979" s="327" t="s">
        <v>893</v>
      </c>
      <c r="C979" s="328"/>
      <c r="D979" s="317" t="s">
        <v>894</v>
      </c>
      <c r="E979" s="326">
        <v>0.5</v>
      </c>
      <c r="F979" s="147">
        <f>SUM(G972:G978)</f>
        <v>23069.19024</v>
      </c>
      <c r="G979" s="329">
        <f>E979*F979/100</f>
        <v>115.3459512</v>
      </c>
    </row>
    <row r="980" customHeight="1" spans="1:7">
      <c r="A980" s="314" t="s">
        <v>21</v>
      </c>
      <c r="B980" s="327" t="s">
        <v>895</v>
      </c>
      <c r="C980" s="328"/>
      <c r="D980" s="317"/>
      <c r="E980" s="147"/>
      <c r="F980" s="147"/>
      <c r="G980" s="329">
        <f>SUM(G981:G984)</f>
        <v>1023.43176844037</v>
      </c>
    </row>
    <row r="981" customHeight="1" spans="1:7">
      <c r="A981" s="314"/>
      <c r="B981" s="327" t="s">
        <v>899</v>
      </c>
      <c r="C981" s="328"/>
      <c r="D981" s="317" t="s">
        <v>896</v>
      </c>
      <c r="E981" s="147">
        <v>18.36</v>
      </c>
      <c r="F981" s="147">
        <f>施工机械台时费!$E$21</f>
        <v>37.4199521340247</v>
      </c>
      <c r="G981" s="329">
        <f t="shared" ref="G981:G983" si="105">E981*F981</f>
        <v>687.030321180694</v>
      </c>
    </row>
    <row r="982" customHeight="1" spans="1:7">
      <c r="A982" s="314"/>
      <c r="B982" s="327" t="s">
        <v>900</v>
      </c>
      <c r="C982" s="328"/>
      <c r="D982" s="317" t="s">
        <v>896</v>
      </c>
      <c r="E982" s="147">
        <v>44</v>
      </c>
      <c r="F982" s="147">
        <f>施工机械台时费!$E$22</f>
        <v>3.07752692461109</v>
      </c>
      <c r="G982" s="329">
        <f t="shared" si="105"/>
        <v>135.411184682888</v>
      </c>
    </row>
    <row r="983" customHeight="1" spans="1:7">
      <c r="A983" s="314"/>
      <c r="B983" s="327" t="s">
        <v>901</v>
      </c>
      <c r="C983" s="328"/>
      <c r="D983" s="317" t="s">
        <v>896</v>
      </c>
      <c r="E983" s="147">
        <v>83</v>
      </c>
      <c r="F983" s="147">
        <f>施工机械台时费!$E$36</f>
        <v>0.813242919824491</v>
      </c>
      <c r="G983" s="329">
        <f t="shared" si="105"/>
        <v>67.4991623454328</v>
      </c>
    </row>
    <row r="984" customHeight="1" spans="1:7">
      <c r="A984" s="314"/>
      <c r="B984" s="327" t="s">
        <v>902</v>
      </c>
      <c r="C984" s="328"/>
      <c r="D984" s="317" t="s">
        <v>894</v>
      </c>
      <c r="E984" s="152">
        <v>15</v>
      </c>
      <c r="F984" s="147">
        <f>SUM(G981:G983)</f>
        <v>889.940668209015</v>
      </c>
      <c r="G984" s="329">
        <f>E984*F984/100</f>
        <v>133.491100231352</v>
      </c>
    </row>
    <row r="985" customHeight="1" spans="1:7">
      <c r="A985" s="314" t="s">
        <v>905</v>
      </c>
      <c r="B985" s="327" t="s">
        <v>514</v>
      </c>
      <c r="C985" s="328"/>
      <c r="D985" s="317"/>
      <c r="E985" s="332">
        <f>G967</f>
        <v>42806.3629596404</v>
      </c>
      <c r="F985" s="155">
        <f>费率表!$F$12</f>
        <v>0.064</v>
      </c>
      <c r="G985" s="329">
        <f t="shared" ref="G985:G987" si="106">E985*F985</f>
        <v>2739.60722941698</v>
      </c>
    </row>
    <row r="986" customHeight="1" spans="1:7">
      <c r="A986" s="314" t="s">
        <v>10</v>
      </c>
      <c r="B986" s="327" t="s">
        <v>770</v>
      </c>
      <c r="C986" s="328"/>
      <c r="D986" s="317"/>
      <c r="E986" s="326">
        <f>G966</f>
        <v>45545.9701890574</v>
      </c>
      <c r="F986" s="155">
        <f>费率表!$F$13</f>
        <v>0.085</v>
      </c>
      <c r="G986" s="329">
        <f t="shared" si="106"/>
        <v>3871.40746606988</v>
      </c>
    </row>
    <row r="987" customHeight="1" spans="1:7">
      <c r="A987" s="314" t="s">
        <v>12</v>
      </c>
      <c r="B987" s="327" t="s">
        <v>771</v>
      </c>
      <c r="C987" s="328"/>
      <c r="D987" s="317"/>
      <c r="E987" s="326">
        <f>G966+G986</f>
        <v>49417.3776551272</v>
      </c>
      <c r="F987" s="156">
        <f>费率表!$F$14</f>
        <v>0.07</v>
      </c>
      <c r="G987" s="329">
        <f t="shared" si="106"/>
        <v>3459.21643585891</v>
      </c>
    </row>
    <row r="988" customHeight="1" spans="1:7">
      <c r="A988" s="314" t="s">
        <v>15</v>
      </c>
      <c r="B988" s="327" t="s">
        <v>517</v>
      </c>
      <c r="C988" s="328"/>
      <c r="D988" s="317"/>
      <c r="E988" s="326"/>
      <c r="F988" s="157"/>
      <c r="G988" s="329">
        <f>SUM(G989:G991)</f>
        <v>6660.28247505876</v>
      </c>
    </row>
    <row r="989" customHeight="1" spans="1:7">
      <c r="A989" s="314"/>
      <c r="B989" s="327" t="s">
        <v>729</v>
      </c>
      <c r="C989" s="328"/>
      <c r="D989" s="317" t="s">
        <v>204</v>
      </c>
      <c r="E989" s="326">
        <f>E977*混凝土单价计算表!$E$7</f>
        <v>31.334094</v>
      </c>
      <c r="F989" s="438">
        <f>主要材料预算!$N$5</f>
        <v>139.17214</v>
      </c>
      <c r="G989" s="329">
        <f t="shared" ref="G989:G993" si="107">E989*F989</f>
        <v>4360.83291694116</v>
      </c>
    </row>
    <row r="990" customHeight="1" spans="1:7">
      <c r="A990" s="314"/>
      <c r="B990" s="327" t="s">
        <v>684</v>
      </c>
      <c r="C990" s="328"/>
      <c r="D990" s="317" t="s">
        <v>70</v>
      </c>
      <c r="E990" s="326">
        <f>E977*混凝土单价计算表!$G$7</f>
        <v>56.07756</v>
      </c>
      <c r="F990" s="147"/>
      <c r="G990" s="329">
        <f t="shared" si="107"/>
        <v>0</v>
      </c>
    </row>
    <row r="991" customHeight="1" spans="1:7">
      <c r="A991" s="314"/>
      <c r="B991" s="327" t="s">
        <v>687</v>
      </c>
      <c r="C991" s="328"/>
      <c r="D991" s="317" t="s">
        <v>70</v>
      </c>
      <c r="E991" s="326">
        <f>E977*混凝土单价计算表!$I$7</f>
        <v>85.825656</v>
      </c>
      <c r="F991" s="438">
        <f>主要材料预算!$N$9</f>
        <v>26.7921</v>
      </c>
      <c r="G991" s="329">
        <f t="shared" si="107"/>
        <v>2299.4495581176</v>
      </c>
    </row>
    <row r="992" customHeight="1" spans="1:7">
      <c r="A992" s="314" t="s">
        <v>906</v>
      </c>
      <c r="B992" s="327" t="s">
        <v>772</v>
      </c>
      <c r="C992" s="328"/>
      <c r="D992" s="317"/>
      <c r="E992" s="326">
        <f>G966+G986++G987+G988</f>
        <v>59536.8765660449</v>
      </c>
      <c r="F992" s="156">
        <f>费率表!$F$15</f>
        <v>0.09</v>
      </c>
      <c r="G992" s="329">
        <f t="shared" si="107"/>
        <v>5358.31889094404</v>
      </c>
    </row>
    <row r="993" customHeight="1" spans="1:7">
      <c r="A993" s="314"/>
      <c r="B993" s="327" t="s">
        <v>907</v>
      </c>
      <c r="C993" s="328"/>
      <c r="D993" s="317"/>
      <c r="E993" s="326">
        <f>G966+G986+G987+G988+G992</f>
        <v>64895.1954569889</v>
      </c>
      <c r="F993" s="156">
        <f>费率表!$I$19</f>
        <v>0.03</v>
      </c>
      <c r="G993" s="329">
        <f t="shared" si="107"/>
        <v>1946.85586370967</v>
      </c>
    </row>
    <row r="994" customHeight="1" spans="1:7">
      <c r="A994" s="335"/>
      <c r="B994" s="336" t="s">
        <v>908</v>
      </c>
      <c r="C994" s="337"/>
      <c r="D994" s="338"/>
      <c r="E994" s="339"/>
      <c r="F994" s="161"/>
      <c r="G994" s="340">
        <f>G966+G986+G987+G988+G992+G993</f>
        <v>66842.0513206986</v>
      </c>
    </row>
    <row r="995" customHeight="1" spans="1:7">
      <c r="A995" s="227"/>
      <c r="B995" s="227"/>
      <c r="C995" s="227"/>
      <c r="D995" s="227"/>
      <c r="E995" s="228"/>
      <c r="F995" s="123"/>
      <c r="G995" s="228"/>
    </row>
    <row r="996" customHeight="1" spans="1:7">
      <c r="A996" s="126" t="s">
        <v>868</v>
      </c>
      <c r="B996" s="126"/>
      <c r="C996" s="126"/>
      <c r="D996" s="126"/>
      <c r="E996" s="126"/>
      <c r="F996" s="126"/>
      <c r="G996" s="126"/>
    </row>
    <row r="997" customHeight="1" spans="1:7">
      <c r="A997" s="309" t="s">
        <v>869</v>
      </c>
      <c r="B997" s="310"/>
      <c r="C997" s="310" t="s">
        <v>142</v>
      </c>
      <c r="D997" s="310" t="s">
        <v>870</v>
      </c>
      <c r="E997" s="343" t="s">
        <v>995</v>
      </c>
      <c r="F997" s="343"/>
      <c r="G997" s="344"/>
    </row>
    <row r="998" customHeight="1" spans="1:7">
      <c r="A998" s="314" t="s">
        <v>507</v>
      </c>
      <c r="B998" s="315"/>
      <c r="C998" s="316" t="s">
        <v>996</v>
      </c>
      <c r="D998" s="316"/>
      <c r="E998" s="316"/>
      <c r="F998" s="61" t="s">
        <v>873</v>
      </c>
      <c r="G998" s="318" t="s">
        <v>874</v>
      </c>
    </row>
    <row r="999" customHeight="1" spans="1:7">
      <c r="A999" s="345" t="s">
        <v>997</v>
      </c>
      <c r="B999" s="316"/>
      <c r="C999" s="316"/>
      <c r="D999" s="316"/>
      <c r="E999" s="316"/>
      <c r="F999" s="316"/>
      <c r="G999" s="346"/>
    </row>
    <row r="1000" customHeight="1" spans="1:7">
      <c r="A1000" s="322" t="s">
        <v>998</v>
      </c>
      <c r="B1000" s="323"/>
      <c r="C1000" s="324"/>
      <c r="D1000" s="324"/>
      <c r="E1000" s="324"/>
      <c r="F1000" s="324"/>
      <c r="G1000" s="325"/>
    </row>
    <row r="1001" customHeight="1" spans="1:7">
      <c r="A1001" s="314" t="s">
        <v>34</v>
      </c>
      <c r="B1001" s="317" t="s">
        <v>761</v>
      </c>
      <c r="C1001" s="317"/>
      <c r="D1001" s="317" t="s">
        <v>60</v>
      </c>
      <c r="E1001" s="326" t="s">
        <v>877</v>
      </c>
      <c r="F1001" s="61" t="s">
        <v>878</v>
      </c>
      <c r="G1001" s="318" t="s">
        <v>879</v>
      </c>
    </row>
    <row r="1002" customHeight="1" spans="1:7">
      <c r="A1002" s="314" t="s">
        <v>8</v>
      </c>
      <c r="B1002" s="347" t="s">
        <v>880</v>
      </c>
      <c r="C1002" s="347"/>
      <c r="D1002" s="317"/>
      <c r="E1002" s="326"/>
      <c r="F1002" s="147"/>
      <c r="G1002" s="329">
        <f>G1003+G1022</f>
        <v>21275.1366080566</v>
      </c>
    </row>
    <row r="1003" customHeight="1" spans="1:7">
      <c r="A1003" s="314" t="s">
        <v>881</v>
      </c>
      <c r="B1003" s="347" t="s">
        <v>882</v>
      </c>
      <c r="C1003" s="347"/>
      <c r="D1003" s="317"/>
      <c r="E1003" s="326"/>
      <c r="F1003" s="147"/>
      <c r="G1003" s="329">
        <f>G1004+G1006+G1015+G1020</f>
        <v>19995.4291429104</v>
      </c>
    </row>
    <row r="1004" customHeight="1" spans="1:7">
      <c r="A1004" s="314" t="s">
        <v>17</v>
      </c>
      <c r="B1004" s="347" t="s">
        <v>510</v>
      </c>
      <c r="C1004" s="347"/>
      <c r="D1004" s="317"/>
      <c r="E1004" s="326"/>
      <c r="F1004" s="147"/>
      <c r="G1004" s="329">
        <f>SUM(G1005:G1005)</f>
        <v>9130.32</v>
      </c>
    </row>
    <row r="1005" customHeight="1" spans="1:7">
      <c r="A1005" s="314"/>
      <c r="B1005" s="327" t="s">
        <v>704</v>
      </c>
      <c r="C1005" s="328"/>
      <c r="D1005" s="317" t="s">
        <v>705</v>
      </c>
      <c r="E1005" s="423">
        <v>1127.2</v>
      </c>
      <c r="F1005" s="423">
        <f>主要材料预算!D19</f>
        <v>8.1</v>
      </c>
      <c r="G1005" s="329">
        <f>E1005*F1005</f>
        <v>9130.32</v>
      </c>
    </row>
    <row r="1006" customHeight="1" spans="1:7">
      <c r="A1006" s="314" t="s">
        <v>19</v>
      </c>
      <c r="B1006" s="347" t="s">
        <v>511</v>
      </c>
      <c r="C1006" s="347"/>
      <c r="D1006" s="317"/>
      <c r="E1006" s="423"/>
      <c r="F1006" s="423"/>
      <c r="G1006" s="329">
        <f>SUM(G1007:G1014)</f>
        <v>5277.0542217834</v>
      </c>
    </row>
    <row r="1007" customHeight="1" spans="1:7">
      <c r="A1007" s="314"/>
      <c r="B1007" s="347" t="s">
        <v>883</v>
      </c>
      <c r="C1007" s="347"/>
      <c r="D1007" s="317" t="s">
        <v>70</v>
      </c>
      <c r="E1007" s="326">
        <v>0.82</v>
      </c>
      <c r="F1007" s="423">
        <f>主要材料预算!L6</f>
        <v>2209.125</v>
      </c>
      <c r="G1007" s="329">
        <f>E1007*F1007</f>
        <v>1811.4825</v>
      </c>
    </row>
    <row r="1008" customHeight="1" spans="1:7">
      <c r="A1008" s="314"/>
      <c r="B1008" s="347" t="s">
        <v>999</v>
      </c>
      <c r="C1008" s="347"/>
      <c r="D1008" s="317" t="s">
        <v>695</v>
      </c>
      <c r="E1008" s="326">
        <v>264.3</v>
      </c>
      <c r="F1008" s="423">
        <v>4.44</v>
      </c>
      <c r="G1008" s="329">
        <f t="shared" ref="G1008:G1013" si="108">E1008*F1008</f>
        <v>1173.492</v>
      </c>
    </row>
    <row r="1009" customHeight="1" spans="1:7">
      <c r="A1009" s="314"/>
      <c r="B1009" s="347" t="s">
        <v>890</v>
      </c>
      <c r="C1009" s="347"/>
      <c r="D1009" s="317" t="s">
        <v>695</v>
      </c>
      <c r="E1009" s="326">
        <v>153.1</v>
      </c>
      <c r="F1009" s="147">
        <v>5.97</v>
      </c>
      <c r="G1009" s="329">
        <f t="shared" si="108"/>
        <v>914.007</v>
      </c>
    </row>
    <row r="1010" customHeight="1" spans="1:7">
      <c r="A1010" s="314"/>
      <c r="B1010" s="466" t="s">
        <v>1000</v>
      </c>
      <c r="C1010" s="466"/>
      <c r="D1010" s="467" t="s">
        <v>1001</v>
      </c>
      <c r="E1010" s="468">
        <v>100</v>
      </c>
      <c r="F1010" s="469">
        <v>0</v>
      </c>
      <c r="G1010" s="470">
        <f t="shared" si="108"/>
        <v>0</v>
      </c>
    </row>
    <row r="1011" customHeight="1" spans="1:7">
      <c r="A1011" s="314"/>
      <c r="B1011" s="347" t="s">
        <v>918</v>
      </c>
      <c r="C1011" s="347"/>
      <c r="D1011" s="317" t="s">
        <v>70</v>
      </c>
      <c r="E1011" s="326">
        <v>6.4</v>
      </c>
      <c r="F1011" s="147">
        <f>混凝土单价计算表!M5</f>
        <v>161.3078462</v>
      </c>
      <c r="G1011" s="329">
        <f t="shared" si="108"/>
        <v>1032.37021568</v>
      </c>
    </row>
    <row r="1012" customHeight="1" spans="1:7">
      <c r="A1012" s="314"/>
      <c r="B1012" s="347" t="s">
        <v>1002</v>
      </c>
      <c r="C1012" s="347"/>
      <c r="D1012" s="317" t="s">
        <v>70</v>
      </c>
      <c r="E1012" s="326">
        <v>2.3</v>
      </c>
      <c r="F1012" s="147">
        <f>混凝土单价计算表!M12</f>
        <v>125.89935</v>
      </c>
      <c r="G1012" s="329">
        <f t="shared" si="108"/>
        <v>289.568505</v>
      </c>
    </row>
    <row r="1013" customHeight="1" spans="1:7">
      <c r="A1013" s="314"/>
      <c r="B1013" s="347" t="s">
        <v>892</v>
      </c>
      <c r="C1013" s="347"/>
      <c r="D1013" s="317" t="s">
        <v>70</v>
      </c>
      <c r="E1013" s="326">
        <v>7.2</v>
      </c>
      <c r="F1013" s="147">
        <f>主要材料预算!D16</f>
        <v>4.15</v>
      </c>
      <c r="G1013" s="329">
        <f t="shared" si="108"/>
        <v>29.88</v>
      </c>
    </row>
    <row r="1014" customHeight="1" spans="1:7">
      <c r="A1014" s="314"/>
      <c r="B1014" s="347" t="s">
        <v>893</v>
      </c>
      <c r="C1014" s="347"/>
      <c r="D1014" s="317" t="s">
        <v>894</v>
      </c>
      <c r="E1014" s="151">
        <v>0.5</v>
      </c>
      <c r="F1014" s="147">
        <f>SUM(G1007:G1013)</f>
        <v>5250.80022068</v>
      </c>
      <c r="G1014" s="329">
        <f>E1014*F1014/100</f>
        <v>26.2540011034</v>
      </c>
    </row>
    <row r="1015" customHeight="1" spans="1:7">
      <c r="A1015" s="314" t="s">
        <v>21</v>
      </c>
      <c r="B1015" s="347" t="s">
        <v>895</v>
      </c>
      <c r="C1015" s="347"/>
      <c r="D1015" s="317"/>
      <c r="E1015" s="147"/>
      <c r="F1015" s="147"/>
      <c r="G1015" s="329">
        <f>SUM(G1016:G1019)</f>
        <v>2654.92655446111</v>
      </c>
    </row>
    <row r="1016" customHeight="1" spans="1:7">
      <c r="A1016" s="314"/>
      <c r="B1016" s="347" t="s">
        <v>898</v>
      </c>
      <c r="C1016" s="347"/>
      <c r="D1016" s="317" t="s">
        <v>896</v>
      </c>
      <c r="E1016" s="147">
        <v>82.5</v>
      </c>
      <c r="F1016" s="147">
        <f>施工机械台时费!E58</f>
        <v>31.1021858795373</v>
      </c>
      <c r="G1016" s="329">
        <f t="shared" ref="G1016:G1018" si="109">E1016*F1016</f>
        <v>2565.93033506183</v>
      </c>
    </row>
    <row r="1017" customHeight="1" spans="1:7">
      <c r="A1017" s="314"/>
      <c r="B1017" s="347" t="s">
        <v>899</v>
      </c>
      <c r="C1017" s="347"/>
      <c r="D1017" s="317" t="s">
        <v>896</v>
      </c>
      <c r="E1017" s="147">
        <v>1.57</v>
      </c>
      <c r="F1017" s="147">
        <f>施工机械台时费!E21</f>
        <v>37.4199521340247</v>
      </c>
      <c r="G1017" s="329">
        <f t="shared" si="109"/>
        <v>58.7493248504188</v>
      </c>
    </row>
    <row r="1018" customHeight="1" spans="1:7">
      <c r="A1018" s="314"/>
      <c r="B1018" s="347" t="s">
        <v>901</v>
      </c>
      <c r="C1018" s="347"/>
      <c r="D1018" s="317" t="s">
        <v>896</v>
      </c>
      <c r="E1018" s="147">
        <v>4.87</v>
      </c>
      <c r="F1018" s="147">
        <f>施工机械台时费!E36</f>
        <v>0.813242919824491</v>
      </c>
      <c r="G1018" s="329">
        <f t="shared" si="109"/>
        <v>3.96049301954527</v>
      </c>
    </row>
    <row r="1019" customHeight="1" spans="1:7">
      <c r="A1019" s="314"/>
      <c r="B1019" s="347" t="s">
        <v>902</v>
      </c>
      <c r="C1019" s="347"/>
      <c r="D1019" s="317" t="s">
        <v>894</v>
      </c>
      <c r="E1019" s="152">
        <v>1</v>
      </c>
      <c r="F1019" s="147">
        <f>SUM(G1016:G1018)</f>
        <v>2628.64015293179</v>
      </c>
      <c r="G1019" s="329">
        <f>E1019*F1019/100</f>
        <v>26.2864015293179</v>
      </c>
    </row>
    <row r="1020" customHeight="1" spans="1:7">
      <c r="A1020" s="314" t="s">
        <v>23</v>
      </c>
      <c r="B1020" s="347" t="s">
        <v>513</v>
      </c>
      <c r="C1020" s="347"/>
      <c r="D1020" s="317"/>
      <c r="E1020" s="147"/>
      <c r="F1020" s="147"/>
      <c r="G1020" s="329">
        <f>SUM(G1021:G1021)</f>
        <v>2933.12836666586</v>
      </c>
    </row>
    <row r="1021" customHeight="1" spans="1:7">
      <c r="A1021" s="314"/>
      <c r="B1021" s="466" t="s">
        <v>1003</v>
      </c>
      <c r="C1021" s="466"/>
      <c r="D1021" s="467" t="s">
        <v>1001</v>
      </c>
      <c r="E1021" s="469">
        <v>100</v>
      </c>
      <c r="F1021" s="469">
        <f>G1039/100</f>
        <v>29.3312836666586</v>
      </c>
      <c r="G1021" s="470">
        <f t="shared" ref="G1021:G1024" si="110">E1021*F1021</f>
        <v>2933.12836666586</v>
      </c>
    </row>
    <row r="1022" customHeight="1" spans="1:7">
      <c r="A1022" s="314" t="s">
        <v>905</v>
      </c>
      <c r="B1022" s="347" t="s">
        <v>514</v>
      </c>
      <c r="C1022" s="347"/>
      <c r="D1022" s="317"/>
      <c r="E1022" s="332">
        <f>G1003</f>
        <v>19995.4291429104</v>
      </c>
      <c r="F1022" s="155">
        <f>费率表!$F$12</f>
        <v>0.064</v>
      </c>
      <c r="G1022" s="329">
        <f t="shared" si="110"/>
        <v>1279.70746514626</v>
      </c>
    </row>
    <row r="1023" customHeight="1" spans="1:7">
      <c r="A1023" s="314" t="s">
        <v>10</v>
      </c>
      <c r="B1023" s="347" t="s">
        <v>770</v>
      </c>
      <c r="C1023" s="347"/>
      <c r="D1023" s="317"/>
      <c r="E1023" s="326">
        <f>G1002</f>
        <v>21275.1366080566</v>
      </c>
      <c r="F1023" s="155">
        <f>费率表!$F$13</f>
        <v>0.085</v>
      </c>
      <c r="G1023" s="329">
        <f t="shared" si="110"/>
        <v>1808.38661168481</v>
      </c>
    </row>
    <row r="1024" customHeight="1" spans="1:7">
      <c r="A1024" s="314" t="s">
        <v>12</v>
      </c>
      <c r="B1024" s="347" t="s">
        <v>771</v>
      </c>
      <c r="C1024" s="347"/>
      <c r="D1024" s="317"/>
      <c r="E1024" s="326">
        <f>G1002+G1023</f>
        <v>23083.5232197415</v>
      </c>
      <c r="F1024" s="156">
        <f>费率表!$F$14</f>
        <v>0.07</v>
      </c>
      <c r="G1024" s="329">
        <f t="shared" si="110"/>
        <v>1615.8466253819</v>
      </c>
    </row>
    <row r="1025" customHeight="1" spans="1:7">
      <c r="A1025" s="314" t="s">
        <v>15</v>
      </c>
      <c r="B1025" s="347" t="s">
        <v>517</v>
      </c>
      <c r="C1025" s="347"/>
      <c r="D1025" s="317"/>
      <c r="E1025" s="326"/>
      <c r="F1025" s="157"/>
      <c r="G1025" s="329">
        <f>SUM(G1026:G1028)</f>
        <v>420.474234161599</v>
      </c>
    </row>
    <row r="1026" customHeight="1" spans="1:7">
      <c r="A1026" s="314"/>
      <c r="B1026" s="347" t="s">
        <v>729</v>
      </c>
      <c r="C1026" s="347"/>
      <c r="D1026" s="317" t="s">
        <v>204</v>
      </c>
      <c r="E1026" s="326">
        <f>E1011*混凝土单价计算表!E5+混凝土!E1012*混凝土单价计算表!E12</f>
        <v>1.985084336</v>
      </c>
      <c r="F1026" s="438">
        <f>主要材料预算!N5</f>
        <v>139.17214</v>
      </c>
      <c r="G1026" s="329">
        <f t="shared" ref="G1026:G1030" si="111">E1026*F1026</f>
        <v>276.268435121599</v>
      </c>
    </row>
    <row r="1027" customHeight="1" spans="1:7">
      <c r="A1027" s="314"/>
      <c r="B1027" s="347" t="s">
        <v>684</v>
      </c>
      <c r="C1027" s="347"/>
      <c r="D1027" s="317" t="s">
        <v>70</v>
      </c>
      <c r="E1027" s="326"/>
      <c r="F1027" s="147"/>
      <c r="G1027" s="329">
        <f t="shared" si="111"/>
        <v>0</v>
      </c>
    </row>
    <row r="1028" customHeight="1" spans="1:7">
      <c r="A1028" s="314"/>
      <c r="B1028" s="347" t="s">
        <v>687</v>
      </c>
      <c r="C1028" s="347"/>
      <c r="D1028" s="317" t="s">
        <v>70</v>
      </c>
      <c r="E1028" s="326">
        <f>E1011*混凝土单价计算表!I5</f>
        <v>5.3824</v>
      </c>
      <c r="F1028" s="438">
        <f>主要材料预算!N9</f>
        <v>26.7921</v>
      </c>
      <c r="G1028" s="329">
        <f t="shared" si="111"/>
        <v>144.20579904</v>
      </c>
    </row>
    <row r="1029" customHeight="1" spans="1:7">
      <c r="A1029" s="314" t="s">
        <v>906</v>
      </c>
      <c r="B1029" s="347" t="s">
        <v>772</v>
      </c>
      <c r="C1029" s="347"/>
      <c r="D1029" s="317"/>
      <c r="E1029" s="326">
        <f>G1002+G1023++G1024+G1025</f>
        <v>25119.844079285</v>
      </c>
      <c r="F1029" s="156">
        <f>费率表!$F$15</f>
        <v>0.09</v>
      </c>
      <c r="G1029" s="329">
        <f t="shared" si="111"/>
        <v>2260.78596713565</v>
      </c>
    </row>
    <row r="1030" customHeight="1" spans="1:7">
      <c r="A1030" s="314"/>
      <c r="B1030" s="347" t="s">
        <v>907</v>
      </c>
      <c r="C1030" s="347"/>
      <c r="D1030" s="317"/>
      <c r="E1030" s="326">
        <f>G1002+G1023+G1024+G1025+G1029</f>
        <v>27380.6300464206</v>
      </c>
      <c r="F1030" s="156">
        <f>费率表!$I$19</f>
        <v>0.03</v>
      </c>
      <c r="G1030" s="329">
        <f t="shared" si="111"/>
        <v>821.418901392618</v>
      </c>
    </row>
    <row r="1031" customHeight="1" spans="1:7">
      <c r="A1031" s="335"/>
      <c r="B1031" s="338" t="s">
        <v>908</v>
      </c>
      <c r="C1031" s="338"/>
      <c r="D1031" s="338"/>
      <c r="E1031" s="339"/>
      <c r="F1031" s="161"/>
      <c r="G1031" s="340">
        <f>G1002+G1023+G1024+G1025+G1029+G1030</f>
        <v>28202.0489478132</v>
      </c>
    </row>
    <row r="1032" customHeight="1" spans="1:7">
      <c r="A1032" s="227"/>
      <c r="B1032" s="227"/>
      <c r="C1032" s="227"/>
      <c r="D1032" s="227"/>
      <c r="E1032" s="228"/>
      <c r="F1032" s="123"/>
      <c r="G1032" s="228"/>
    </row>
    <row r="1033" customHeight="1" spans="1:7">
      <c r="A1033" s="126" t="s">
        <v>868</v>
      </c>
      <c r="B1033" s="126"/>
      <c r="C1033" s="126"/>
      <c r="D1033" s="126"/>
      <c r="E1033" s="126"/>
      <c r="F1033" s="126"/>
      <c r="G1033" s="126"/>
    </row>
    <row r="1034" customHeight="1" spans="1:7">
      <c r="A1034" s="309" t="s">
        <v>869</v>
      </c>
      <c r="B1034" s="310"/>
      <c r="C1034" s="310" t="s">
        <v>148</v>
      </c>
      <c r="D1034" s="310" t="s">
        <v>870</v>
      </c>
      <c r="E1034" s="343" t="s">
        <v>1004</v>
      </c>
      <c r="F1034" s="343"/>
      <c r="G1034" s="344"/>
    </row>
    <row r="1035" customHeight="1" spans="1:7">
      <c r="A1035" s="314" t="s">
        <v>507</v>
      </c>
      <c r="B1035" s="315"/>
      <c r="C1035" s="316" t="s">
        <v>1005</v>
      </c>
      <c r="D1035" s="316"/>
      <c r="E1035" s="316"/>
      <c r="F1035" s="61" t="s">
        <v>873</v>
      </c>
      <c r="G1035" s="318" t="s">
        <v>874</v>
      </c>
    </row>
    <row r="1036" customHeight="1" spans="1:7">
      <c r="A1036" s="345" t="s">
        <v>1006</v>
      </c>
      <c r="B1036" s="316"/>
      <c r="C1036" s="316"/>
      <c r="D1036" s="316"/>
      <c r="E1036" s="316"/>
      <c r="F1036" s="316"/>
      <c r="G1036" s="346"/>
    </row>
    <row r="1037" customHeight="1" spans="1:7">
      <c r="A1037" s="322" t="s">
        <v>1007</v>
      </c>
      <c r="B1037" s="323"/>
      <c r="C1037" s="324"/>
      <c r="D1037" s="324"/>
      <c r="E1037" s="324"/>
      <c r="F1037" s="324"/>
      <c r="G1037" s="325"/>
    </row>
    <row r="1038" customHeight="1" spans="1:7">
      <c r="A1038" s="314" t="s">
        <v>34</v>
      </c>
      <c r="B1038" s="317" t="s">
        <v>761</v>
      </c>
      <c r="C1038" s="317"/>
      <c r="D1038" s="317" t="s">
        <v>60</v>
      </c>
      <c r="E1038" s="326" t="s">
        <v>877</v>
      </c>
      <c r="F1038" s="61" t="s">
        <v>878</v>
      </c>
      <c r="G1038" s="318" t="s">
        <v>879</v>
      </c>
    </row>
    <row r="1039" customHeight="1" spans="1:7">
      <c r="A1039" s="314" t="s">
        <v>8</v>
      </c>
      <c r="B1039" s="347" t="s">
        <v>880</v>
      </c>
      <c r="C1039" s="347"/>
      <c r="D1039" s="317"/>
      <c r="E1039" s="326"/>
      <c r="F1039" s="147"/>
      <c r="G1039" s="329">
        <f>G1040+G1047</f>
        <v>2933.12836666586</v>
      </c>
    </row>
    <row r="1040" customHeight="1" spans="1:7">
      <c r="A1040" s="314" t="s">
        <v>881</v>
      </c>
      <c r="B1040" s="347" t="s">
        <v>882</v>
      </c>
      <c r="C1040" s="347"/>
      <c r="D1040" s="317"/>
      <c r="E1040" s="326"/>
      <c r="F1040" s="147"/>
      <c r="G1040" s="329">
        <f>G1041+G1043+G1045</f>
        <v>2756.69959273107</v>
      </c>
    </row>
    <row r="1041" customHeight="1" spans="1:7">
      <c r="A1041" s="314" t="s">
        <v>17</v>
      </c>
      <c r="B1041" s="347" t="s">
        <v>510</v>
      </c>
      <c r="C1041" s="347"/>
      <c r="D1041" s="317"/>
      <c r="E1041" s="326"/>
      <c r="F1041" s="147"/>
      <c r="G1041" s="329">
        <f>SUM(G1042:G1042)</f>
        <v>1018.982</v>
      </c>
    </row>
    <row r="1042" customHeight="1" spans="1:7">
      <c r="A1042" s="314"/>
      <c r="B1042" s="327" t="s">
        <v>706</v>
      </c>
      <c r="C1042" s="328"/>
      <c r="D1042" s="317" t="s">
        <v>705</v>
      </c>
      <c r="E1042" s="423">
        <v>176.6</v>
      </c>
      <c r="F1042" s="423">
        <f>主要材料预算!$D$20</f>
        <v>5.77</v>
      </c>
      <c r="G1042" s="329">
        <f t="shared" ref="G1042:G1049" si="112">E1042*F1042</f>
        <v>1018.982</v>
      </c>
    </row>
    <row r="1043" customHeight="1" spans="1:7">
      <c r="A1043" s="314" t="s">
        <v>19</v>
      </c>
      <c r="B1043" s="347" t="s">
        <v>511</v>
      </c>
      <c r="C1043" s="347"/>
      <c r="D1043" s="317"/>
      <c r="E1043" s="423"/>
      <c r="F1043" s="423"/>
      <c r="G1043" s="329">
        <f>G1044</f>
        <v>80.292221147507</v>
      </c>
    </row>
    <row r="1044" customHeight="1" spans="1:7">
      <c r="A1044" s="314"/>
      <c r="B1044" s="347" t="s">
        <v>1008</v>
      </c>
      <c r="C1044" s="347"/>
      <c r="D1044" s="317" t="s">
        <v>894</v>
      </c>
      <c r="E1044" s="151">
        <v>3</v>
      </c>
      <c r="F1044" s="423">
        <f>G1041+G1045</f>
        <v>2676.40737158357</v>
      </c>
      <c r="G1044" s="329">
        <f>E1044*F1044/100</f>
        <v>80.292221147507</v>
      </c>
    </row>
    <row r="1045" customHeight="1" spans="1:7">
      <c r="A1045" s="314" t="s">
        <v>21</v>
      </c>
      <c r="B1045" s="347" t="s">
        <v>895</v>
      </c>
      <c r="C1045" s="347"/>
      <c r="D1045" s="317"/>
      <c r="E1045" s="147"/>
      <c r="F1045" s="423"/>
      <c r="G1045" s="329">
        <f>SUM(G1046:G1046)</f>
        <v>1657.42537158357</v>
      </c>
    </row>
    <row r="1046" customHeight="1" spans="1:7">
      <c r="A1046" s="314"/>
      <c r="B1046" s="347" t="s">
        <v>1009</v>
      </c>
      <c r="C1046" s="347"/>
      <c r="D1046" s="317" t="s">
        <v>896</v>
      </c>
      <c r="E1046" s="147">
        <v>104.16</v>
      </c>
      <c r="F1046" s="147">
        <f>施工机械台时费!$E$14</f>
        <v>15.9123019545273</v>
      </c>
      <c r="G1046" s="329">
        <f t="shared" si="112"/>
        <v>1657.42537158357</v>
      </c>
    </row>
    <row r="1047" customHeight="1" spans="1:7">
      <c r="A1047" s="314" t="s">
        <v>905</v>
      </c>
      <c r="B1047" s="347" t="s">
        <v>514</v>
      </c>
      <c r="C1047" s="347"/>
      <c r="D1047" s="317"/>
      <c r="E1047" s="332">
        <f>G1040</f>
        <v>2756.69959273107</v>
      </c>
      <c r="F1047" s="155">
        <f>费率表!$F$12</f>
        <v>0.064</v>
      </c>
      <c r="G1047" s="329">
        <f t="shared" si="112"/>
        <v>176.428773934789</v>
      </c>
    </row>
    <row r="1048" customHeight="1" spans="1:7">
      <c r="A1048" s="314" t="s">
        <v>10</v>
      </c>
      <c r="B1048" s="347" t="s">
        <v>770</v>
      </c>
      <c r="C1048" s="347"/>
      <c r="D1048" s="317"/>
      <c r="E1048" s="326">
        <f>G1039</f>
        <v>2933.12836666586</v>
      </c>
      <c r="F1048" s="155">
        <f>费率表!$F$13</f>
        <v>0.085</v>
      </c>
      <c r="G1048" s="329">
        <f t="shared" si="112"/>
        <v>249.315911166598</v>
      </c>
    </row>
    <row r="1049" customHeight="1" spans="1:7">
      <c r="A1049" s="314" t="s">
        <v>12</v>
      </c>
      <c r="B1049" s="347" t="s">
        <v>771</v>
      </c>
      <c r="C1049" s="347"/>
      <c r="D1049" s="317"/>
      <c r="E1049" s="326">
        <f>G1039+G1048</f>
        <v>3182.44427783246</v>
      </c>
      <c r="F1049" s="156">
        <f>费率表!$F$14</f>
        <v>0.07</v>
      </c>
      <c r="G1049" s="329">
        <f t="shared" si="112"/>
        <v>222.771099448272</v>
      </c>
    </row>
    <row r="1050" customHeight="1" spans="1:7">
      <c r="A1050" s="314" t="s">
        <v>15</v>
      </c>
      <c r="B1050" s="347" t="s">
        <v>517</v>
      </c>
      <c r="C1050" s="347"/>
      <c r="D1050" s="317"/>
      <c r="E1050" s="326"/>
      <c r="F1050" s="157"/>
      <c r="G1050" s="329">
        <f>SUM(G1051:G1051)</f>
        <v>1073.34329142857</v>
      </c>
    </row>
    <row r="1051" customHeight="1" spans="1:7">
      <c r="A1051" s="314"/>
      <c r="B1051" s="347" t="s">
        <v>694</v>
      </c>
      <c r="C1051" s="347"/>
      <c r="D1051" s="317" t="s">
        <v>695</v>
      </c>
      <c r="E1051" s="326">
        <f>E1046*施工机械台时费!$L$14</f>
        <v>177.072</v>
      </c>
      <c r="F1051" s="438">
        <f>主要材料预算!$N$13</f>
        <v>6.0616206482593</v>
      </c>
      <c r="G1051" s="329">
        <f t="shared" ref="G1051:G1053" si="113">E1051*F1051</f>
        <v>1073.34329142857</v>
      </c>
    </row>
    <row r="1052" customHeight="1" spans="1:7">
      <c r="A1052" s="314" t="s">
        <v>906</v>
      </c>
      <c r="B1052" s="347" t="s">
        <v>772</v>
      </c>
      <c r="C1052" s="347"/>
      <c r="D1052" s="317"/>
      <c r="E1052" s="326">
        <f>G1039+G1048++G1049+G1050</f>
        <v>4478.5586687093</v>
      </c>
      <c r="F1052" s="156">
        <f>费率表!$F$15</f>
        <v>0.09</v>
      </c>
      <c r="G1052" s="329">
        <f t="shared" si="113"/>
        <v>403.070280183837</v>
      </c>
    </row>
    <row r="1053" customHeight="1" spans="1:7">
      <c r="A1053" s="314"/>
      <c r="B1053" s="347" t="s">
        <v>907</v>
      </c>
      <c r="C1053" s="347"/>
      <c r="D1053" s="317"/>
      <c r="E1053" s="326">
        <f>G1039+G1048+G1049+G1050+G1052</f>
        <v>4881.62894889314</v>
      </c>
      <c r="F1053" s="156">
        <f>费率表!$I$19</f>
        <v>0.03</v>
      </c>
      <c r="G1053" s="329">
        <f t="shared" si="113"/>
        <v>146.448868466794</v>
      </c>
    </row>
    <row r="1054" customHeight="1" spans="1:7">
      <c r="A1054" s="335"/>
      <c r="B1054" s="338" t="s">
        <v>908</v>
      </c>
      <c r="C1054" s="338"/>
      <c r="D1054" s="338"/>
      <c r="E1054" s="339"/>
      <c r="F1054" s="161"/>
      <c r="G1054" s="340">
        <f>G1039+G1048+G1049+G1050+G1052+G1053</f>
        <v>5028.07781735993</v>
      </c>
    </row>
    <row r="1055" customHeight="1" spans="1:7">
      <c r="A1055" s="227"/>
      <c r="B1055" s="227"/>
      <c r="C1055" s="227"/>
      <c r="D1055" s="227"/>
      <c r="E1055" s="228"/>
      <c r="F1055" s="123"/>
      <c r="G1055" s="228"/>
    </row>
    <row r="1056" customHeight="1" spans="1:7">
      <c r="A1056" s="471" t="s">
        <v>868</v>
      </c>
      <c r="B1056" s="471"/>
      <c r="C1056" s="471"/>
      <c r="D1056" s="471"/>
      <c r="E1056" s="471"/>
      <c r="F1056" s="471"/>
      <c r="G1056" s="471"/>
    </row>
    <row r="1057" customHeight="1" spans="1:7">
      <c r="A1057" s="309" t="s">
        <v>869</v>
      </c>
      <c r="B1057" s="310"/>
      <c r="C1057" s="310" t="s">
        <v>148</v>
      </c>
      <c r="D1057" s="310" t="s">
        <v>870</v>
      </c>
      <c r="E1057" s="343" t="s">
        <v>1010</v>
      </c>
      <c r="F1057" s="343"/>
      <c r="G1057" s="344"/>
    </row>
    <row r="1058" customHeight="1" spans="1:7">
      <c r="A1058" s="314" t="s">
        <v>507</v>
      </c>
      <c r="B1058" s="315"/>
      <c r="C1058" s="316" t="s">
        <v>1011</v>
      </c>
      <c r="D1058" s="316"/>
      <c r="E1058" s="316"/>
      <c r="F1058" s="61" t="s">
        <v>873</v>
      </c>
      <c r="G1058" s="318" t="s">
        <v>874</v>
      </c>
    </row>
    <row r="1059" customHeight="1" spans="1:7">
      <c r="A1059" s="345" t="s">
        <v>1006</v>
      </c>
      <c r="B1059" s="316"/>
      <c r="C1059" s="316"/>
      <c r="D1059" s="316"/>
      <c r="E1059" s="316"/>
      <c r="F1059" s="316"/>
      <c r="G1059" s="346"/>
    </row>
    <row r="1060" customHeight="1" spans="1:7">
      <c r="A1060" s="322" t="s">
        <v>1007</v>
      </c>
      <c r="B1060" s="323"/>
      <c r="C1060" s="324"/>
      <c r="D1060" s="324"/>
      <c r="E1060" s="324"/>
      <c r="F1060" s="324"/>
      <c r="G1060" s="325"/>
    </row>
    <row r="1061" customHeight="1" spans="1:7">
      <c r="A1061" s="314" t="s">
        <v>34</v>
      </c>
      <c r="B1061" s="317" t="s">
        <v>761</v>
      </c>
      <c r="C1061" s="317"/>
      <c r="D1061" s="317" t="s">
        <v>60</v>
      </c>
      <c r="E1061" s="326" t="s">
        <v>877</v>
      </c>
      <c r="F1061" s="61" t="s">
        <v>878</v>
      </c>
      <c r="G1061" s="318" t="s">
        <v>879</v>
      </c>
    </row>
    <row r="1062" customHeight="1" spans="1:7">
      <c r="A1062" s="314" t="s">
        <v>8</v>
      </c>
      <c r="B1062" s="347" t="s">
        <v>880</v>
      </c>
      <c r="C1062" s="347"/>
      <c r="D1062" s="317"/>
      <c r="E1062" s="326"/>
      <c r="F1062" s="147"/>
      <c r="G1062" s="329">
        <f>G1063+G1070</f>
        <v>4251.48727949108</v>
      </c>
    </row>
    <row r="1063" customHeight="1" spans="1:7">
      <c r="A1063" s="314" t="s">
        <v>881</v>
      </c>
      <c r="B1063" s="347" t="s">
        <v>882</v>
      </c>
      <c r="C1063" s="347"/>
      <c r="D1063" s="317"/>
      <c r="E1063" s="326"/>
      <c r="F1063" s="147"/>
      <c r="G1063" s="329">
        <f>G1064+G1066+G1068</f>
        <v>3995.75872132621</v>
      </c>
    </row>
    <row r="1064" customHeight="1" spans="1:7">
      <c r="A1064" s="314" t="s">
        <v>17</v>
      </c>
      <c r="B1064" s="347" t="s">
        <v>510</v>
      </c>
      <c r="C1064" s="347"/>
      <c r="D1064" s="317"/>
      <c r="E1064" s="326"/>
      <c r="F1064" s="147"/>
      <c r="G1064" s="329">
        <f>SUM(G1065:G1065)</f>
        <v>1018.982</v>
      </c>
    </row>
    <row r="1065" customHeight="1" spans="1:7">
      <c r="A1065" s="314"/>
      <c r="B1065" s="327" t="s">
        <v>706</v>
      </c>
      <c r="C1065" s="328"/>
      <c r="D1065" s="317" t="s">
        <v>705</v>
      </c>
      <c r="E1065" s="423">
        <v>176.6</v>
      </c>
      <c r="F1065" s="423">
        <f>主要材料预算!$D$20</f>
        <v>5.77</v>
      </c>
      <c r="G1065" s="329">
        <f t="shared" ref="G1065:G1072" si="114">E1065*F1065</f>
        <v>1018.982</v>
      </c>
    </row>
    <row r="1066" customHeight="1" spans="1:7">
      <c r="A1066" s="314" t="s">
        <v>19</v>
      </c>
      <c r="B1066" s="347" t="s">
        <v>511</v>
      </c>
      <c r="C1066" s="347"/>
      <c r="D1066" s="317"/>
      <c r="E1066" s="423"/>
      <c r="F1066" s="423"/>
      <c r="G1066" s="329">
        <f>G1067</f>
        <v>116.381321980375</v>
      </c>
    </row>
    <row r="1067" customHeight="1" spans="1:7">
      <c r="A1067" s="314"/>
      <c r="B1067" s="347" t="s">
        <v>1008</v>
      </c>
      <c r="C1067" s="347"/>
      <c r="D1067" s="317" t="s">
        <v>894</v>
      </c>
      <c r="E1067" s="151">
        <v>3</v>
      </c>
      <c r="F1067" s="423">
        <f>G1064+G1068</f>
        <v>3879.37739934583</v>
      </c>
      <c r="G1067" s="329">
        <f>E1067*F1067/100</f>
        <v>116.381321980375</v>
      </c>
    </row>
    <row r="1068" customHeight="1" spans="1:7">
      <c r="A1068" s="314" t="s">
        <v>21</v>
      </c>
      <c r="B1068" s="347" t="s">
        <v>895</v>
      </c>
      <c r="C1068" s="347"/>
      <c r="D1068" s="317"/>
      <c r="E1068" s="147"/>
      <c r="F1068" s="423"/>
      <c r="G1068" s="329">
        <f>SUM(G1069:G1069)</f>
        <v>2860.39539934583</v>
      </c>
    </row>
    <row r="1069" customHeight="1" spans="1:7">
      <c r="A1069" s="314"/>
      <c r="B1069" s="347" t="s">
        <v>1009</v>
      </c>
      <c r="C1069" s="347"/>
      <c r="D1069" s="317" t="s">
        <v>896</v>
      </c>
      <c r="E1069" s="147">
        <f>104.16+12.6*6</f>
        <v>179.76</v>
      </c>
      <c r="F1069" s="147">
        <f>施工机械台时费!$E$14</f>
        <v>15.9123019545273</v>
      </c>
      <c r="G1069" s="329">
        <f t="shared" si="114"/>
        <v>2860.39539934583</v>
      </c>
    </row>
    <row r="1070" customHeight="1" spans="1:7">
      <c r="A1070" s="314" t="s">
        <v>905</v>
      </c>
      <c r="B1070" s="347" t="s">
        <v>514</v>
      </c>
      <c r="C1070" s="347"/>
      <c r="D1070" s="317"/>
      <c r="E1070" s="332">
        <f>G1063</f>
        <v>3995.75872132621</v>
      </c>
      <c r="F1070" s="155">
        <f>费率表!$F$12</f>
        <v>0.064</v>
      </c>
      <c r="G1070" s="329">
        <f t="shared" si="114"/>
        <v>255.728558164877</v>
      </c>
    </row>
    <row r="1071" customHeight="1" spans="1:7">
      <c r="A1071" s="314" t="s">
        <v>10</v>
      </c>
      <c r="B1071" s="347" t="s">
        <v>770</v>
      </c>
      <c r="C1071" s="347"/>
      <c r="D1071" s="317"/>
      <c r="E1071" s="326">
        <f>G1062</f>
        <v>4251.48727949108</v>
      </c>
      <c r="F1071" s="155">
        <f>费率表!$F$13</f>
        <v>0.085</v>
      </c>
      <c r="G1071" s="329">
        <f t="shared" si="114"/>
        <v>361.376418756742</v>
      </c>
    </row>
    <row r="1072" customHeight="1" spans="1:7">
      <c r="A1072" s="314" t="s">
        <v>12</v>
      </c>
      <c r="B1072" s="347" t="s">
        <v>771</v>
      </c>
      <c r="C1072" s="347"/>
      <c r="D1072" s="317"/>
      <c r="E1072" s="326">
        <f>G1062+G1071</f>
        <v>4612.86369824783</v>
      </c>
      <c r="F1072" s="156">
        <f>费率表!$F$14</f>
        <v>0.07</v>
      </c>
      <c r="G1072" s="329">
        <f t="shared" si="114"/>
        <v>322.900458877348</v>
      </c>
    </row>
    <row r="1073" customHeight="1" spans="1:7">
      <c r="A1073" s="314" t="s">
        <v>15</v>
      </c>
      <c r="B1073" s="347" t="s">
        <v>517</v>
      </c>
      <c r="C1073" s="347"/>
      <c r="D1073" s="317"/>
      <c r="E1073" s="326"/>
      <c r="F1073" s="157"/>
      <c r="G1073" s="329">
        <f>SUM(G1074:G1074)</f>
        <v>1852.38277714286</v>
      </c>
    </row>
    <row r="1074" customHeight="1" spans="1:7">
      <c r="A1074" s="314"/>
      <c r="B1074" s="347" t="s">
        <v>694</v>
      </c>
      <c r="C1074" s="347"/>
      <c r="D1074" s="317" t="s">
        <v>695</v>
      </c>
      <c r="E1074" s="326">
        <f>E1069*施工机械台时费!$L$14</f>
        <v>305.592</v>
      </c>
      <c r="F1074" s="438">
        <f>主要材料预算!$N$13</f>
        <v>6.0616206482593</v>
      </c>
      <c r="G1074" s="329">
        <f t="shared" ref="G1074:G1076" si="115">E1074*F1074</f>
        <v>1852.38277714286</v>
      </c>
    </row>
    <row r="1075" customHeight="1" spans="1:7">
      <c r="A1075" s="314" t="s">
        <v>906</v>
      </c>
      <c r="B1075" s="347" t="s">
        <v>772</v>
      </c>
      <c r="C1075" s="347"/>
      <c r="D1075" s="317"/>
      <c r="E1075" s="326">
        <f>G1062+G1071++G1072+G1073</f>
        <v>6788.14693426803</v>
      </c>
      <c r="F1075" s="156">
        <f>费率表!$F$15</f>
        <v>0.09</v>
      </c>
      <c r="G1075" s="329">
        <f t="shared" si="115"/>
        <v>610.933224084122</v>
      </c>
    </row>
    <row r="1076" customHeight="1" spans="1:7">
      <c r="A1076" s="314"/>
      <c r="B1076" s="347" t="s">
        <v>907</v>
      </c>
      <c r="C1076" s="347"/>
      <c r="D1076" s="317"/>
      <c r="E1076" s="326">
        <f>G1062+G1071+G1072+G1073+G1075</f>
        <v>7399.08015835215</v>
      </c>
      <c r="F1076" s="156">
        <f>费率表!$I$19</f>
        <v>0.03</v>
      </c>
      <c r="G1076" s="329">
        <f t="shared" si="115"/>
        <v>221.972404750564</v>
      </c>
    </row>
    <row r="1077" customHeight="1" spans="1:7">
      <c r="A1077" s="335"/>
      <c r="B1077" s="338" t="s">
        <v>908</v>
      </c>
      <c r="C1077" s="338"/>
      <c r="D1077" s="338"/>
      <c r="E1077" s="339"/>
      <c r="F1077" s="161"/>
      <c r="G1077" s="340">
        <f>G1062+G1071+G1072+G1073+G1075+G1076</f>
        <v>7621.05256310271</v>
      </c>
    </row>
    <row r="1078" customHeight="1" spans="1:7">
      <c r="A1078" s="227"/>
      <c r="B1078" s="227"/>
      <c r="C1078" s="227"/>
      <c r="D1078" s="227"/>
      <c r="E1078" s="228"/>
      <c r="F1078" s="123"/>
      <c r="G1078" s="228"/>
    </row>
    <row r="1079" customHeight="1" spans="1:7">
      <c r="A1079" s="227"/>
      <c r="B1079" s="227"/>
      <c r="C1079" s="227"/>
      <c r="D1079" s="227"/>
      <c r="E1079" s="228"/>
      <c r="F1079" s="123"/>
      <c r="G1079" s="228"/>
    </row>
    <row r="1080" customHeight="1" spans="1:7">
      <c r="A1080" s="227"/>
      <c r="B1080" s="227"/>
      <c r="C1080" s="227"/>
      <c r="D1080" s="227"/>
      <c r="E1080" s="228"/>
      <c r="F1080" s="123"/>
      <c r="G1080" s="228"/>
    </row>
    <row r="1081" customHeight="1" spans="1:7">
      <c r="A1081" s="227"/>
      <c r="B1081" s="227"/>
      <c r="C1081" s="227"/>
      <c r="D1081" s="227"/>
      <c r="E1081" s="228"/>
      <c r="F1081" s="123"/>
      <c r="G1081" s="228"/>
    </row>
    <row r="1082" customHeight="1" spans="1:7">
      <c r="A1082" s="227"/>
      <c r="B1082" s="227"/>
      <c r="C1082" s="227"/>
      <c r="D1082" s="227"/>
      <c r="E1082" s="228"/>
      <c r="F1082" s="123"/>
      <c r="G1082" s="228"/>
    </row>
    <row r="1083" customHeight="1" spans="1:7">
      <c r="A1083" s="227"/>
      <c r="B1083" s="227"/>
      <c r="C1083" s="227"/>
      <c r="D1083" s="227"/>
      <c r="E1083" s="228"/>
      <c r="F1083" s="123"/>
      <c r="G1083" s="228"/>
    </row>
    <row r="1084" customHeight="1" spans="1:7">
      <c r="A1084" s="126" t="s">
        <v>868</v>
      </c>
      <c r="B1084" s="126"/>
      <c r="C1084" s="126"/>
      <c r="D1084" s="126"/>
      <c r="E1084" s="126"/>
      <c r="F1084" s="126"/>
      <c r="G1084" s="126"/>
    </row>
    <row r="1085" customHeight="1" spans="1:7">
      <c r="A1085" s="309" t="s">
        <v>869</v>
      </c>
      <c r="B1085" s="310"/>
      <c r="C1085" s="310" t="s">
        <v>154</v>
      </c>
      <c r="D1085" s="310" t="s">
        <v>870</v>
      </c>
      <c r="E1085" s="343" t="s">
        <v>1012</v>
      </c>
      <c r="F1085" s="343"/>
      <c r="G1085" s="344"/>
    </row>
    <row r="1086" customHeight="1" spans="1:7">
      <c r="A1086" s="314" t="s">
        <v>507</v>
      </c>
      <c r="B1086" s="315"/>
      <c r="C1086" s="316" t="s">
        <v>1013</v>
      </c>
      <c r="D1086" s="316"/>
      <c r="E1086" s="316"/>
      <c r="F1086" s="61" t="s">
        <v>873</v>
      </c>
      <c r="G1086" s="318" t="s">
        <v>874</v>
      </c>
    </row>
    <row r="1087" customHeight="1" spans="1:7">
      <c r="A1087" s="345" t="s">
        <v>1014</v>
      </c>
      <c r="B1087" s="316"/>
      <c r="C1087" s="316"/>
      <c r="D1087" s="316"/>
      <c r="E1087" s="316"/>
      <c r="F1087" s="316"/>
      <c r="G1087" s="346"/>
    </row>
    <row r="1088" customHeight="1" spans="1:7">
      <c r="A1088" s="322" t="s">
        <v>1015</v>
      </c>
      <c r="B1088" s="323"/>
      <c r="C1088" s="324"/>
      <c r="D1088" s="324"/>
      <c r="E1088" s="324"/>
      <c r="F1088" s="324"/>
      <c r="G1088" s="325"/>
    </row>
    <row r="1089" customHeight="1" spans="1:7">
      <c r="A1089" s="314" t="s">
        <v>34</v>
      </c>
      <c r="B1089" s="317" t="s">
        <v>761</v>
      </c>
      <c r="C1089" s="317"/>
      <c r="D1089" s="317" t="s">
        <v>60</v>
      </c>
      <c r="E1089" s="326" t="s">
        <v>877</v>
      </c>
      <c r="F1089" s="61" t="s">
        <v>878</v>
      </c>
      <c r="G1089" s="318" t="s">
        <v>879</v>
      </c>
    </row>
    <row r="1090" customHeight="1" spans="1:7">
      <c r="A1090" s="314" t="s">
        <v>8</v>
      </c>
      <c r="B1090" s="347" t="s">
        <v>880</v>
      </c>
      <c r="C1090" s="347"/>
      <c r="D1090" s="317"/>
      <c r="E1090" s="326"/>
      <c r="F1090" s="147"/>
      <c r="G1090" s="329">
        <f>G1091+G1103</f>
        <v>4628.84208641423</v>
      </c>
    </row>
    <row r="1091" customHeight="1" spans="1:7">
      <c r="A1091" s="314" t="s">
        <v>881</v>
      </c>
      <c r="B1091" s="347" t="s">
        <v>882</v>
      </c>
      <c r="C1091" s="347"/>
      <c r="D1091" s="317"/>
      <c r="E1091" s="326"/>
      <c r="F1091" s="147"/>
      <c r="G1091" s="329">
        <f>G1092+G1095+G1099</f>
        <v>4350.41549475022</v>
      </c>
    </row>
    <row r="1092" customHeight="1" spans="1:7">
      <c r="A1092" s="314" t="s">
        <v>17</v>
      </c>
      <c r="B1092" s="347" t="s">
        <v>510</v>
      </c>
      <c r="C1092" s="347"/>
      <c r="D1092" s="317"/>
      <c r="E1092" s="326"/>
      <c r="F1092" s="147"/>
      <c r="G1092" s="329">
        <f>SUM(G1093:G1094)</f>
        <v>599.761</v>
      </c>
    </row>
    <row r="1093" customHeight="1" spans="1:7">
      <c r="A1093" s="314"/>
      <c r="B1093" s="327" t="s">
        <v>704</v>
      </c>
      <c r="C1093" s="328"/>
      <c r="D1093" s="317" t="s">
        <v>705</v>
      </c>
      <c r="E1093" s="423">
        <v>43.2</v>
      </c>
      <c r="F1093" s="423">
        <f>主要材料预算!D19</f>
        <v>8.1</v>
      </c>
      <c r="G1093" s="329">
        <f t="shared" ref="G1093:G1097" si="116">E1093*F1093</f>
        <v>349.92</v>
      </c>
    </row>
    <row r="1094" customHeight="1" spans="1:7">
      <c r="A1094" s="314"/>
      <c r="B1094" s="327" t="s">
        <v>706</v>
      </c>
      <c r="C1094" s="328"/>
      <c r="D1094" s="317" t="s">
        <v>705</v>
      </c>
      <c r="E1094" s="423">
        <v>43.3</v>
      </c>
      <c r="F1094" s="423">
        <f>主要材料预算!D20</f>
        <v>5.77</v>
      </c>
      <c r="G1094" s="329">
        <f t="shared" si="116"/>
        <v>249.841</v>
      </c>
    </row>
    <row r="1095" customHeight="1" spans="1:7">
      <c r="A1095" s="314" t="s">
        <v>19</v>
      </c>
      <c r="B1095" s="347" t="s">
        <v>511</v>
      </c>
      <c r="C1095" s="347"/>
      <c r="D1095" s="317"/>
      <c r="E1095" s="326"/>
      <c r="F1095" s="147"/>
      <c r="G1095" s="329">
        <f>SUM(G1096:G1098)</f>
        <v>319.621875</v>
      </c>
    </row>
    <row r="1096" customHeight="1" spans="1:7">
      <c r="A1096" s="314"/>
      <c r="B1096" s="347" t="s">
        <v>883</v>
      </c>
      <c r="C1096" s="347"/>
      <c r="D1096" s="317" t="s">
        <v>70</v>
      </c>
      <c r="E1096" s="326">
        <v>0.1</v>
      </c>
      <c r="F1096" s="423">
        <f>主要材料预算!L6</f>
        <v>2209.125</v>
      </c>
      <c r="G1096" s="329">
        <f t="shared" si="116"/>
        <v>220.9125</v>
      </c>
    </row>
    <row r="1097" customHeight="1" spans="1:7">
      <c r="A1097" s="314"/>
      <c r="B1097" s="472" t="s">
        <v>913</v>
      </c>
      <c r="C1097" s="473"/>
      <c r="D1097" s="317" t="s">
        <v>695</v>
      </c>
      <c r="E1097" s="93">
        <v>12</v>
      </c>
      <c r="F1097" s="423">
        <v>7.45</v>
      </c>
      <c r="G1097" s="329">
        <f t="shared" si="116"/>
        <v>89.4</v>
      </c>
    </row>
    <row r="1098" customHeight="1" spans="1:7">
      <c r="A1098" s="314"/>
      <c r="B1098" s="347" t="s">
        <v>893</v>
      </c>
      <c r="C1098" s="347"/>
      <c r="D1098" s="317" t="s">
        <v>894</v>
      </c>
      <c r="E1098" s="151">
        <v>3</v>
      </c>
      <c r="F1098" s="423">
        <f>SUM(G1096:G1097)</f>
        <v>310.3125</v>
      </c>
      <c r="G1098" s="329">
        <f>E1098*F1098/100</f>
        <v>9.309375</v>
      </c>
    </row>
    <row r="1099" customHeight="1" spans="1:7">
      <c r="A1099" s="314" t="s">
        <v>21</v>
      </c>
      <c r="B1099" s="347" t="s">
        <v>895</v>
      </c>
      <c r="C1099" s="347"/>
      <c r="D1099" s="317"/>
      <c r="E1099" s="147"/>
      <c r="F1099" s="147"/>
      <c r="G1099" s="329">
        <f>SUM(G1100:G1102)</f>
        <v>3431.03261975022</v>
      </c>
    </row>
    <row r="1100" customHeight="1" spans="1:7">
      <c r="A1100" s="314"/>
      <c r="B1100" s="327" t="s">
        <v>1016</v>
      </c>
      <c r="C1100" s="328"/>
      <c r="D1100" s="317" t="s">
        <v>896</v>
      </c>
      <c r="E1100" s="147">
        <v>34.74</v>
      </c>
      <c r="F1100" s="147">
        <f>施工机械台时费!E29</f>
        <v>74.4593087355405</v>
      </c>
      <c r="G1100" s="329">
        <f t="shared" ref="G1100:G1105" si="117">E1100*F1100</f>
        <v>2586.71638547268</v>
      </c>
    </row>
    <row r="1101" customHeight="1" spans="1:7">
      <c r="A1101" s="314"/>
      <c r="B1101" s="327" t="s">
        <v>897</v>
      </c>
      <c r="C1101" s="328"/>
      <c r="D1101" s="317" t="s">
        <v>896</v>
      </c>
      <c r="E1101" s="147">
        <v>13</v>
      </c>
      <c r="F1101" s="147">
        <f>施工机械台时费!E40</f>
        <v>62.3342780215397</v>
      </c>
      <c r="G1101" s="329">
        <f t="shared" si="117"/>
        <v>810.345614280016</v>
      </c>
    </row>
    <row r="1102" customHeight="1" spans="1:7">
      <c r="A1102" s="314"/>
      <c r="B1102" s="327" t="s">
        <v>902</v>
      </c>
      <c r="C1102" s="328"/>
      <c r="D1102" s="317" t="s">
        <v>894</v>
      </c>
      <c r="E1102" s="152">
        <v>1</v>
      </c>
      <c r="F1102" s="147">
        <f>SUM(G1100:G1101)</f>
        <v>3397.06199975269</v>
      </c>
      <c r="G1102" s="329">
        <f>E1102*F1102/100</f>
        <v>33.9706199975269</v>
      </c>
    </row>
    <row r="1103" customHeight="1" spans="1:7">
      <c r="A1103" s="314" t="s">
        <v>905</v>
      </c>
      <c r="B1103" s="347" t="s">
        <v>514</v>
      </c>
      <c r="C1103" s="347"/>
      <c r="D1103" s="317"/>
      <c r="E1103" s="332">
        <f>G1091</f>
        <v>4350.41549475022</v>
      </c>
      <c r="F1103" s="155">
        <f>费率表!$F$12</f>
        <v>0.064</v>
      </c>
      <c r="G1103" s="329">
        <f t="shared" si="117"/>
        <v>278.426591664014</v>
      </c>
    </row>
    <row r="1104" customHeight="1" spans="1:7">
      <c r="A1104" s="314" t="s">
        <v>10</v>
      </c>
      <c r="B1104" s="347" t="s">
        <v>770</v>
      </c>
      <c r="C1104" s="347"/>
      <c r="D1104" s="317"/>
      <c r="E1104" s="326">
        <f>G1090</f>
        <v>4628.84208641423</v>
      </c>
      <c r="F1104" s="155">
        <f>费率表!$F$13</f>
        <v>0.085</v>
      </c>
      <c r="G1104" s="329">
        <f t="shared" si="117"/>
        <v>393.45157734521</v>
      </c>
    </row>
    <row r="1105" customHeight="1" spans="1:7">
      <c r="A1105" s="314" t="s">
        <v>12</v>
      </c>
      <c r="B1105" s="347" t="s">
        <v>771</v>
      </c>
      <c r="C1105" s="347"/>
      <c r="D1105" s="317"/>
      <c r="E1105" s="326">
        <f>G1090+G1104</f>
        <v>5022.29366375944</v>
      </c>
      <c r="F1105" s="156">
        <f>费率表!$F$14</f>
        <v>0.07</v>
      </c>
      <c r="G1105" s="329">
        <f t="shared" si="117"/>
        <v>351.560556463161</v>
      </c>
    </row>
    <row r="1106" customHeight="1" spans="1:7">
      <c r="A1106" s="314" t="s">
        <v>15</v>
      </c>
      <c r="B1106" s="347" t="s">
        <v>517</v>
      </c>
      <c r="C1106" s="347"/>
      <c r="D1106" s="317"/>
      <c r="E1106" s="326"/>
      <c r="F1106" s="157"/>
      <c r="G1106" s="329">
        <f>SUM(G1107:G1108)</f>
        <v>2462.8732417527</v>
      </c>
    </row>
    <row r="1107" customHeight="1" spans="1:7">
      <c r="A1107" s="314"/>
      <c r="B1107" s="347" t="s">
        <v>694</v>
      </c>
      <c r="C1107" s="347"/>
      <c r="D1107" s="317" t="s">
        <v>695</v>
      </c>
      <c r="E1107" s="326">
        <f>E1100*8.9</f>
        <v>309.186</v>
      </c>
      <c r="F1107" s="438">
        <f>主要材料预算!N13</f>
        <v>6.0616206482593</v>
      </c>
      <c r="G1107" s="329">
        <f t="shared" ref="G1107:G1110" si="118">E1107*F1107</f>
        <v>1874.1682417527</v>
      </c>
    </row>
    <row r="1108" customHeight="1" spans="1:7">
      <c r="A1108" s="314"/>
      <c r="B1108" s="327" t="s">
        <v>696</v>
      </c>
      <c r="C1108" s="328"/>
      <c r="D1108" s="317" t="s">
        <v>695</v>
      </c>
      <c r="E1108" s="326">
        <f>E1101*5.8</f>
        <v>75.4</v>
      </c>
      <c r="F1108" s="438">
        <f>主要材料预算!N14</f>
        <v>7.8077586206897</v>
      </c>
      <c r="G1108" s="329">
        <f t="shared" si="118"/>
        <v>588.705000000003</v>
      </c>
    </row>
    <row r="1109" customHeight="1" spans="1:7">
      <c r="A1109" s="314" t="s">
        <v>906</v>
      </c>
      <c r="B1109" s="347" t="s">
        <v>772</v>
      </c>
      <c r="C1109" s="347"/>
      <c r="D1109" s="317"/>
      <c r="E1109" s="326">
        <f>G1090+G1104++G1105+G1106</f>
        <v>7836.72746197531</v>
      </c>
      <c r="F1109" s="156">
        <f>费率表!$F$15</f>
        <v>0.09</v>
      </c>
      <c r="G1109" s="329">
        <f t="shared" si="118"/>
        <v>705.305471577778</v>
      </c>
    </row>
    <row r="1110" customHeight="1" spans="1:7">
      <c r="A1110" s="314"/>
      <c r="B1110" s="347" t="s">
        <v>907</v>
      </c>
      <c r="C1110" s="347"/>
      <c r="D1110" s="317"/>
      <c r="E1110" s="326">
        <f>G1090+G1104+G1105+G1106+G1109</f>
        <v>8542.03293355308</v>
      </c>
      <c r="F1110" s="156">
        <f>费率表!$I$19</f>
        <v>0.03</v>
      </c>
      <c r="G1110" s="329">
        <f t="shared" si="118"/>
        <v>256.260988006593</v>
      </c>
    </row>
    <row r="1111" customHeight="1" spans="1:7">
      <c r="A1111" s="335"/>
      <c r="B1111" s="338" t="s">
        <v>908</v>
      </c>
      <c r="C1111" s="338"/>
      <c r="D1111" s="338"/>
      <c r="E1111" s="339"/>
      <c r="F1111" s="161"/>
      <c r="G1111" s="340">
        <f>G1090+G1104+G1105+G1106+G1109+G1110</f>
        <v>8798.29392155968</v>
      </c>
    </row>
    <row r="1112" customHeight="1" spans="1:7">
      <c r="A1112" s="227"/>
      <c r="B1112" s="227"/>
      <c r="C1112" s="227"/>
      <c r="D1112" s="227"/>
      <c r="E1112" s="228"/>
      <c r="F1112" s="123"/>
      <c r="G1112" s="228"/>
    </row>
    <row r="1113" customHeight="1" spans="1:7">
      <c r="A1113" s="126" t="s">
        <v>868</v>
      </c>
      <c r="B1113" s="126"/>
      <c r="C1113" s="126"/>
      <c r="D1113" s="126"/>
      <c r="E1113" s="126"/>
      <c r="F1113" s="126"/>
      <c r="G1113" s="126"/>
    </row>
    <row r="1114" customHeight="1" spans="1:7">
      <c r="A1114" s="309" t="s">
        <v>869</v>
      </c>
      <c r="B1114" s="310"/>
      <c r="C1114" s="310" t="s">
        <v>160</v>
      </c>
      <c r="D1114" s="310" t="s">
        <v>870</v>
      </c>
      <c r="E1114" s="343" t="s">
        <v>1017</v>
      </c>
      <c r="F1114" s="343"/>
      <c r="G1114" s="344"/>
    </row>
    <row r="1115" customHeight="1" spans="1:7">
      <c r="A1115" s="314" t="s">
        <v>507</v>
      </c>
      <c r="B1115" s="315"/>
      <c r="C1115" s="316" t="s">
        <v>1018</v>
      </c>
      <c r="D1115" s="316"/>
      <c r="E1115" s="316"/>
      <c r="F1115" s="61" t="s">
        <v>873</v>
      </c>
      <c r="G1115" s="318" t="s">
        <v>204</v>
      </c>
    </row>
    <row r="1116" customHeight="1" spans="1:7">
      <c r="A1116" s="345" t="s">
        <v>1019</v>
      </c>
      <c r="B1116" s="316"/>
      <c r="C1116" s="316"/>
      <c r="D1116" s="316"/>
      <c r="E1116" s="316"/>
      <c r="F1116" s="316"/>
      <c r="G1116" s="346"/>
    </row>
    <row r="1117" customHeight="1" spans="1:7">
      <c r="A1117" s="322" t="s">
        <v>1020</v>
      </c>
      <c r="B1117" s="323"/>
      <c r="C1117" s="324"/>
      <c r="D1117" s="324"/>
      <c r="E1117" s="324"/>
      <c r="F1117" s="324"/>
      <c r="G1117" s="325"/>
    </row>
    <row r="1118" customHeight="1" spans="1:7">
      <c r="A1118" s="314" t="s">
        <v>34</v>
      </c>
      <c r="B1118" s="317" t="s">
        <v>761</v>
      </c>
      <c r="C1118" s="317"/>
      <c r="D1118" s="317" t="s">
        <v>60</v>
      </c>
      <c r="E1118" s="326" t="s">
        <v>877</v>
      </c>
      <c r="F1118" s="61" t="s">
        <v>878</v>
      </c>
      <c r="G1118" s="318" t="s">
        <v>879</v>
      </c>
    </row>
    <row r="1119" customHeight="1" spans="1:7">
      <c r="A1119" s="314" t="s">
        <v>8</v>
      </c>
      <c r="B1119" s="347" t="s">
        <v>880</v>
      </c>
      <c r="C1119" s="347"/>
      <c r="D1119" s="317"/>
      <c r="E1119" s="326"/>
      <c r="F1119" s="147"/>
      <c r="G1119" s="329">
        <f>G1120+G1139</f>
        <v>4354.59011317646</v>
      </c>
    </row>
    <row r="1120" customHeight="1" spans="1:7">
      <c r="A1120" s="314" t="s">
        <v>881</v>
      </c>
      <c r="B1120" s="347" t="s">
        <v>882</v>
      </c>
      <c r="C1120" s="347"/>
      <c r="D1120" s="317"/>
      <c r="E1120" s="326"/>
      <c r="F1120" s="147"/>
      <c r="G1120" s="329">
        <f>G1121+G1124+G1129</f>
        <v>4092.65988080495</v>
      </c>
    </row>
    <row r="1121" customHeight="1" spans="1:7">
      <c r="A1121" s="314" t="s">
        <v>17</v>
      </c>
      <c r="B1121" s="347" t="s">
        <v>510</v>
      </c>
      <c r="C1121" s="347"/>
      <c r="D1121" s="317"/>
      <c r="E1121" s="326"/>
      <c r="F1121" s="147"/>
      <c r="G1121" s="329">
        <f>SUM(G1122:G1123)</f>
        <v>814.076</v>
      </c>
    </row>
    <row r="1122" customHeight="1" spans="1:7">
      <c r="A1122" s="314"/>
      <c r="B1122" s="327" t="s">
        <v>704</v>
      </c>
      <c r="C1122" s="328"/>
      <c r="D1122" s="317" t="s">
        <v>705</v>
      </c>
      <c r="E1122" s="423">
        <v>80.7</v>
      </c>
      <c r="F1122" s="423">
        <f>主要材料预算!$D$19</f>
        <v>8.1</v>
      </c>
      <c r="G1122" s="329">
        <f t="shared" ref="G1122:G1127" si="119">E1122*F1122</f>
        <v>653.67</v>
      </c>
    </row>
    <row r="1123" customHeight="1" spans="1:7">
      <c r="A1123" s="314"/>
      <c r="B1123" s="327" t="s">
        <v>706</v>
      </c>
      <c r="C1123" s="328"/>
      <c r="D1123" s="317" t="s">
        <v>705</v>
      </c>
      <c r="E1123" s="423">
        <v>27.8</v>
      </c>
      <c r="F1123" s="423">
        <f>主要材料预算!$D$20</f>
        <v>5.77</v>
      </c>
      <c r="G1123" s="329">
        <f t="shared" si="119"/>
        <v>160.406</v>
      </c>
    </row>
    <row r="1124" customHeight="1" spans="1:7">
      <c r="A1124" s="314" t="s">
        <v>19</v>
      </c>
      <c r="B1124" s="347" t="s">
        <v>511</v>
      </c>
      <c r="C1124" s="347"/>
      <c r="D1124" s="317"/>
      <c r="E1124" s="326"/>
      <c r="F1124" s="147"/>
      <c r="G1124" s="329">
        <f>SUM(G1125:G1128)</f>
        <v>2709.247634</v>
      </c>
    </row>
    <row r="1125" customHeight="1" spans="1:7">
      <c r="A1125" s="314"/>
      <c r="B1125" s="347" t="s">
        <v>673</v>
      </c>
      <c r="C1125" s="347"/>
      <c r="D1125" s="317" t="s">
        <v>204</v>
      </c>
      <c r="E1125" s="326">
        <v>1.02</v>
      </c>
      <c r="F1125" s="147">
        <f>主要材料预算!$M$4</f>
        <v>2560</v>
      </c>
      <c r="G1125" s="329">
        <f t="shared" si="119"/>
        <v>2611.2</v>
      </c>
    </row>
    <row r="1126" customHeight="1" spans="1:7">
      <c r="A1126" s="314"/>
      <c r="B1126" s="327" t="s">
        <v>1021</v>
      </c>
      <c r="C1126" s="328"/>
      <c r="D1126" s="317" t="s">
        <v>695</v>
      </c>
      <c r="E1126" s="93">
        <v>4</v>
      </c>
      <c r="F1126" s="147">
        <f>基础材料!$D$4</f>
        <v>7.03</v>
      </c>
      <c r="G1126" s="329">
        <f t="shared" si="119"/>
        <v>28.12</v>
      </c>
    </row>
    <row r="1127" customHeight="1" spans="1:7">
      <c r="A1127" s="314"/>
      <c r="B1127" s="327" t="s">
        <v>890</v>
      </c>
      <c r="C1127" s="328"/>
      <c r="D1127" s="317" t="s">
        <v>695</v>
      </c>
      <c r="E1127" s="326">
        <v>7.22</v>
      </c>
      <c r="F1127" s="147">
        <f>基础材料!$D$57</f>
        <v>5.97</v>
      </c>
      <c r="G1127" s="329">
        <f t="shared" si="119"/>
        <v>43.1034</v>
      </c>
    </row>
    <row r="1128" customHeight="1" spans="1:7">
      <c r="A1128" s="314"/>
      <c r="B1128" s="347" t="s">
        <v>893</v>
      </c>
      <c r="C1128" s="347"/>
      <c r="D1128" s="317" t="s">
        <v>894</v>
      </c>
      <c r="E1128" s="152">
        <v>1</v>
      </c>
      <c r="F1128" s="147">
        <f>SUM(G1125:G1127)</f>
        <v>2682.4234</v>
      </c>
      <c r="G1128" s="329">
        <f>E1128*F1128/100</f>
        <v>26.824234</v>
      </c>
    </row>
    <row r="1129" customHeight="1" spans="1:7">
      <c r="A1129" s="314" t="s">
        <v>21</v>
      </c>
      <c r="B1129" s="347" t="s">
        <v>895</v>
      </c>
      <c r="C1129" s="347"/>
      <c r="D1129" s="317"/>
      <c r="E1129" s="147"/>
      <c r="F1129" s="147"/>
      <c r="G1129" s="329">
        <f>SUM(G1130:G1138)</f>
        <v>569.336246804946</v>
      </c>
    </row>
    <row r="1130" customHeight="1" spans="1:7">
      <c r="A1130" s="314"/>
      <c r="B1130" s="347" t="s">
        <v>1022</v>
      </c>
      <c r="C1130" s="347"/>
      <c r="D1130" s="317" t="s">
        <v>896</v>
      </c>
      <c r="E1130" s="147">
        <v>0.6</v>
      </c>
      <c r="F1130" s="147">
        <f>施工机械台时费!$E$63</f>
        <v>29.949194256083</v>
      </c>
      <c r="G1130" s="329">
        <f>E1130*F1130</f>
        <v>17.9695165536498</v>
      </c>
    </row>
    <row r="1131" customHeight="1" spans="1:7">
      <c r="A1131" s="314"/>
      <c r="B1131" s="347" t="s">
        <v>1023</v>
      </c>
      <c r="C1131" s="347"/>
      <c r="D1131" s="317" t="s">
        <v>896</v>
      </c>
      <c r="E1131" s="147">
        <v>1.5</v>
      </c>
      <c r="F1131" s="147">
        <f>施工机械台时费!$E$27</f>
        <v>47.9840167530913</v>
      </c>
      <c r="G1131" s="329">
        <f t="shared" ref="G1131:G1137" si="120">E1131*F1131</f>
        <v>71.976025129637</v>
      </c>
    </row>
    <row r="1132" customHeight="1" spans="1:7">
      <c r="A1132" s="314"/>
      <c r="B1132" s="347" t="s">
        <v>1024</v>
      </c>
      <c r="C1132" s="347"/>
      <c r="D1132" s="317" t="s">
        <v>896</v>
      </c>
      <c r="E1132" s="147">
        <v>0.4</v>
      </c>
      <c r="F1132" s="147">
        <f>施工机械台时费!$E$62</f>
        <v>49.5248942959713</v>
      </c>
      <c r="G1132" s="329">
        <f t="shared" si="120"/>
        <v>19.8099577183885</v>
      </c>
    </row>
    <row r="1133" customHeight="1" spans="1:7">
      <c r="A1133" s="314"/>
      <c r="B1133" s="347" t="s">
        <v>1025</v>
      </c>
      <c r="C1133" s="347"/>
      <c r="D1133" s="317" t="s">
        <v>896</v>
      </c>
      <c r="E1133" s="147">
        <v>1.05</v>
      </c>
      <c r="F1133" s="147">
        <f>施工机械台时费!$E$61</f>
        <v>25.1611447945752</v>
      </c>
      <c r="G1133" s="329">
        <f t="shared" si="120"/>
        <v>26.419202034304</v>
      </c>
    </row>
    <row r="1134" customHeight="1" spans="1:7">
      <c r="A1134" s="314"/>
      <c r="B1134" s="347" t="s">
        <v>1026</v>
      </c>
      <c r="C1134" s="347"/>
      <c r="D1134" s="317" t="s">
        <v>896</v>
      </c>
      <c r="E1134" s="147">
        <v>10</v>
      </c>
      <c r="F1134" s="147">
        <f>施工机械台时费!$E$58</f>
        <v>31.1021858795373</v>
      </c>
      <c r="G1134" s="329">
        <f t="shared" si="120"/>
        <v>311.021858795373</v>
      </c>
    </row>
    <row r="1135" customHeight="1" spans="1:7">
      <c r="A1135" s="314"/>
      <c r="B1135" s="347" t="s">
        <v>1027</v>
      </c>
      <c r="C1135" s="347"/>
      <c r="D1135" s="317" t="s">
        <v>896</v>
      </c>
      <c r="E1135" s="147">
        <v>0.4</v>
      </c>
      <c r="F1135" s="147">
        <f>施工机械台时费!$E$60</f>
        <v>183.499692859992</v>
      </c>
      <c r="G1135" s="329">
        <f t="shared" si="120"/>
        <v>73.3998771439968</v>
      </c>
    </row>
    <row r="1136" customHeight="1" spans="1:7">
      <c r="A1136" s="314"/>
      <c r="B1136" s="327" t="s">
        <v>1028</v>
      </c>
      <c r="C1136" s="328"/>
      <c r="D1136" s="317" t="s">
        <v>896</v>
      </c>
      <c r="E1136" s="147">
        <v>0.45</v>
      </c>
      <c r="F1136" s="147">
        <f>施工机械台时费!$E$28</f>
        <v>49.389824491424</v>
      </c>
      <c r="G1136" s="329">
        <f t="shared" si="120"/>
        <v>22.2254210211408</v>
      </c>
    </row>
    <row r="1137" customHeight="1" spans="1:7">
      <c r="A1137" s="314"/>
      <c r="B1137" s="327" t="s">
        <v>836</v>
      </c>
      <c r="C1137" s="328"/>
      <c r="D1137" s="317" t="s">
        <v>896</v>
      </c>
      <c r="E1137" s="147">
        <v>0.1</v>
      </c>
      <c r="F1137" s="147">
        <f>施工机械台时费!$E$38</f>
        <v>153.509325887515</v>
      </c>
      <c r="G1137" s="329">
        <f t="shared" si="120"/>
        <v>15.3509325887515</v>
      </c>
    </row>
    <row r="1138" customHeight="1" spans="1:7">
      <c r="A1138" s="314"/>
      <c r="B1138" s="327" t="s">
        <v>902</v>
      </c>
      <c r="C1138" s="328"/>
      <c r="D1138" s="317" t="s">
        <v>894</v>
      </c>
      <c r="E1138" s="152">
        <v>2</v>
      </c>
      <c r="F1138" s="147">
        <f>SUM(G1130:G1137)</f>
        <v>558.172790985241</v>
      </c>
      <c r="G1138" s="329">
        <f>E1138*F1138/100</f>
        <v>11.1634558197048</v>
      </c>
    </row>
    <row r="1139" customHeight="1" spans="1:7">
      <c r="A1139" s="314" t="s">
        <v>905</v>
      </c>
      <c r="B1139" s="347" t="s">
        <v>514</v>
      </c>
      <c r="C1139" s="347"/>
      <c r="D1139" s="317"/>
      <c r="E1139" s="332">
        <f>G1120</f>
        <v>4092.65988080495</v>
      </c>
      <c r="F1139" s="155">
        <f>费率表!$G$12</f>
        <v>0.064</v>
      </c>
      <c r="G1139" s="329">
        <f t="shared" ref="G1139:G1141" si="121">E1139*F1139</f>
        <v>261.930232371517</v>
      </c>
    </row>
    <row r="1140" customHeight="1" spans="1:7">
      <c r="A1140" s="314" t="s">
        <v>10</v>
      </c>
      <c r="B1140" s="347" t="s">
        <v>770</v>
      </c>
      <c r="C1140" s="347"/>
      <c r="D1140" s="317"/>
      <c r="E1140" s="326">
        <f>G1119</f>
        <v>4354.59011317646</v>
      </c>
      <c r="F1140" s="156">
        <f>费率表!$G$13</f>
        <v>0.05</v>
      </c>
      <c r="G1140" s="329">
        <f t="shared" si="121"/>
        <v>217.729505658823</v>
      </c>
    </row>
    <row r="1141" customHeight="1" spans="1:7">
      <c r="A1141" s="314" t="s">
        <v>12</v>
      </c>
      <c r="B1141" s="347" t="s">
        <v>771</v>
      </c>
      <c r="C1141" s="347"/>
      <c r="D1141" s="317"/>
      <c r="E1141" s="326">
        <f>G1119+G1140</f>
        <v>4572.31961883529</v>
      </c>
      <c r="F1141" s="156">
        <f>费率表!$G$14</f>
        <v>0.07</v>
      </c>
      <c r="G1141" s="329">
        <f t="shared" si="121"/>
        <v>320.06237331847</v>
      </c>
    </row>
    <row r="1142" customHeight="1" spans="1:7">
      <c r="A1142" s="314" t="s">
        <v>15</v>
      </c>
      <c r="B1142" s="347" t="s">
        <v>517</v>
      </c>
      <c r="C1142" s="347"/>
      <c r="D1142" s="317"/>
      <c r="E1142" s="326"/>
      <c r="F1142" s="157"/>
      <c r="G1142" s="329">
        <f>SUM(G1143:G1144)</f>
        <v>1691.73925353103</v>
      </c>
    </row>
    <row r="1143" customHeight="1" spans="1:7">
      <c r="A1143" s="314"/>
      <c r="B1143" s="327" t="str">
        <f>B1125</f>
        <v>钢筋</v>
      </c>
      <c r="C1143" s="328"/>
      <c r="D1143" s="317" t="str">
        <f>D1125</f>
        <v>t</v>
      </c>
      <c r="E1143" s="326">
        <f>E1125</f>
        <v>1.02</v>
      </c>
      <c r="F1143" s="438">
        <f>主要材料预算!$N$4</f>
        <v>1633.76678</v>
      </c>
      <c r="G1143" s="329">
        <f t="shared" ref="G1143:G1146" si="122">E1143*F1143</f>
        <v>1666.4421156</v>
      </c>
    </row>
    <row r="1144" customHeight="1" spans="1:7">
      <c r="A1144" s="314"/>
      <c r="B1144" s="327" t="s">
        <v>696</v>
      </c>
      <c r="C1144" s="328"/>
      <c r="D1144" s="317" t="s">
        <v>695</v>
      </c>
      <c r="E1144" s="326">
        <f>E1136*7.2</f>
        <v>3.24</v>
      </c>
      <c r="F1144" s="438">
        <f>主要材料预算!$N$14</f>
        <v>7.8077586206897</v>
      </c>
      <c r="G1144" s="329">
        <f t="shared" si="122"/>
        <v>25.2971379310346</v>
      </c>
    </row>
    <row r="1145" customHeight="1" spans="1:7">
      <c r="A1145" s="314" t="s">
        <v>906</v>
      </c>
      <c r="B1145" s="347" t="s">
        <v>772</v>
      </c>
      <c r="C1145" s="347"/>
      <c r="D1145" s="317"/>
      <c r="E1145" s="326">
        <f>G1119+G1140++G1141+G1142</f>
        <v>6584.12124568479</v>
      </c>
      <c r="F1145" s="156">
        <f>费率表!$G$15</f>
        <v>0.09</v>
      </c>
      <c r="G1145" s="329">
        <f t="shared" si="122"/>
        <v>592.570912111631</v>
      </c>
    </row>
    <row r="1146" customHeight="1" spans="1:7">
      <c r="A1146" s="314"/>
      <c r="B1146" s="347" t="s">
        <v>907</v>
      </c>
      <c r="C1146" s="347"/>
      <c r="D1146" s="317"/>
      <c r="E1146" s="326">
        <f>G1119+G1140+G1141+G1142+G1145</f>
        <v>7176.69215779642</v>
      </c>
      <c r="F1146" s="156">
        <f>费率表!$I$19</f>
        <v>0.03</v>
      </c>
      <c r="G1146" s="329">
        <f t="shared" si="122"/>
        <v>215.300764733893</v>
      </c>
    </row>
    <row r="1147" customHeight="1" spans="1:7">
      <c r="A1147" s="335"/>
      <c r="B1147" s="338" t="s">
        <v>908</v>
      </c>
      <c r="C1147" s="338"/>
      <c r="D1147" s="338"/>
      <c r="E1147" s="339"/>
      <c r="F1147" s="161"/>
      <c r="G1147" s="340">
        <f>G1119+G1140+G1141+G1142+G1145+G1146</f>
        <v>7391.99292253031</v>
      </c>
    </row>
    <row r="1148" customHeight="1" spans="1:7">
      <c r="A1148" s="227"/>
      <c r="B1148" s="227"/>
      <c r="C1148" s="227"/>
      <c r="D1148" s="227"/>
      <c r="E1148" s="228"/>
      <c r="F1148" s="123"/>
      <c r="G1148" s="228"/>
    </row>
    <row r="1149" customHeight="1" spans="1:7">
      <c r="A1149" s="126" t="s">
        <v>868</v>
      </c>
      <c r="B1149" s="126"/>
      <c r="C1149" s="126"/>
      <c r="D1149" s="126"/>
      <c r="E1149" s="126"/>
      <c r="F1149" s="126"/>
      <c r="G1149" s="126"/>
    </row>
    <row r="1150" customHeight="1" spans="1:7">
      <c r="A1150" s="309" t="s">
        <v>869</v>
      </c>
      <c r="B1150" s="310"/>
      <c r="C1150" s="310" t="s">
        <v>166</v>
      </c>
      <c r="D1150" s="310" t="s">
        <v>870</v>
      </c>
      <c r="E1150" s="343" t="s">
        <v>1029</v>
      </c>
      <c r="F1150" s="343"/>
      <c r="G1150" s="344"/>
    </row>
    <row r="1151" customHeight="1" spans="1:7">
      <c r="A1151" s="314" t="s">
        <v>507</v>
      </c>
      <c r="B1151" s="315"/>
      <c r="C1151" s="316" t="s">
        <v>1030</v>
      </c>
      <c r="D1151" s="316"/>
      <c r="E1151" s="316"/>
      <c r="F1151" s="61" t="s">
        <v>873</v>
      </c>
      <c r="G1151" s="318" t="s">
        <v>204</v>
      </c>
    </row>
    <row r="1152" customHeight="1" spans="1:7">
      <c r="A1152" s="345" t="s">
        <v>1019</v>
      </c>
      <c r="B1152" s="316"/>
      <c r="C1152" s="316"/>
      <c r="D1152" s="316"/>
      <c r="E1152" s="316"/>
      <c r="F1152" s="316"/>
      <c r="G1152" s="346"/>
    </row>
    <row r="1153" customHeight="1" spans="1:7">
      <c r="A1153" s="322" t="s">
        <v>1031</v>
      </c>
      <c r="B1153" s="323"/>
      <c r="C1153" s="324"/>
      <c r="D1153" s="324"/>
      <c r="E1153" s="324"/>
      <c r="F1153" s="324"/>
      <c r="G1153" s="325"/>
    </row>
    <row r="1154" customHeight="1" spans="1:7">
      <c r="A1154" s="314" t="s">
        <v>34</v>
      </c>
      <c r="B1154" s="317" t="s">
        <v>761</v>
      </c>
      <c r="C1154" s="317"/>
      <c r="D1154" s="317" t="s">
        <v>60</v>
      </c>
      <c r="E1154" s="326" t="s">
        <v>877</v>
      </c>
      <c r="F1154" s="61" t="s">
        <v>878</v>
      </c>
      <c r="G1154" s="318" t="s">
        <v>879</v>
      </c>
    </row>
    <row r="1155" customHeight="1" spans="1:7">
      <c r="A1155" s="314" t="s">
        <v>8</v>
      </c>
      <c r="B1155" s="347" t="s">
        <v>880</v>
      </c>
      <c r="C1155" s="347"/>
      <c r="D1155" s="317"/>
      <c r="E1155" s="326"/>
      <c r="F1155" s="147"/>
      <c r="G1155" s="329">
        <f>G1156+G1167</f>
        <v>2114.88893879839</v>
      </c>
    </row>
    <row r="1156" customHeight="1" spans="1:7">
      <c r="A1156" s="314" t="s">
        <v>881</v>
      </c>
      <c r="B1156" s="347" t="s">
        <v>882</v>
      </c>
      <c r="C1156" s="347"/>
      <c r="D1156" s="317"/>
      <c r="E1156" s="326"/>
      <c r="F1156" s="147"/>
      <c r="G1156" s="329">
        <f>G1157+G1160+G1164</f>
        <v>1987.67757405864</v>
      </c>
    </row>
    <row r="1157" customHeight="1" spans="1:7">
      <c r="A1157" s="314" t="s">
        <v>17</v>
      </c>
      <c r="B1157" s="347" t="s">
        <v>510</v>
      </c>
      <c r="C1157" s="347"/>
      <c r="D1157" s="317"/>
      <c r="E1157" s="326"/>
      <c r="F1157" s="147"/>
      <c r="G1157" s="329">
        <f>SUM(G1158:G1159)</f>
        <v>1046.181</v>
      </c>
    </row>
    <row r="1158" customHeight="1" spans="1:7">
      <c r="A1158" s="314"/>
      <c r="B1158" s="327" t="s">
        <v>704</v>
      </c>
      <c r="C1158" s="328"/>
      <c r="D1158" s="317" t="s">
        <v>705</v>
      </c>
      <c r="E1158" s="423">
        <v>103.3</v>
      </c>
      <c r="F1158" s="423">
        <f>主要材料预算!D19</f>
        <v>8.1</v>
      </c>
      <c r="G1158" s="329">
        <f t="shared" ref="G1158:G1162" si="123">E1158*F1158</f>
        <v>836.73</v>
      </c>
    </row>
    <row r="1159" customHeight="1" spans="1:7">
      <c r="A1159" s="314"/>
      <c r="B1159" s="327" t="s">
        <v>706</v>
      </c>
      <c r="C1159" s="328"/>
      <c r="D1159" s="317" t="s">
        <v>705</v>
      </c>
      <c r="E1159" s="423">
        <v>36.3</v>
      </c>
      <c r="F1159" s="423">
        <f>主要材料预算!D20</f>
        <v>5.77</v>
      </c>
      <c r="G1159" s="329">
        <f t="shared" si="123"/>
        <v>209.451</v>
      </c>
    </row>
    <row r="1160" customHeight="1" spans="1:7">
      <c r="A1160" s="314" t="s">
        <v>19</v>
      </c>
      <c r="B1160" s="347" t="s">
        <v>511</v>
      </c>
      <c r="C1160" s="347"/>
      <c r="D1160" s="317"/>
      <c r="E1160" s="326"/>
      <c r="F1160" s="147"/>
      <c r="G1160" s="329">
        <f>SUM(G1161:G1163)</f>
        <v>224.668945</v>
      </c>
    </row>
    <row r="1161" customHeight="1" spans="1:7">
      <c r="A1161" s="314"/>
      <c r="B1161" s="327" t="s">
        <v>913</v>
      </c>
      <c r="C1161" s="328"/>
      <c r="D1161" s="317" t="s">
        <v>695</v>
      </c>
      <c r="E1161" s="326">
        <v>1.01</v>
      </c>
      <c r="F1161" s="147">
        <v>7.45</v>
      </c>
      <c r="G1161" s="329">
        <f t="shared" si="123"/>
        <v>7.5245</v>
      </c>
    </row>
    <row r="1162" customHeight="1" spans="1:7">
      <c r="A1162" s="314"/>
      <c r="B1162" s="327" t="s">
        <v>890</v>
      </c>
      <c r="C1162" s="328"/>
      <c r="D1162" s="317" t="s">
        <v>695</v>
      </c>
      <c r="E1162" s="326">
        <v>36</v>
      </c>
      <c r="F1162" s="147">
        <v>5.97</v>
      </c>
      <c r="G1162" s="329">
        <f t="shared" si="123"/>
        <v>214.92</v>
      </c>
    </row>
    <row r="1163" customHeight="1" spans="1:7">
      <c r="A1163" s="314"/>
      <c r="B1163" s="347" t="s">
        <v>893</v>
      </c>
      <c r="C1163" s="347"/>
      <c r="D1163" s="317" t="s">
        <v>894</v>
      </c>
      <c r="E1163" s="152">
        <v>1</v>
      </c>
      <c r="F1163" s="147">
        <f>SUM(G1161:G1162)</f>
        <v>222.4445</v>
      </c>
      <c r="G1163" s="329">
        <f>E1163*F1163/100</f>
        <v>2.224445</v>
      </c>
    </row>
    <row r="1164" customHeight="1" spans="1:7">
      <c r="A1164" s="314" t="s">
        <v>21</v>
      </c>
      <c r="B1164" s="347" t="s">
        <v>895</v>
      </c>
      <c r="C1164" s="347"/>
      <c r="D1164" s="317"/>
      <c r="E1164" s="147"/>
      <c r="F1164" s="147"/>
      <c r="G1164" s="329">
        <f>SUM(G1165:G1166)</f>
        <v>716.827629058636</v>
      </c>
    </row>
    <row r="1165" customHeight="1" spans="1:7">
      <c r="A1165" s="314"/>
      <c r="B1165" s="347" t="s">
        <v>1026</v>
      </c>
      <c r="C1165" s="347"/>
      <c r="D1165" s="317" t="s">
        <v>896</v>
      </c>
      <c r="E1165" s="147">
        <v>21.95</v>
      </c>
      <c r="F1165" s="147">
        <f>施工机械台时费!E58</f>
        <v>31.1021858795373</v>
      </c>
      <c r="G1165" s="329">
        <f t="shared" ref="G1165:G1171" si="124">E1165*F1165</f>
        <v>682.692980055844</v>
      </c>
    </row>
    <row r="1166" customHeight="1" spans="1:7">
      <c r="A1166" s="314"/>
      <c r="B1166" s="327" t="s">
        <v>902</v>
      </c>
      <c r="C1166" s="328"/>
      <c r="D1166" s="317" t="s">
        <v>894</v>
      </c>
      <c r="E1166" s="152">
        <v>5</v>
      </c>
      <c r="F1166" s="147">
        <f>SUM(G1165:G1165)</f>
        <v>682.692980055844</v>
      </c>
      <c r="G1166" s="329">
        <f>E1166*F1166/100</f>
        <v>34.1346490027922</v>
      </c>
    </row>
    <row r="1167" customHeight="1" spans="1:7">
      <c r="A1167" s="314" t="s">
        <v>905</v>
      </c>
      <c r="B1167" s="347" t="s">
        <v>514</v>
      </c>
      <c r="C1167" s="347"/>
      <c r="D1167" s="317"/>
      <c r="E1167" s="332">
        <f>G1156</f>
        <v>1987.67757405864</v>
      </c>
      <c r="F1167" s="155">
        <f>费率表!$G$12</f>
        <v>0.064</v>
      </c>
      <c r="G1167" s="329">
        <f t="shared" si="124"/>
        <v>127.211364739753</v>
      </c>
    </row>
    <row r="1168" customHeight="1" spans="1:7">
      <c r="A1168" s="314" t="s">
        <v>10</v>
      </c>
      <c r="B1168" s="347" t="s">
        <v>770</v>
      </c>
      <c r="C1168" s="347"/>
      <c r="D1168" s="317"/>
      <c r="E1168" s="326">
        <f>G1155</f>
        <v>2114.88893879839</v>
      </c>
      <c r="F1168" s="156">
        <f>费率表!$G$13</f>
        <v>0.05</v>
      </c>
      <c r="G1168" s="329">
        <f t="shared" si="124"/>
        <v>105.744446939919</v>
      </c>
    </row>
    <row r="1169" customHeight="1" spans="1:7">
      <c r="A1169" s="314" t="s">
        <v>12</v>
      </c>
      <c r="B1169" s="347" t="s">
        <v>771</v>
      </c>
      <c r="C1169" s="347"/>
      <c r="D1169" s="317"/>
      <c r="E1169" s="326">
        <f>G1155+G1168</f>
        <v>2220.63338573831</v>
      </c>
      <c r="F1169" s="156">
        <f>费率表!$G$14</f>
        <v>0.07</v>
      </c>
      <c r="G1169" s="329">
        <f t="shared" si="124"/>
        <v>155.444337001682</v>
      </c>
    </row>
    <row r="1170" customHeight="1" spans="1:7">
      <c r="A1170" s="314" t="s">
        <v>15</v>
      </c>
      <c r="B1170" s="347" t="s">
        <v>772</v>
      </c>
      <c r="C1170" s="347"/>
      <c r="D1170" s="317"/>
      <c r="E1170" s="326">
        <f>G1155+G1168++G1169</f>
        <v>2376.07772273999</v>
      </c>
      <c r="F1170" s="156">
        <f>费率表!$G$15</f>
        <v>0.09</v>
      </c>
      <c r="G1170" s="329">
        <f t="shared" si="124"/>
        <v>213.846995046599</v>
      </c>
    </row>
    <row r="1171" customHeight="1" spans="1:7">
      <c r="A1171" s="314"/>
      <c r="B1171" s="347" t="s">
        <v>907</v>
      </c>
      <c r="C1171" s="347"/>
      <c r="D1171" s="317"/>
      <c r="E1171" s="326">
        <f>G1155+G1168+G1169+G1170</f>
        <v>2589.92471778659</v>
      </c>
      <c r="F1171" s="156">
        <f>费率表!$I$19</f>
        <v>0.03</v>
      </c>
      <c r="G1171" s="329">
        <f t="shared" si="124"/>
        <v>77.6977415335976</v>
      </c>
    </row>
    <row r="1172" customHeight="1" spans="1:7">
      <c r="A1172" s="335"/>
      <c r="B1172" s="338" t="s">
        <v>908</v>
      </c>
      <c r="C1172" s="338"/>
      <c r="D1172" s="338"/>
      <c r="E1172" s="339"/>
      <c r="F1172" s="161"/>
      <c r="G1172" s="340">
        <f>G1155+G1168+G1169+G1170+G1171</f>
        <v>2667.62245932019</v>
      </c>
    </row>
    <row r="1173" customHeight="1" spans="1:7">
      <c r="A1173" s="227"/>
      <c r="B1173" s="227"/>
      <c r="C1173" s="227"/>
      <c r="D1173" s="227"/>
      <c r="E1173" s="228"/>
      <c r="F1173" s="123"/>
      <c r="G1173" s="228"/>
    </row>
    <row r="1174" customHeight="1" spans="1:7">
      <c r="A1174" s="126" t="s">
        <v>868</v>
      </c>
      <c r="B1174" s="126"/>
      <c r="C1174" s="126"/>
      <c r="D1174" s="126"/>
      <c r="E1174" s="126"/>
      <c r="F1174" s="126"/>
      <c r="G1174" s="126"/>
    </row>
    <row r="1175" customHeight="1" spans="1:7">
      <c r="A1175" s="309" t="s">
        <v>869</v>
      </c>
      <c r="B1175" s="310"/>
      <c r="C1175" s="310" t="s">
        <v>160</v>
      </c>
      <c r="D1175" s="310" t="s">
        <v>870</v>
      </c>
      <c r="E1175" s="343" t="s">
        <v>1032</v>
      </c>
      <c r="F1175" s="343"/>
      <c r="G1175" s="344"/>
    </row>
    <row r="1176" customHeight="1" spans="1:7">
      <c r="A1176" s="314" t="s">
        <v>507</v>
      </c>
      <c r="B1176" s="315"/>
      <c r="C1176" s="316" t="s">
        <v>1033</v>
      </c>
      <c r="D1176" s="316"/>
      <c r="E1176" s="316"/>
      <c r="F1176" s="61" t="s">
        <v>873</v>
      </c>
      <c r="G1176" s="318" t="s">
        <v>204</v>
      </c>
    </row>
    <row r="1177" customHeight="1" spans="1:7">
      <c r="A1177" s="345" t="s">
        <v>875</v>
      </c>
      <c r="B1177" s="316"/>
      <c r="C1177" s="316"/>
      <c r="D1177" s="316"/>
      <c r="E1177" s="316"/>
      <c r="F1177" s="316"/>
      <c r="G1177" s="346"/>
    </row>
    <row r="1178" ht="27" customHeight="1" spans="1:7">
      <c r="A1178" s="322" t="s">
        <v>1034</v>
      </c>
      <c r="B1178" s="323"/>
      <c r="C1178" s="324"/>
      <c r="D1178" s="324"/>
      <c r="E1178" s="324"/>
      <c r="F1178" s="324"/>
      <c r="G1178" s="325"/>
    </row>
    <row r="1179" customHeight="1" spans="1:7">
      <c r="A1179" s="314" t="s">
        <v>34</v>
      </c>
      <c r="B1179" s="317" t="s">
        <v>761</v>
      </c>
      <c r="C1179" s="317"/>
      <c r="D1179" s="317" t="s">
        <v>60</v>
      </c>
      <c r="E1179" s="326" t="s">
        <v>877</v>
      </c>
      <c r="F1179" s="61" t="s">
        <v>878</v>
      </c>
      <c r="G1179" s="318" t="s">
        <v>879</v>
      </c>
    </row>
    <row r="1180" customHeight="1" spans="1:7">
      <c r="A1180" s="314" t="s">
        <v>8</v>
      </c>
      <c r="B1180" s="347" t="s">
        <v>880</v>
      </c>
      <c r="C1180" s="347"/>
      <c r="D1180" s="317"/>
      <c r="E1180" s="326"/>
      <c r="F1180" s="147"/>
      <c r="G1180" s="329">
        <f>G1181+G1195</f>
        <v>5325.29653208284</v>
      </c>
    </row>
    <row r="1181" customHeight="1" spans="1:7">
      <c r="A1181" s="314" t="s">
        <v>881</v>
      </c>
      <c r="B1181" s="347" t="s">
        <v>882</v>
      </c>
      <c r="C1181" s="347"/>
      <c r="D1181" s="317"/>
      <c r="E1181" s="326"/>
      <c r="F1181" s="147"/>
      <c r="G1181" s="329">
        <f>G1182+G1185+G1191</f>
        <v>5004.97794368688</v>
      </c>
    </row>
    <row r="1182" customHeight="1" spans="1:7">
      <c r="A1182" s="314" t="s">
        <v>17</v>
      </c>
      <c r="B1182" s="347" t="s">
        <v>510</v>
      </c>
      <c r="C1182" s="347"/>
      <c r="D1182" s="317"/>
      <c r="E1182" s="326"/>
      <c r="F1182" s="147"/>
      <c r="G1182" s="329">
        <f>SUM(G1183:G1184)</f>
        <v>1640.569</v>
      </c>
    </row>
    <row r="1183" customHeight="1" spans="1:7">
      <c r="A1183" s="314"/>
      <c r="B1183" s="327" t="s">
        <v>704</v>
      </c>
      <c r="C1183" s="328"/>
      <c r="D1183" s="317" t="s">
        <v>705</v>
      </c>
      <c r="E1183" s="423">
        <v>159.3</v>
      </c>
      <c r="F1183" s="423">
        <f>主要材料预算!$D$19</f>
        <v>8.1</v>
      </c>
      <c r="G1183" s="329">
        <f t="shared" ref="G1183:G1189" si="125">E1183*F1183</f>
        <v>1290.33</v>
      </c>
    </row>
    <row r="1184" customHeight="1" spans="1:7">
      <c r="A1184" s="314"/>
      <c r="B1184" s="327" t="s">
        <v>706</v>
      </c>
      <c r="C1184" s="328"/>
      <c r="D1184" s="317" t="s">
        <v>705</v>
      </c>
      <c r="E1184" s="423">
        <v>60.7</v>
      </c>
      <c r="F1184" s="423">
        <f>主要材料预算!$D$20</f>
        <v>5.77</v>
      </c>
      <c r="G1184" s="329">
        <f t="shared" si="125"/>
        <v>350.239</v>
      </c>
    </row>
    <row r="1185" customHeight="1" spans="1:7">
      <c r="A1185" s="314" t="s">
        <v>19</v>
      </c>
      <c r="B1185" s="347" t="s">
        <v>511</v>
      </c>
      <c r="C1185" s="347"/>
      <c r="D1185" s="317"/>
      <c r="E1185" s="326"/>
      <c r="F1185" s="147"/>
      <c r="G1185" s="329">
        <f>SUM(G1186:G1190)</f>
        <v>2882.624234</v>
      </c>
    </row>
    <row r="1186" customHeight="1" spans="1:7">
      <c r="A1186" s="314"/>
      <c r="B1186" s="347" t="s">
        <v>984</v>
      </c>
      <c r="C1186" s="347"/>
      <c r="D1186" s="317" t="s">
        <v>70</v>
      </c>
      <c r="E1186" s="474">
        <v>0.045</v>
      </c>
      <c r="F1186" s="147">
        <f>基础材料!D49</f>
        <v>1568</v>
      </c>
      <c r="G1186" s="329">
        <f t="shared" si="125"/>
        <v>70.56</v>
      </c>
    </row>
    <row r="1187" customHeight="1" spans="1:7">
      <c r="A1187" s="314"/>
      <c r="B1187" s="347" t="s">
        <v>1035</v>
      </c>
      <c r="C1187" s="347"/>
      <c r="D1187" s="317" t="s">
        <v>70</v>
      </c>
      <c r="E1187" s="474">
        <v>0.015</v>
      </c>
      <c r="F1187" s="147">
        <f>基础材料!D48</f>
        <v>1788</v>
      </c>
      <c r="G1187" s="329">
        <f t="shared" si="125"/>
        <v>26.82</v>
      </c>
    </row>
    <row r="1188" customHeight="1" spans="1:7">
      <c r="A1188" s="314"/>
      <c r="B1188" s="347" t="s">
        <v>1036</v>
      </c>
      <c r="C1188" s="347"/>
      <c r="D1188" s="317" t="s">
        <v>204</v>
      </c>
      <c r="E1188" s="326">
        <v>1.06</v>
      </c>
      <c r="F1188" s="147">
        <f>主要材料预算!M4</f>
        <v>2560</v>
      </c>
      <c r="G1188" s="329">
        <f t="shared" si="125"/>
        <v>2713.6</v>
      </c>
    </row>
    <row r="1189" customHeight="1" spans="1:7">
      <c r="A1189" s="314"/>
      <c r="B1189" s="327" t="s">
        <v>890</v>
      </c>
      <c r="C1189" s="328"/>
      <c r="D1189" s="317" t="s">
        <v>695</v>
      </c>
      <c r="E1189" s="326">
        <v>7.22</v>
      </c>
      <c r="F1189" s="147">
        <f>基础材料!$D$57</f>
        <v>5.97</v>
      </c>
      <c r="G1189" s="329">
        <f t="shared" si="125"/>
        <v>43.1034</v>
      </c>
    </row>
    <row r="1190" customHeight="1" spans="1:7">
      <c r="A1190" s="314"/>
      <c r="B1190" s="347" t="s">
        <v>893</v>
      </c>
      <c r="C1190" s="347"/>
      <c r="D1190" s="317" t="s">
        <v>894</v>
      </c>
      <c r="E1190" s="152">
        <v>1</v>
      </c>
      <c r="F1190" s="147">
        <f>SUM(G1186:G1189)</f>
        <v>2854.0834</v>
      </c>
      <c r="G1190" s="329">
        <f>E1190*F1190/100</f>
        <v>28.540834</v>
      </c>
    </row>
    <row r="1191" customHeight="1" spans="1:7">
      <c r="A1191" s="314" t="s">
        <v>21</v>
      </c>
      <c r="B1191" s="347" t="s">
        <v>895</v>
      </c>
      <c r="C1191" s="347"/>
      <c r="D1191" s="317"/>
      <c r="E1191" s="147"/>
      <c r="F1191" s="147"/>
      <c r="G1191" s="329">
        <f>SUM(G1192:G1194)</f>
        <v>481.784709686877</v>
      </c>
    </row>
    <row r="1192" customHeight="1" spans="1:7">
      <c r="A1192" s="314"/>
      <c r="B1192" s="347" t="s">
        <v>1026</v>
      </c>
      <c r="C1192" s="347"/>
      <c r="D1192" s="317" t="s">
        <v>896</v>
      </c>
      <c r="E1192" s="147">
        <v>14.44</v>
      </c>
      <c r="F1192" s="147">
        <f>施工机械台时费!E58</f>
        <v>31.1021858795373</v>
      </c>
      <c r="G1192" s="329">
        <f>E1192*F1192</f>
        <v>449.115564100519</v>
      </c>
    </row>
    <row r="1193" customHeight="1" spans="1:7">
      <c r="A1193" s="314"/>
      <c r="B1193" s="327" t="s">
        <v>956</v>
      </c>
      <c r="C1193" s="328"/>
      <c r="D1193" s="317" t="s">
        <v>896</v>
      </c>
      <c r="E1193" s="147">
        <v>0.45</v>
      </c>
      <c r="F1193" s="147">
        <f>施工机械台时费!E46</f>
        <v>21.615592341444</v>
      </c>
      <c r="G1193" s="329">
        <f>E1193*F1193</f>
        <v>9.72701655364978</v>
      </c>
    </row>
    <row r="1194" customHeight="1" spans="1:7">
      <c r="A1194" s="314"/>
      <c r="B1194" s="327" t="s">
        <v>902</v>
      </c>
      <c r="C1194" s="328"/>
      <c r="D1194" s="317" t="s">
        <v>894</v>
      </c>
      <c r="E1194" s="152">
        <v>5</v>
      </c>
      <c r="F1194" s="147">
        <f>SUM(G1192:G1193)</f>
        <v>458.842580654168</v>
      </c>
      <c r="G1194" s="329">
        <f>E1194*F1194/100</f>
        <v>22.9421290327084</v>
      </c>
    </row>
    <row r="1195" customHeight="1" spans="1:7">
      <c r="A1195" s="314" t="s">
        <v>905</v>
      </c>
      <c r="B1195" s="347" t="s">
        <v>514</v>
      </c>
      <c r="C1195" s="347"/>
      <c r="D1195" s="317"/>
      <c r="E1195" s="332">
        <f>G1181</f>
        <v>5004.97794368688</v>
      </c>
      <c r="F1195" s="155">
        <f>费率表!$G$12</f>
        <v>0.064</v>
      </c>
      <c r="G1195" s="329">
        <f t="shared" ref="G1195:G1197" si="126">E1195*F1195</f>
        <v>320.31858839596</v>
      </c>
    </row>
    <row r="1196" customHeight="1" spans="1:7">
      <c r="A1196" s="314" t="s">
        <v>10</v>
      </c>
      <c r="B1196" s="347" t="s">
        <v>770</v>
      </c>
      <c r="C1196" s="347"/>
      <c r="D1196" s="317"/>
      <c r="E1196" s="326">
        <f>G1180</f>
        <v>5325.29653208284</v>
      </c>
      <c r="F1196" s="156">
        <f>费率表!$G$13</f>
        <v>0.05</v>
      </c>
      <c r="G1196" s="329">
        <f t="shared" si="126"/>
        <v>266.264826604142</v>
      </c>
    </row>
    <row r="1197" customHeight="1" spans="1:7">
      <c r="A1197" s="314" t="s">
        <v>12</v>
      </c>
      <c r="B1197" s="347" t="s">
        <v>771</v>
      </c>
      <c r="C1197" s="347"/>
      <c r="D1197" s="317"/>
      <c r="E1197" s="326">
        <f>G1180+G1196</f>
        <v>5591.56135868698</v>
      </c>
      <c r="F1197" s="156">
        <f>费率表!$G$14</f>
        <v>0.07</v>
      </c>
      <c r="G1197" s="329">
        <f t="shared" si="126"/>
        <v>391.409295108089</v>
      </c>
    </row>
    <row r="1198" customHeight="1" spans="1:7">
      <c r="A1198" s="314" t="s">
        <v>15</v>
      </c>
      <c r="B1198" s="347" t="s">
        <v>517</v>
      </c>
      <c r="C1198" s="347"/>
      <c r="D1198" s="317"/>
      <c r="E1198" s="326"/>
      <c r="F1198" s="157"/>
      <c r="G1198" s="329">
        <f>SUM(G1199:G1199)</f>
        <v>1731.7927868</v>
      </c>
    </row>
    <row r="1199" customHeight="1" spans="1:7">
      <c r="A1199" s="314"/>
      <c r="B1199" s="327" t="s">
        <v>1036</v>
      </c>
      <c r="C1199" s="328"/>
      <c r="D1199" s="317" t="s">
        <v>204</v>
      </c>
      <c r="E1199" s="326">
        <f>E1188</f>
        <v>1.06</v>
      </c>
      <c r="F1199" s="438">
        <f>主要材料预算!N4</f>
        <v>1633.76678</v>
      </c>
      <c r="G1199" s="329">
        <f t="shared" ref="G1199:G1201" si="127">E1199*F1199</f>
        <v>1731.7927868</v>
      </c>
    </row>
    <row r="1200" customHeight="1" spans="1:7">
      <c r="A1200" s="314" t="s">
        <v>906</v>
      </c>
      <c r="B1200" s="347" t="s">
        <v>772</v>
      </c>
      <c r="C1200" s="347"/>
      <c r="D1200" s="317"/>
      <c r="E1200" s="326">
        <f>G1180+G1196++G1197+G1198</f>
        <v>7714.76344059507</v>
      </c>
      <c r="F1200" s="156">
        <f>费率表!$G$15</f>
        <v>0.09</v>
      </c>
      <c r="G1200" s="329">
        <f t="shared" si="127"/>
        <v>694.328709653556</v>
      </c>
    </row>
    <row r="1201" customHeight="1" spans="1:7">
      <c r="A1201" s="314"/>
      <c r="B1201" s="347" t="s">
        <v>907</v>
      </c>
      <c r="C1201" s="347"/>
      <c r="D1201" s="317"/>
      <c r="E1201" s="326">
        <f>G1180+G1196+G1197+G1198+G1200</f>
        <v>8409.09215024863</v>
      </c>
      <c r="F1201" s="156">
        <f>费率表!$I$19</f>
        <v>0.03</v>
      </c>
      <c r="G1201" s="329">
        <f t="shared" si="127"/>
        <v>252.272764507459</v>
      </c>
    </row>
    <row r="1202" customHeight="1" spans="1:7">
      <c r="A1202" s="335"/>
      <c r="B1202" s="338" t="s">
        <v>908</v>
      </c>
      <c r="C1202" s="338"/>
      <c r="D1202" s="338"/>
      <c r="E1202" s="339"/>
      <c r="F1202" s="161"/>
      <c r="G1202" s="340">
        <f>G1180+G1196+G1197+G1198+G1200+G1201</f>
        <v>8661.36491475609</v>
      </c>
    </row>
    <row r="1203" customHeight="1" spans="1:7">
      <c r="A1203" s="227"/>
      <c r="B1203" s="227"/>
      <c r="C1203" s="227"/>
      <c r="D1203" s="227"/>
      <c r="E1203" s="228"/>
      <c r="F1203" s="123"/>
      <c r="G1203" s="228"/>
    </row>
    <row r="1204" customHeight="1" spans="1:7">
      <c r="A1204" s="227"/>
      <c r="B1204" s="227"/>
      <c r="C1204" s="227"/>
      <c r="D1204" s="227"/>
      <c r="E1204" s="228"/>
      <c r="F1204" s="123"/>
      <c r="G1204" s="228"/>
    </row>
    <row r="1205" customHeight="1" spans="1:7">
      <c r="A1205" s="126" t="s">
        <v>868</v>
      </c>
      <c r="B1205" s="126"/>
      <c r="C1205" s="126"/>
      <c r="D1205" s="126"/>
      <c r="E1205" s="126"/>
      <c r="F1205" s="126"/>
      <c r="G1205" s="126"/>
    </row>
    <row r="1206" customHeight="1" spans="1:7">
      <c r="A1206" s="309" t="s">
        <v>869</v>
      </c>
      <c r="B1206" s="310"/>
      <c r="C1206" s="310" t="s">
        <v>172</v>
      </c>
      <c r="D1206" s="310" t="s">
        <v>870</v>
      </c>
      <c r="E1206" s="343" t="s">
        <v>1037</v>
      </c>
      <c r="F1206" s="343"/>
      <c r="G1206" s="344"/>
    </row>
    <row r="1207" customHeight="1" spans="1:7">
      <c r="A1207" s="314" t="s">
        <v>507</v>
      </c>
      <c r="B1207" s="315"/>
      <c r="C1207" s="316" t="s">
        <v>1038</v>
      </c>
      <c r="D1207" s="316"/>
      <c r="E1207" s="316"/>
      <c r="F1207" s="61" t="s">
        <v>873</v>
      </c>
      <c r="G1207" s="318" t="s">
        <v>642</v>
      </c>
    </row>
    <row r="1208" customHeight="1" spans="1:7">
      <c r="A1208" s="345" t="s">
        <v>875</v>
      </c>
      <c r="B1208" s="316"/>
      <c r="C1208" s="316"/>
      <c r="D1208" s="316"/>
      <c r="E1208" s="316"/>
      <c r="F1208" s="316"/>
      <c r="G1208" s="346"/>
    </row>
    <row r="1209" customHeight="1" spans="1:7">
      <c r="A1209" s="322" t="s">
        <v>1039</v>
      </c>
      <c r="B1209" s="323"/>
      <c r="C1209" s="324"/>
      <c r="D1209" s="324"/>
      <c r="E1209" s="324"/>
      <c r="F1209" s="324"/>
      <c r="G1209" s="325"/>
    </row>
    <row r="1210" customHeight="1" spans="1:7">
      <c r="A1210" s="314" t="s">
        <v>34</v>
      </c>
      <c r="B1210" s="317" t="s">
        <v>761</v>
      </c>
      <c r="C1210" s="317"/>
      <c r="D1210" s="317" t="s">
        <v>60</v>
      </c>
      <c r="E1210" s="326" t="s">
        <v>877</v>
      </c>
      <c r="F1210" s="61" t="s">
        <v>878</v>
      </c>
      <c r="G1210" s="318" t="s">
        <v>879</v>
      </c>
    </row>
    <row r="1211" customHeight="1" spans="1:7">
      <c r="A1211" s="314" t="s">
        <v>8</v>
      </c>
      <c r="B1211" s="347" t="s">
        <v>880</v>
      </c>
      <c r="C1211" s="347"/>
      <c r="D1211" s="317"/>
      <c r="E1211" s="326"/>
      <c r="F1211" s="147"/>
      <c r="G1211" s="329">
        <f>G1212+G1219</f>
        <v>13537.42096</v>
      </c>
    </row>
    <row r="1212" customHeight="1" spans="1:7">
      <c r="A1212" s="314" t="s">
        <v>881</v>
      </c>
      <c r="B1212" s="347" t="s">
        <v>882</v>
      </c>
      <c r="C1212" s="347"/>
      <c r="D1212" s="317"/>
      <c r="E1212" s="326"/>
      <c r="F1212" s="147"/>
      <c r="G1212" s="329">
        <f>G1213+G1216</f>
        <v>12723.14</v>
      </c>
    </row>
    <row r="1213" customHeight="1" spans="1:7">
      <c r="A1213" s="314" t="s">
        <v>17</v>
      </c>
      <c r="B1213" s="347" t="s">
        <v>510</v>
      </c>
      <c r="C1213" s="347"/>
      <c r="D1213" s="317"/>
      <c r="E1213" s="326"/>
      <c r="F1213" s="147"/>
      <c r="G1213" s="329">
        <f>SUM(G1214:G1215)</f>
        <v>1279.84</v>
      </c>
    </row>
    <row r="1214" customHeight="1" spans="1:7">
      <c r="A1214" s="314"/>
      <c r="B1214" s="327" t="s">
        <v>704</v>
      </c>
      <c r="C1214" s="328"/>
      <c r="D1214" s="317" t="s">
        <v>705</v>
      </c>
      <c r="E1214" s="423">
        <v>123.1</v>
      </c>
      <c r="F1214" s="423">
        <f>主要材料预算!$D$19</f>
        <v>8.1</v>
      </c>
      <c r="G1214" s="329">
        <f t="shared" ref="G1214:G1217" si="128">E1214*F1214</f>
        <v>997.11</v>
      </c>
    </row>
    <row r="1215" customHeight="1" spans="1:7">
      <c r="A1215" s="314"/>
      <c r="B1215" s="327" t="s">
        <v>706</v>
      </c>
      <c r="C1215" s="328"/>
      <c r="D1215" s="317" t="s">
        <v>705</v>
      </c>
      <c r="E1215" s="423">
        <v>49</v>
      </c>
      <c r="F1215" s="423">
        <f>主要材料预算!$D$20</f>
        <v>5.77</v>
      </c>
      <c r="G1215" s="329">
        <f t="shared" si="128"/>
        <v>282.73</v>
      </c>
    </row>
    <row r="1216" customHeight="1" spans="1:7">
      <c r="A1216" s="314" t="s">
        <v>19</v>
      </c>
      <c r="B1216" s="347" t="s">
        <v>511</v>
      </c>
      <c r="C1216" s="347"/>
      <c r="D1216" s="317"/>
      <c r="E1216" s="326"/>
      <c r="F1216" s="147"/>
      <c r="G1216" s="329">
        <f>SUM(G1217:G1218)</f>
        <v>11443.3</v>
      </c>
    </row>
    <row r="1217" customHeight="1" spans="1:7">
      <c r="A1217" s="314"/>
      <c r="B1217" s="347" t="s">
        <v>1040</v>
      </c>
      <c r="C1217" s="347"/>
      <c r="D1217" s="317" t="s">
        <v>67</v>
      </c>
      <c r="E1217" s="326">
        <v>103</v>
      </c>
      <c r="F1217" s="152">
        <f>基础材料!$D$66</f>
        <v>110</v>
      </c>
      <c r="G1217" s="329">
        <f t="shared" si="128"/>
        <v>11330</v>
      </c>
    </row>
    <row r="1218" customHeight="1" spans="1:7">
      <c r="A1218" s="314"/>
      <c r="B1218" s="347" t="s">
        <v>893</v>
      </c>
      <c r="C1218" s="347"/>
      <c r="D1218" s="317" t="s">
        <v>894</v>
      </c>
      <c r="E1218" s="152">
        <v>1</v>
      </c>
      <c r="F1218" s="147">
        <f>SUM(G1217:G1217)</f>
        <v>11330</v>
      </c>
      <c r="G1218" s="329">
        <f>E1218*F1218/100</f>
        <v>113.3</v>
      </c>
    </row>
    <row r="1219" customHeight="1" spans="1:7">
      <c r="A1219" s="314" t="s">
        <v>905</v>
      </c>
      <c r="B1219" s="347" t="s">
        <v>514</v>
      </c>
      <c r="C1219" s="347"/>
      <c r="D1219" s="317"/>
      <c r="E1219" s="332">
        <f>G1212</f>
        <v>12723.14</v>
      </c>
      <c r="F1219" s="155">
        <f>费率表!$F$12</f>
        <v>0.064</v>
      </c>
      <c r="G1219" s="329">
        <f t="shared" ref="G1219:G1221" si="129">E1219*F1219</f>
        <v>814.28096</v>
      </c>
    </row>
    <row r="1220" customHeight="1" spans="1:7">
      <c r="A1220" s="314" t="s">
        <v>10</v>
      </c>
      <c r="B1220" s="347" t="s">
        <v>770</v>
      </c>
      <c r="C1220" s="347"/>
      <c r="D1220" s="317"/>
      <c r="E1220" s="326">
        <f>G1211</f>
        <v>13537.42096</v>
      </c>
      <c r="F1220" s="155">
        <f>费率表!$F$13</f>
        <v>0.085</v>
      </c>
      <c r="G1220" s="329">
        <f t="shared" si="129"/>
        <v>1150.6807816</v>
      </c>
    </row>
    <row r="1221" customHeight="1" spans="1:7">
      <c r="A1221" s="314" t="s">
        <v>12</v>
      </c>
      <c r="B1221" s="347" t="s">
        <v>771</v>
      </c>
      <c r="C1221" s="347"/>
      <c r="D1221" s="317"/>
      <c r="E1221" s="326">
        <f>G1211+G1220</f>
        <v>14688.1017416</v>
      </c>
      <c r="F1221" s="156">
        <f>费率表!$F$14</f>
        <v>0.07</v>
      </c>
      <c r="G1221" s="329">
        <f t="shared" si="129"/>
        <v>1028.167121912</v>
      </c>
    </row>
    <row r="1222" customHeight="1" spans="1:7">
      <c r="A1222" s="314" t="s">
        <v>15</v>
      </c>
      <c r="B1222" s="347" t="s">
        <v>517</v>
      </c>
      <c r="C1222" s="347"/>
      <c r="D1222" s="317"/>
      <c r="E1222" s="326"/>
      <c r="F1222" s="157"/>
      <c r="G1222" s="329">
        <f>SUM(G1223:G1224)</f>
        <v>0</v>
      </c>
    </row>
    <row r="1223" customHeight="1" spans="1:7">
      <c r="A1223" s="314"/>
      <c r="B1223" s="347" t="s">
        <v>729</v>
      </c>
      <c r="C1223" s="347"/>
      <c r="D1223" s="317" t="s">
        <v>204</v>
      </c>
      <c r="E1223" s="326"/>
      <c r="F1223" s="438">
        <f>主要材料预算!$N$5</f>
        <v>139.17214</v>
      </c>
      <c r="G1223" s="329">
        <f t="shared" ref="G1223:G1226" si="130">E1223*F1223</f>
        <v>0</v>
      </c>
    </row>
    <row r="1224" customHeight="1" spans="1:7">
      <c r="A1224" s="314"/>
      <c r="B1224" s="347" t="s">
        <v>684</v>
      </c>
      <c r="C1224" s="347"/>
      <c r="D1224" s="317" t="s">
        <v>70</v>
      </c>
      <c r="E1224" s="326"/>
      <c r="F1224" s="147"/>
      <c r="G1224" s="329">
        <f t="shared" si="130"/>
        <v>0</v>
      </c>
    </row>
    <row r="1225" customHeight="1" spans="1:7">
      <c r="A1225" s="314" t="s">
        <v>906</v>
      </c>
      <c r="B1225" s="347" t="s">
        <v>772</v>
      </c>
      <c r="C1225" s="347"/>
      <c r="D1225" s="317"/>
      <c r="E1225" s="326">
        <f>G1211+G1220++G1221+G1222</f>
        <v>15716.268863512</v>
      </c>
      <c r="F1225" s="156">
        <f>费率表!$F$15</f>
        <v>0.09</v>
      </c>
      <c r="G1225" s="329">
        <f t="shared" si="130"/>
        <v>1414.46419771608</v>
      </c>
    </row>
    <row r="1226" customHeight="1" spans="1:7">
      <c r="A1226" s="314"/>
      <c r="B1226" s="347" t="s">
        <v>907</v>
      </c>
      <c r="C1226" s="347"/>
      <c r="D1226" s="317"/>
      <c r="E1226" s="326">
        <f>G1211+G1220+G1221+G1222+G1225</f>
        <v>17130.7330612281</v>
      </c>
      <c r="F1226" s="156">
        <f>费率表!$I$19</f>
        <v>0.03</v>
      </c>
      <c r="G1226" s="329">
        <f t="shared" si="130"/>
        <v>513.921991836842</v>
      </c>
    </row>
    <row r="1227" customHeight="1" spans="1:7">
      <c r="A1227" s="335"/>
      <c r="B1227" s="338" t="s">
        <v>908</v>
      </c>
      <c r="C1227" s="338"/>
      <c r="D1227" s="338"/>
      <c r="E1227" s="339"/>
      <c r="F1227" s="161"/>
      <c r="G1227" s="340">
        <f>G1211+G1220+G1221+G1222+G1225+G1226</f>
        <v>17644.6550530649</v>
      </c>
    </row>
    <row r="1228" customHeight="1" spans="1:7">
      <c r="A1228" s="126" t="s">
        <v>868</v>
      </c>
      <c r="B1228" s="126"/>
      <c r="C1228" s="126"/>
      <c r="D1228" s="126"/>
      <c r="E1228" s="126"/>
      <c r="F1228" s="126"/>
      <c r="G1228" s="126"/>
    </row>
    <row r="1229" customHeight="1" spans="1:7">
      <c r="A1229" s="309" t="s">
        <v>869</v>
      </c>
      <c r="B1229" s="310"/>
      <c r="C1229" s="310" t="s">
        <v>172</v>
      </c>
      <c r="D1229" s="310" t="s">
        <v>870</v>
      </c>
      <c r="E1229" s="343" t="s">
        <v>1041</v>
      </c>
      <c r="F1229" s="343"/>
      <c r="G1229" s="344"/>
    </row>
    <row r="1230" customHeight="1" spans="1:7">
      <c r="A1230" s="314" t="s">
        <v>507</v>
      </c>
      <c r="B1230" s="315"/>
      <c r="C1230" s="316" t="s">
        <v>1042</v>
      </c>
      <c r="D1230" s="316"/>
      <c r="E1230" s="316"/>
      <c r="F1230" s="61" t="s">
        <v>873</v>
      </c>
      <c r="G1230" s="318" t="s">
        <v>1043</v>
      </c>
    </row>
    <row r="1231" customHeight="1" spans="1:7">
      <c r="A1231" s="345" t="s">
        <v>875</v>
      </c>
      <c r="B1231" s="316"/>
      <c r="C1231" s="316"/>
      <c r="D1231" s="316"/>
      <c r="E1231" s="316"/>
      <c r="F1231" s="316"/>
      <c r="G1231" s="346"/>
    </row>
    <row r="1232" customHeight="1" spans="1:7">
      <c r="A1232" s="322" t="s">
        <v>1039</v>
      </c>
      <c r="B1232" s="323"/>
      <c r="C1232" s="324"/>
      <c r="D1232" s="324"/>
      <c r="E1232" s="324"/>
      <c r="F1232" s="324"/>
      <c r="G1232" s="325"/>
    </row>
    <row r="1233" customHeight="1" spans="1:7">
      <c r="A1233" s="314" t="s">
        <v>34</v>
      </c>
      <c r="B1233" s="317" t="s">
        <v>761</v>
      </c>
      <c r="C1233" s="317"/>
      <c r="D1233" s="317" t="s">
        <v>60</v>
      </c>
      <c r="E1233" s="326" t="s">
        <v>877</v>
      </c>
      <c r="F1233" s="61" t="s">
        <v>878</v>
      </c>
      <c r="G1233" s="318" t="s">
        <v>879</v>
      </c>
    </row>
    <row r="1234" customHeight="1" spans="1:7">
      <c r="A1234" s="314" t="s">
        <v>8</v>
      </c>
      <c r="B1234" s="347" t="s">
        <v>880</v>
      </c>
      <c r="C1234" s="347"/>
      <c r="D1234" s="317"/>
      <c r="E1234" s="326"/>
      <c r="F1234" s="147"/>
      <c r="G1234" s="329">
        <f>G1235+G1245</f>
        <v>5373.84226232</v>
      </c>
    </row>
    <row r="1235" customHeight="1" spans="1:7">
      <c r="A1235" s="314" t="s">
        <v>881</v>
      </c>
      <c r="B1235" s="347" t="s">
        <v>882</v>
      </c>
      <c r="C1235" s="347"/>
      <c r="D1235" s="317"/>
      <c r="E1235" s="326"/>
      <c r="F1235" s="147"/>
      <c r="G1235" s="329">
        <f>G1236+G1239</f>
        <v>5050.60363</v>
      </c>
    </row>
    <row r="1236" customHeight="1" spans="1:7">
      <c r="A1236" s="314" t="s">
        <v>17</v>
      </c>
      <c r="B1236" s="347" t="s">
        <v>510</v>
      </c>
      <c r="C1236" s="347"/>
      <c r="D1236" s="317"/>
      <c r="E1236" s="326"/>
      <c r="F1236" s="147"/>
      <c r="G1236" s="329">
        <f>SUM(G1237:G1238)</f>
        <v>1773.09</v>
      </c>
    </row>
    <row r="1237" customHeight="1" spans="1:7">
      <c r="A1237" s="314"/>
      <c r="B1237" s="327" t="s">
        <v>704</v>
      </c>
      <c r="C1237" s="328"/>
      <c r="D1237" s="317" t="s">
        <v>705</v>
      </c>
      <c r="E1237" s="330">
        <v>218.9</v>
      </c>
      <c r="F1237" s="423">
        <f>主要材料预算!$D$19</f>
        <v>8.1</v>
      </c>
      <c r="G1237" s="329">
        <f t="shared" ref="G1237:G1243" si="131">E1237*F1237</f>
        <v>1773.09</v>
      </c>
    </row>
    <row r="1238" customHeight="1" spans="1:7">
      <c r="A1238" s="314"/>
      <c r="B1238" s="327" t="s">
        <v>706</v>
      </c>
      <c r="C1238" s="328"/>
      <c r="D1238" s="317" t="s">
        <v>705</v>
      </c>
      <c r="E1238" s="330">
        <v>85.1</v>
      </c>
      <c r="F1238" s="423">
        <f>主要材料预算!$D$20</f>
        <v>5.77</v>
      </c>
      <c r="G1238" s="329"/>
    </row>
    <row r="1239" customHeight="1" spans="1:7">
      <c r="A1239" s="314" t="s">
        <v>19</v>
      </c>
      <c r="B1239" s="347" t="s">
        <v>511</v>
      </c>
      <c r="C1239" s="347"/>
      <c r="D1239" s="317"/>
      <c r="E1239" s="326"/>
      <c r="F1239" s="147"/>
      <c r="G1239" s="329">
        <f>SUM(G1240:G1244)</f>
        <v>3277.51363</v>
      </c>
    </row>
    <row r="1240" customHeight="1" spans="1:7">
      <c r="A1240" s="314"/>
      <c r="B1240" s="347" t="s">
        <v>1044</v>
      </c>
      <c r="C1240" s="347"/>
      <c r="D1240" s="317" t="s">
        <v>204</v>
      </c>
      <c r="E1240" s="326">
        <v>0.79</v>
      </c>
      <c r="F1240" s="423">
        <f>基础材料!$D$61</f>
        <v>3500</v>
      </c>
      <c r="G1240" s="329">
        <f t="shared" si="131"/>
        <v>2765</v>
      </c>
    </row>
    <row r="1241" customHeight="1" spans="1:7">
      <c r="A1241" s="314"/>
      <c r="B1241" s="347" t="s">
        <v>729</v>
      </c>
      <c r="C1241" s="347"/>
      <c r="D1241" s="317" t="s">
        <v>204</v>
      </c>
      <c r="E1241" s="326">
        <v>0.85</v>
      </c>
      <c r="F1241" s="423">
        <f>主要材料预算!$M$5</f>
        <v>255</v>
      </c>
      <c r="G1241" s="329">
        <f t="shared" si="131"/>
        <v>216.75</v>
      </c>
    </row>
    <row r="1242" customHeight="1" spans="1:7">
      <c r="A1242" s="314"/>
      <c r="B1242" s="347" t="s">
        <v>753</v>
      </c>
      <c r="C1242" s="347"/>
      <c r="D1242" s="317" t="s">
        <v>70</v>
      </c>
      <c r="E1242" s="326">
        <v>2.9</v>
      </c>
      <c r="F1242" s="147">
        <v>5.97</v>
      </c>
      <c r="G1242" s="329">
        <f t="shared" si="131"/>
        <v>17.313</v>
      </c>
    </row>
    <row r="1243" customHeight="1" spans="1:7">
      <c r="A1243" s="314"/>
      <c r="B1243" s="475" t="s">
        <v>1045</v>
      </c>
      <c r="C1243" s="475"/>
      <c r="D1243" s="389" t="s">
        <v>695</v>
      </c>
      <c r="E1243" s="476">
        <v>1230</v>
      </c>
      <c r="F1243" s="477">
        <f>基础材料!$D$63</f>
        <v>0.2</v>
      </c>
      <c r="G1243" s="329">
        <f t="shared" si="131"/>
        <v>246</v>
      </c>
    </row>
    <row r="1244" customHeight="1" spans="1:7">
      <c r="A1244" s="314"/>
      <c r="B1244" s="347" t="s">
        <v>893</v>
      </c>
      <c r="C1244" s="347"/>
      <c r="D1244" s="317" t="s">
        <v>894</v>
      </c>
      <c r="E1244" s="152">
        <v>1</v>
      </c>
      <c r="F1244" s="147">
        <f>SUM(G1240:G1243)</f>
        <v>3245.063</v>
      </c>
      <c r="G1244" s="329">
        <f>E1244*F1244/100</f>
        <v>32.45063</v>
      </c>
    </row>
    <row r="1245" customHeight="1" spans="1:7">
      <c r="A1245" s="314" t="s">
        <v>905</v>
      </c>
      <c r="B1245" s="347" t="s">
        <v>514</v>
      </c>
      <c r="C1245" s="347"/>
      <c r="D1245" s="317"/>
      <c r="E1245" s="332">
        <f>G1235</f>
        <v>5050.60363</v>
      </c>
      <c r="F1245" s="155">
        <f>费率表!$F$12</f>
        <v>0.064</v>
      </c>
      <c r="G1245" s="329">
        <f t="shared" ref="G1245:G1247" si="132">E1245*F1245</f>
        <v>323.23863232</v>
      </c>
    </row>
    <row r="1246" customHeight="1" spans="1:7">
      <c r="A1246" s="314" t="s">
        <v>10</v>
      </c>
      <c r="B1246" s="347" t="s">
        <v>770</v>
      </c>
      <c r="C1246" s="347"/>
      <c r="D1246" s="317"/>
      <c r="E1246" s="326">
        <f>G1234</f>
        <v>5373.84226232</v>
      </c>
      <c r="F1246" s="155">
        <f>费率表!$F$13</f>
        <v>0.085</v>
      </c>
      <c r="G1246" s="329">
        <f t="shared" si="132"/>
        <v>456.7765922972</v>
      </c>
    </row>
    <row r="1247" customHeight="1" spans="1:7">
      <c r="A1247" s="314" t="s">
        <v>12</v>
      </c>
      <c r="B1247" s="347" t="s">
        <v>771</v>
      </c>
      <c r="C1247" s="347"/>
      <c r="D1247" s="317"/>
      <c r="E1247" s="326">
        <f>G1234+G1246</f>
        <v>5830.6188546172</v>
      </c>
      <c r="F1247" s="156">
        <f>费率表!$F$14</f>
        <v>0.07</v>
      </c>
      <c r="G1247" s="329">
        <f t="shared" si="132"/>
        <v>408.143319823204</v>
      </c>
    </row>
    <row r="1248" customHeight="1" spans="1:7">
      <c r="A1248" s="314" t="s">
        <v>15</v>
      </c>
      <c r="B1248" s="347" t="s">
        <v>517</v>
      </c>
      <c r="C1248" s="347"/>
      <c r="D1248" s="317"/>
      <c r="E1248" s="326"/>
      <c r="F1248" s="157"/>
      <c r="G1248" s="329">
        <f>SUM(G1249:G1250)</f>
        <v>118.296319</v>
      </c>
    </row>
    <row r="1249" customHeight="1" spans="1:7">
      <c r="A1249" s="314"/>
      <c r="B1249" s="347" t="s">
        <v>729</v>
      </c>
      <c r="C1249" s="347"/>
      <c r="D1249" s="317" t="s">
        <v>204</v>
      </c>
      <c r="E1249" s="326">
        <f>E1241</f>
        <v>0.85</v>
      </c>
      <c r="F1249" s="438">
        <f>主要材料预算!$N$5</f>
        <v>139.17214</v>
      </c>
      <c r="G1249" s="329">
        <f t="shared" ref="G1249:G1252" si="133">E1249*F1249</f>
        <v>118.296319</v>
      </c>
    </row>
    <row r="1250" customHeight="1" spans="1:7">
      <c r="A1250" s="314"/>
      <c r="B1250" s="347" t="s">
        <v>684</v>
      </c>
      <c r="C1250" s="347"/>
      <c r="D1250" s="317" t="s">
        <v>70</v>
      </c>
      <c r="E1250" s="326"/>
      <c r="F1250" s="147"/>
      <c r="G1250" s="329">
        <f t="shared" si="133"/>
        <v>0</v>
      </c>
    </row>
    <row r="1251" customHeight="1" spans="1:7">
      <c r="A1251" s="314" t="s">
        <v>906</v>
      </c>
      <c r="B1251" s="347" t="s">
        <v>772</v>
      </c>
      <c r="C1251" s="347"/>
      <c r="D1251" s="317"/>
      <c r="E1251" s="326">
        <f>G1234+G1246++G1247+G1248</f>
        <v>6357.05849344041</v>
      </c>
      <c r="F1251" s="156">
        <f>费率表!$F$15</f>
        <v>0.09</v>
      </c>
      <c r="G1251" s="329">
        <f t="shared" si="133"/>
        <v>572.135264409636</v>
      </c>
    </row>
    <row r="1252" customHeight="1" spans="1:7">
      <c r="A1252" s="314"/>
      <c r="B1252" s="347" t="s">
        <v>907</v>
      </c>
      <c r="C1252" s="347"/>
      <c r="D1252" s="317"/>
      <c r="E1252" s="326">
        <f>G1234+G1246+G1247+G1248+G1251</f>
        <v>6929.19375785004</v>
      </c>
      <c r="F1252" s="156">
        <f>费率表!$I$19</f>
        <v>0.03</v>
      </c>
      <c r="G1252" s="329">
        <f t="shared" si="133"/>
        <v>207.875812735501</v>
      </c>
    </row>
    <row r="1253" customHeight="1" spans="1:7">
      <c r="A1253" s="335"/>
      <c r="B1253" s="338" t="s">
        <v>908</v>
      </c>
      <c r="C1253" s="338"/>
      <c r="D1253" s="338"/>
      <c r="E1253" s="339"/>
      <c r="F1253" s="161"/>
      <c r="G1253" s="340">
        <f>G1234+G1246+G1247+G1248+G1251+G1252</f>
        <v>7137.06957058554</v>
      </c>
    </row>
    <row r="1254" customHeight="1" spans="1:7">
      <c r="A1254" s="227"/>
      <c r="B1254" s="227"/>
      <c r="C1254" s="227"/>
      <c r="D1254" s="227"/>
      <c r="E1254" s="228"/>
      <c r="F1254" s="123"/>
      <c r="G1254" s="228"/>
    </row>
    <row r="1255" customHeight="1" spans="1:7">
      <c r="A1255" s="164" t="s">
        <v>868</v>
      </c>
      <c r="B1255" s="164"/>
      <c r="C1255" s="164"/>
      <c r="D1255" s="164"/>
      <c r="E1255" s="164"/>
      <c r="F1255" s="164"/>
      <c r="G1255" s="164"/>
    </row>
    <row r="1256" customHeight="1" spans="1:7">
      <c r="A1256" s="403" t="s">
        <v>869</v>
      </c>
      <c r="B1256" s="404"/>
      <c r="C1256" s="404" t="s">
        <v>178</v>
      </c>
      <c r="D1256" s="404" t="s">
        <v>870</v>
      </c>
      <c r="E1256" s="405" t="s">
        <v>1046</v>
      </c>
      <c r="F1256" s="406"/>
      <c r="G1256" s="407"/>
    </row>
    <row r="1257" customHeight="1" spans="1:7">
      <c r="A1257" s="408" t="s">
        <v>507</v>
      </c>
      <c r="B1257" s="409"/>
      <c r="C1257" s="410" t="s">
        <v>1047</v>
      </c>
      <c r="D1257" s="410"/>
      <c r="E1257" s="410"/>
      <c r="F1257" s="439" t="s">
        <v>873</v>
      </c>
      <c r="G1257" s="412" t="s">
        <v>269</v>
      </c>
    </row>
    <row r="1258" customHeight="1" spans="1:7">
      <c r="A1258" s="413" t="s">
        <v>875</v>
      </c>
      <c r="B1258" s="414"/>
      <c r="C1258" s="414"/>
      <c r="D1258" s="414"/>
      <c r="E1258" s="414"/>
      <c r="F1258" s="414"/>
      <c r="G1258" s="415"/>
    </row>
    <row r="1259" customHeight="1" spans="1:7">
      <c r="A1259" s="441" t="s">
        <v>1048</v>
      </c>
      <c r="B1259" s="442"/>
      <c r="C1259" s="443"/>
      <c r="D1259" s="443"/>
      <c r="E1259" s="443"/>
      <c r="F1259" s="443"/>
      <c r="G1259" s="444"/>
    </row>
    <row r="1260" customHeight="1" spans="1:7">
      <c r="A1260" s="314" t="s">
        <v>34</v>
      </c>
      <c r="B1260" s="317" t="s">
        <v>761</v>
      </c>
      <c r="C1260" s="317"/>
      <c r="D1260" s="317" t="s">
        <v>60</v>
      </c>
      <c r="E1260" s="326" t="s">
        <v>877</v>
      </c>
      <c r="F1260" s="61" t="s">
        <v>878</v>
      </c>
      <c r="G1260" s="318" t="s">
        <v>879</v>
      </c>
    </row>
    <row r="1261" customHeight="1" spans="1:7">
      <c r="A1261" s="314" t="s">
        <v>8</v>
      </c>
      <c r="B1261" s="327" t="s">
        <v>880</v>
      </c>
      <c r="C1261" s="328"/>
      <c r="D1261" s="317"/>
      <c r="E1261" s="326"/>
      <c r="F1261" s="147"/>
      <c r="G1261" s="329">
        <f>G1262+G1269</f>
        <v>32.883295</v>
      </c>
    </row>
    <row r="1262" customHeight="1" spans="1:7">
      <c r="A1262" s="314" t="s">
        <v>881</v>
      </c>
      <c r="B1262" s="327" t="s">
        <v>882</v>
      </c>
      <c r="C1262" s="328"/>
      <c r="D1262" s="317"/>
      <c r="E1262" s="326"/>
      <c r="F1262" s="147"/>
      <c r="G1262" s="329">
        <f>G1263+G1266</f>
        <v>31.169</v>
      </c>
    </row>
    <row r="1263" customHeight="1" spans="1:7">
      <c r="A1263" s="314" t="s">
        <v>17</v>
      </c>
      <c r="B1263" s="327" t="s">
        <v>510</v>
      </c>
      <c r="C1263" s="328"/>
      <c r="D1263" s="317"/>
      <c r="E1263" s="326"/>
      <c r="F1263" s="147"/>
      <c r="G1263" s="329">
        <f>SUM(G1264:G1265)</f>
        <v>31.169</v>
      </c>
    </row>
    <row r="1264" customHeight="1" spans="1:7">
      <c r="A1264" s="314"/>
      <c r="B1264" s="327" t="s">
        <v>704</v>
      </c>
      <c r="C1264" s="328"/>
      <c r="D1264" s="317" t="s">
        <v>705</v>
      </c>
      <c r="E1264" s="423">
        <v>0.5</v>
      </c>
      <c r="F1264" s="423">
        <f>主要材料预算!$D$19</f>
        <v>8.1</v>
      </c>
      <c r="G1264" s="329">
        <f t="shared" ref="G1264:G1267" si="134">E1264*F1264</f>
        <v>4.05</v>
      </c>
    </row>
    <row r="1265" customHeight="1" spans="1:7">
      <c r="A1265" s="314"/>
      <c r="B1265" s="327" t="s">
        <v>706</v>
      </c>
      <c r="C1265" s="328"/>
      <c r="D1265" s="317" t="s">
        <v>705</v>
      </c>
      <c r="E1265" s="423">
        <v>4.7</v>
      </c>
      <c r="F1265" s="423">
        <f>主要材料预算!$D$20</f>
        <v>5.77</v>
      </c>
      <c r="G1265" s="329">
        <f t="shared" si="134"/>
        <v>27.119</v>
      </c>
    </row>
    <row r="1266" customHeight="1" spans="1:7">
      <c r="A1266" s="314" t="s">
        <v>19</v>
      </c>
      <c r="B1266" s="327" t="s">
        <v>511</v>
      </c>
      <c r="C1266" s="328"/>
      <c r="D1266" s="317"/>
      <c r="E1266" s="326"/>
      <c r="F1266" s="147"/>
      <c r="G1266" s="329">
        <f>SUM(G1267:G1268)</f>
        <v>0</v>
      </c>
    </row>
    <row r="1267" customHeight="1" spans="1:7">
      <c r="A1267" s="314"/>
      <c r="B1267" s="327" t="s">
        <v>1049</v>
      </c>
      <c r="C1267" s="328"/>
      <c r="D1267" s="317" t="s">
        <v>67</v>
      </c>
      <c r="E1267" s="478">
        <v>10</v>
      </c>
      <c r="F1267" s="147"/>
      <c r="G1267" s="329">
        <f t="shared" si="134"/>
        <v>0</v>
      </c>
    </row>
    <row r="1268" customHeight="1" spans="1:7">
      <c r="A1268" s="314"/>
      <c r="B1268" s="327" t="s">
        <v>893</v>
      </c>
      <c r="C1268" s="328"/>
      <c r="D1268" s="317" t="s">
        <v>894</v>
      </c>
      <c r="E1268" s="151">
        <v>7</v>
      </c>
      <c r="F1268" s="147">
        <f>SUM(G1267:G1267)</f>
        <v>0</v>
      </c>
      <c r="G1268" s="329">
        <f>E1268*F1268/100</f>
        <v>0</v>
      </c>
    </row>
    <row r="1269" customHeight="1" spans="1:7">
      <c r="A1269" s="314" t="s">
        <v>905</v>
      </c>
      <c r="B1269" s="327" t="s">
        <v>514</v>
      </c>
      <c r="C1269" s="328"/>
      <c r="D1269" s="317"/>
      <c r="E1269" s="332">
        <f>G1262</f>
        <v>31.169</v>
      </c>
      <c r="F1269" s="155">
        <f>费率表!$K$12</f>
        <v>0.055</v>
      </c>
      <c r="G1269" s="329">
        <f t="shared" ref="G1269:G1271" si="135">E1269*F1269</f>
        <v>1.714295</v>
      </c>
    </row>
    <row r="1270" customHeight="1" spans="1:7">
      <c r="A1270" s="314" t="s">
        <v>10</v>
      </c>
      <c r="B1270" s="327" t="s">
        <v>770</v>
      </c>
      <c r="C1270" s="328"/>
      <c r="D1270" s="317"/>
      <c r="E1270" s="326">
        <f>G1263</f>
        <v>31.169</v>
      </c>
      <c r="F1270" s="156">
        <f>费率表!$K$13</f>
        <v>0.7</v>
      </c>
      <c r="G1270" s="329">
        <f t="shared" si="135"/>
        <v>21.8183</v>
      </c>
    </row>
    <row r="1271" customHeight="1" spans="1:7">
      <c r="A1271" s="314" t="s">
        <v>12</v>
      </c>
      <c r="B1271" s="327" t="s">
        <v>771</v>
      </c>
      <c r="C1271" s="328"/>
      <c r="D1271" s="317"/>
      <c r="E1271" s="326">
        <f>G1261+G1270</f>
        <v>54.701595</v>
      </c>
      <c r="F1271" s="156">
        <f>费率表!$K$14</f>
        <v>0.07</v>
      </c>
      <c r="G1271" s="329">
        <f t="shared" si="135"/>
        <v>3.82911165</v>
      </c>
    </row>
    <row r="1272" customHeight="1" spans="1:7">
      <c r="A1272" s="314" t="s">
        <v>15</v>
      </c>
      <c r="B1272" s="327" t="s">
        <v>517</v>
      </c>
      <c r="C1272" s="328"/>
      <c r="D1272" s="317"/>
      <c r="E1272" s="326"/>
      <c r="F1272" s="157"/>
      <c r="G1272" s="329">
        <f>SUM(G1273:G1273)</f>
        <v>0</v>
      </c>
    </row>
    <row r="1273" customHeight="1" spans="1:7">
      <c r="A1273" s="314"/>
      <c r="B1273" s="327" t="s">
        <v>1050</v>
      </c>
      <c r="C1273" s="328"/>
      <c r="D1273" s="317" t="s">
        <v>67</v>
      </c>
      <c r="E1273" s="326">
        <f>E1267</f>
        <v>10</v>
      </c>
      <c r="F1273" s="438"/>
      <c r="G1273" s="329">
        <f t="shared" ref="G1273:G1275" si="136">E1273*F1273</f>
        <v>0</v>
      </c>
    </row>
    <row r="1274" customHeight="1" spans="1:7">
      <c r="A1274" s="314" t="s">
        <v>906</v>
      </c>
      <c r="B1274" s="327" t="s">
        <v>772</v>
      </c>
      <c r="C1274" s="328"/>
      <c r="D1274" s="317"/>
      <c r="E1274" s="326">
        <f>G1261+G1270++G1271+G1272</f>
        <v>58.53070665</v>
      </c>
      <c r="F1274" s="156">
        <f>费率表!$F$15</f>
        <v>0.09</v>
      </c>
      <c r="G1274" s="329">
        <f t="shared" si="136"/>
        <v>5.2677635985</v>
      </c>
    </row>
    <row r="1275" customHeight="1" spans="1:7">
      <c r="A1275" s="314"/>
      <c r="B1275" s="327" t="s">
        <v>907</v>
      </c>
      <c r="C1275" s="328"/>
      <c r="D1275" s="317"/>
      <c r="E1275" s="326">
        <f>G1261+G1270+G1271+G1272+G1274</f>
        <v>63.7984702485</v>
      </c>
      <c r="F1275" s="156">
        <f>费率表!$I$19</f>
        <v>0.03</v>
      </c>
      <c r="G1275" s="329">
        <f t="shared" si="136"/>
        <v>1.913954107455</v>
      </c>
    </row>
    <row r="1276" customHeight="1" spans="1:7">
      <c r="A1276" s="335"/>
      <c r="B1276" s="336" t="s">
        <v>908</v>
      </c>
      <c r="C1276" s="337"/>
      <c r="D1276" s="338"/>
      <c r="E1276" s="339"/>
      <c r="F1276" s="161"/>
      <c r="G1276" s="340">
        <f>G1261+G1270+G1271+G1272+G1274+G1275</f>
        <v>65.712424355955</v>
      </c>
    </row>
    <row r="1277" customHeight="1" spans="1:7">
      <c r="A1277" s="227"/>
      <c r="B1277" s="227"/>
      <c r="C1277" s="227"/>
      <c r="D1277" s="227"/>
      <c r="E1277" s="228"/>
      <c r="F1277" s="123"/>
      <c r="G1277" s="228"/>
    </row>
    <row r="1278" customHeight="1" spans="1:7">
      <c r="A1278" s="164" t="s">
        <v>868</v>
      </c>
      <c r="B1278" s="164"/>
      <c r="C1278" s="164"/>
      <c r="D1278" s="164"/>
      <c r="E1278" s="164"/>
      <c r="F1278" s="164"/>
      <c r="G1278" s="164"/>
    </row>
    <row r="1279" customHeight="1" spans="1:7">
      <c r="A1279" s="403" t="s">
        <v>869</v>
      </c>
      <c r="B1279" s="404"/>
      <c r="C1279" s="404" t="s">
        <v>178</v>
      </c>
      <c r="D1279" s="404" t="s">
        <v>870</v>
      </c>
      <c r="E1279" s="405" t="s">
        <v>1051</v>
      </c>
      <c r="F1279" s="406"/>
      <c r="G1279" s="407"/>
    </row>
    <row r="1280" customHeight="1" spans="1:7">
      <c r="A1280" s="408" t="s">
        <v>507</v>
      </c>
      <c r="B1280" s="409"/>
      <c r="C1280" s="410" t="s">
        <v>1052</v>
      </c>
      <c r="D1280" s="410"/>
      <c r="E1280" s="410"/>
      <c r="F1280" s="439" t="s">
        <v>873</v>
      </c>
      <c r="G1280" s="412" t="s">
        <v>642</v>
      </c>
    </row>
    <row r="1281" customHeight="1" spans="1:7">
      <c r="A1281" s="413" t="s">
        <v>1053</v>
      </c>
      <c r="B1281" s="414"/>
      <c r="C1281" s="414"/>
      <c r="D1281" s="414"/>
      <c r="E1281" s="414"/>
      <c r="F1281" s="414"/>
      <c r="G1281" s="415"/>
    </row>
    <row r="1282" customHeight="1" spans="1:7">
      <c r="A1282" s="416" t="s">
        <v>1054</v>
      </c>
      <c r="B1282" s="417"/>
      <c r="C1282" s="324"/>
      <c r="D1282" s="324"/>
      <c r="E1282" s="324"/>
      <c r="F1282" s="324"/>
      <c r="G1282" s="325"/>
    </row>
    <row r="1283" customHeight="1" spans="1:7">
      <c r="A1283" s="314" t="s">
        <v>34</v>
      </c>
      <c r="B1283" s="317" t="s">
        <v>761</v>
      </c>
      <c r="C1283" s="317"/>
      <c r="D1283" s="317" t="s">
        <v>60</v>
      </c>
      <c r="E1283" s="326" t="s">
        <v>877</v>
      </c>
      <c r="F1283" s="61" t="s">
        <v>878</v>
      </c>
      <c r="G1283" s="318" t="s">
        <v>879</v>
      </c>
    </row>
    <row r="1284" customHeight="1" spans="1:7">
      <c r="A1284" s="314" t="s">
        <v>8</v>
      </c>
      <c r="B1284" s="327" t="s">
        <v>880</v>
      </c>
      <c r="C1284" s="328"/>
      <c r="D1284" s="317"/>
      <c r="E1284" s="326"/>
      <c r="F1284" s="147"/>
      <c r="G1284" s="329">
        <f>G1285+G1301</f>
        <v>6003.89477063258</v>
      </c>
    </row>
    <row r="1285" customHeight="1" spans="1:7">
      <c r="A1285" s="314" t="s">
        <v>881</v>
      </c>
      <c r="B1285" s="327" t="s">
        <v>882</v>
      </c>
      <c r="C1285" s="328"/>
      <c r="D1285" s="317"/>
      <c r="E1285" s="326"/>
      <c r="F1285" s="147"/>
      <c r="G1285" s="329">
        <f>G1286+G1289+G1297</f>
        <v>5690.89551718728</v>
      </c>
    </row>
    <row r="1286" customHeight="1" spans="1:7">
      <c r="A1286" s="314" t="s">
        <v>17</v>
      </c>
      <c r="B1286" s="327" t="s">
        <v>510</v>
      </c>
      <c r="C1286" s="328"/>
      <c r="D1286" s="317"/>
      <c r="E1286" s="326"/>
      <c r="F1286" s="147"/>
      <c r="G1286" s="329">
        <f>SUM(G1287:G1288)</f>
        <v>2064.069</v>
      </c>
    </row>
    <row r="1287" customHeight="1" spans="1:7">
      <c r="A1287" s="314"/>
      <c r="B1287" s="327" t="s">
        <v>704</v>
      </c>
      <c r="C1287" s="328"/>
      <c r="D1287" s="317" t="s">
        <v>705</v>
      </c>
      <c r="E1287" s="423">
        <v>195.2</v>
      </c>
      <c r="F1287" s="423">
        <f>主要材料预算!$D$19</f>
        <v>8.1</v>
      </c>
      <c r="G1287" s="329">
        <f>E1287*F1287</f>
        <v>1581.12</v>
      </c>
    </row>
    <row r="1288" customHeight="1" spans="1:7">
      <c r="A1288" s="314"/>
      <c r="B1288" s="327" t="s">
        <v>706</v>
      </c>
      <c r="C1288" s="328"/>
      <c r="D1288" s="317" t="s">
        <v>705</v>
      </c>
      <c r="E1288" s="423">
        <v>83.7</v>
      </c>
      <c r="F1288" s="423">
        <f>主要材料预算!$D$20</f>
        <v>5.77</v>
      </c>
      <c r="G1288" s="329">
        <f>E1288*F1288</f>
        <v>482.949</v>
      </c>
    </row>
    <row r="1289" customHeight="1" spans="1:7">
      <c r="A1289" s="314" t="s">
        <v>19</v>
      </c>
      <c r="B1289" s="327" t="s">
        <v>511</v>
      </c>
      <c r="C1289" s="328"/>
      <c r="D1289" s="317"/>
      <c r="E1289" s="326"/>
      <c r="F1289" s="147"/>
      <c r="G1289" s="329">
        <f>SUM(G1290:G1296)</f>
        <v>2759.5264055</v>
      </c>
    </row>
    <row r="1290" customHeight="1" spans="1:7">
      <c r="A1290" s="314"/>
      <c r="B1290" s="327" t="s">
        <v>883</v>
      </c>
      <c r="C1290" s="328"/>
      <c r="D1290" s="317" t="s">
        <v>70</v>
      </c>
      <c r="E1290" s="326">
        <v>0.5</v>
      </c>
      <c r="F1290" s="423">
        <f>主要材料预算!$L$6</f>
        <v>2209.125</v>
      </c>
      <c r="G1290" s="329">
        <f t="shared" ref="G1290:G1295" si="137">E1290*F1290</f>
        <v>1104.5625</v>
      </c>
    </row>
    <row r="1291" customHeight="1" spans="1:7">
      <c r="A1291" s="314"/>
      <c r="B1291" s="327" t="s">
        <v>990</v>
      </c>
      <c r="C1291" s="328"/>
      <c r="D1291" s="317" t="s">
        <v>695</v>
      </c>
      <c r="E1291" s="326">
        <v>6</v>
      </c>
      <c r="F1291" s="423">
        <f>基础材料!$D$5</f>
        <v>4.5</v>
      </c>
      <c r="G1291" s="329">
        <f t="shared" si="137"/>
        <v>27</v>
      </c>
    </row>
    <row r="1292" customHeight="1" spans="1:7">
      <c r="A1292" s="314"/>
      <c r="B1292" s="327" t="s">
        <v>1021</v>
      </c>
      <c r="C1292" s="328"/>
      <c r="D1292" s="317" t="s">
        <v>695</v>
      </c>
      <c r="E1292" s="326">
        <v>23</v>
      </c>
      <c r="F1292" s="147">
        <f>基础材料!$D$4</f>
        <v>7.03</v>
      </c>
      <c r="G1292" s="329">
        <f t="shared" si="137"/>
        <v>161.69</v>
      </c>
    </row>
    <row r="1293" customHeight="1" spans="1:7">
      <c r="A1293" s="314"/>
      <c r="B1293" s="327" t="s">
        <v>1055</v>
      </c>
      <c r="C1293" s="328"/>
      <c r="D1293" s="317" t="s">
        <v>67</v>
      </c>
      <c r="E1293" s="478">
        <v>100</v>
      </c>
      <c r="F1293" s="147"/>
      <c r="G1293" s="329">
        <f t="shared" si="137"/>
        <v>0</v>
      </c>
    </row>
    <row r="1294" customHeight="1" spans="1:7">
      <c r="A1294" s="314"/>
      <c r="B1294" s="327" t="s">
        <v>1056</v>
      </c>
      <c r="C1294" s="328"/>
      <c r="D1294" s="317" t="s">
        <v>70</v>
      </c>
      <c r="E1294" s="331">
        <v>1</v>
      </c>
      <c r="F1294" s="147">
        <f>混凝土单价计算表!$M$12</f>
        <v>125.89935</v>
      </c>
      <c r="G1294" s="329">
        <f t="shared" si="137"/>
        <v>125.89935</v>
      </c>
    </row>
    <row r="1295" customHeight="1" spans="1:7">
      <c r="A1295" s="314"/>
      <c r="B1295" s="327" t="s">
        <v>1057</v>
      </c>
      <c r="C1295" s="328"/>
      <c r="D1295" s="317" t="s">
        <v>70</v>
      </c>
      <c r="E1295" s="331">
        <v>21</v>
      </c>
      <c r="F1295" s="147">
        <f>基础材料!$D$68</f>
        <v>60</v>
      </c>
      <c r="G1295" s="329">
        <f t="shared" si="137"/>
        <v>1260</v>
      </c>
    </row>
    <row r="1296" customHeight="1" spans="1:7">
      <c r="A1296" s="314"/>
      <c r="B1296" s="327" t="s">
        <v>893</v>
      </c>
      <c r="C1296" s="328"/>
      <c r="D1296" s="317" t="s">
        <v>894</v>
      </c>
      <c r="E1296" s="151">
        <v>3</v>
      </c>
      <c r="F1296" s="147">
        <f>SUM(G1290:G1295)</f>
        <v>2679.15185</v>
      </c>
      <c r="G1296" s="329">
        <f>E1296*F1296/100</f>
        <v>80.3745555</v>
      </c>
    </row>
    <row r="1297" customHeight="1" spans="1:7">
      <c r="A1297" s="314" t="s">
        <v>21</v>
      </c>
      <c r="B1297" s="327" t="s">
        <v>895</v>
      </c>
      <c r="C1297" s="328"/>
      <c r="D1297" s="317"/>
      <c r="E1297" s="147"/>
      <c r="F1297" s="147"/>
      <c r="G1297" s="329">
        <f>SUM(G1298:G1300)</f>
        <v>867.300111687276</v>
      </c>
    </row>
    <row r="1298" customHeight="1" spans="1:7">
      <c r="A1298" s="314"/>
      <c r="B1298" s="327" t="s">
        <v>1058</v>
      </c>
      <c r="C1298" s="328"/>
      <c r="D1298" s="317" t="s">
        <v>896</v>
      </c>
      <c r="E1298" s="147">
        <v>20</v>
      </c>
      <c r="F1298" s="147">
        <f>施工机械台时费!$E$46</f>
        <v>21.615592341444</v>
      </c>
      <c r="G1298" s="329">
        <f t="shared" ref="G1298:G1303" si="138">E1298*F1298</f>
        <v>432.311846828879</v>
      </c>
    </row>
    <row r="1299" customHeight="1" spans="1:7">
      <c r="A1299" s="314"/>
      <c r="B1299" s="327" t="s">
        <v>1059</v>
      </c>
      <c r="C1299" s="328"/>
      <c r="D1299" s="317" t="s">
        <v>896</v>
      </c>
      <c r="E1299" s="147">
        <v>35</v>
      </c>
      <c r="F1299" s="147">
        <f>施工机械台时费!$E$45</f>
        <v>10.1755085759872</v>
      </c>
      <c r="G1299" s="329">
        <f t="shared" si="138"/>
        <v>356.142800159553</v>
      </c>
    </row>
    <row r="1300" customHeight="1" spans="1:7">
      <c r="A1300" s="314"/>
      <c r="B1300" s="327" t="s">
        <v>902</v>
      </c>
      <c r="C1300" s="328"/>
      <c r="D1300" s="317" t="s">
        <v>894</v>
      </c>
      <c r="E1300" s="152">
        <v>10</v>
      </c>
      <c r="F1300" s="147">
        <f>SUM(G1298:G1299)</f>
        <v>788.454646988432</v>
      </c>
      <c r="G1300" s="329">
        <f>E1300*F1300/100</f>
        <v>78.8454646988432</v>
      </c>
    </row>
    <row r="1301" customHeight="1" spans="1:7">
      <c r="A1301" s="314" t="s">
        <v>905</v>
      </c>
      <c r="B1301" s="327" t="s">
        <v>514</v>
      </c>
      <c r="C1301" s="328"/>
      <c r="D1301" s="317"/>
      <c r="E1301" s="332">
        <f>G1285</f>
        <v>5690.89551718728</v>
      </c>
      <c r="F1301" s="155">
        <f>费率表!$K$12</f>
        <v>0.055</v>
      </c>
      <c r="G1301" s="329">
        <f t="shared" si="138"/>
        <v>312.9992534453</v>
      </c>
    </row>
    <row r="1302" customHeight="1" spans="1:7">
      <c r="A1302" s="314" t="s">
        <v>10</v>
      </c>
      <c r="B1302" s="327" t="s">
        <v>770</v>
      </c>
      <c r="C1302" s="328"/>
      <c r="D1302" s="317"/>
      <c r="E1302" s="326">
        <f>G1286</f>
        <v>2064.069</v>
      </c>
      <c r="F1302" s="156">
        <f>费率表!$K$13</f>
        <v>0.7</v>
      </c>
      <c r="G1302" s="329">
        <f t="shared" si="138"/>
        <v>1444.8483</v>
      </c>
    </row>
    <row r="1303" customHeight="1" spans="1:7">
      <c r="A1303" s="314" t="s">
        <v>12</v>
      </c>
      <c r="B1303" s="327" t="s">
        <v>771</v>
      </c>
      <c r="C1303" s="328"/>
      <c r="D1303" s="317"/>
      <c r="E1303" s="326">
        <f>G1284+G1302</f>
        <v>7448.74307063258</v>
      </c>
      <c r="F1303" s="156">
        <f>费率表!$K$14</f>
        <v>0.07</v>
      </c>
      <c r="G1303" s="329">
        <f t="shared" si="138"/>
        <v>521.41201494428</v>
      </c>
    </row>
    <row r="1304" customHeight="1" spans="1:7">
      <c r="A1304" s="314" t="s">
        <v>15</v>
      </c>
      <c r="B1304" s="327" t="s">
        <v>517</v>
      </c>
      <c r="C1304" s="328"/>
      <c r="D1304" s="317"/>
      <c r="E1304" s="326"/>
      <c r="F1304" s="157"/>
      <c r="G1304" s="329">
        <f>SUM(G1305:G1307)</f>
        <v>22247.2541765244</v>
      </c>
    </row>
    <row r="1305" customHeight="1" spans="1:7">
      <c r="A1305" s="314"/>
      <c r="B1305" s="327" t="s">
        <v>729</v>
      </c>
      <c r="C1305" s="328"/>
      <c r="D1305" s="317" t="s">
        <v>204</v>
      </c>
      <c r="E1305" s="326">
        <f>E1294*混凝土单价计算表!$E$12</f>
        <v>0.18146</v>
      </c>
      <c r="F1305" s="438">
        <f>主要材料预算!$N$5</f>
        <v>139.17214</v>
      </c>
      <c r="G1305" s="329">
        <f t="shared" ref="G1305:G1309" si="139">E1305*F1305</f>
        <v>25.2541765244</v>
      </c>
    </row>
    <row r="1306" customHeight="1" spans="1:7">
      <c r="A1306" s="314"/>
      <c r="B1306" s="327" t="s">
        <v>684</v>
      </c>
      <c r="C1306" s="328"/>
      <c r="D1306" s="317" t="s">
        <v>70</v>
      </c>
      <c r="E1306" s="326">
        <f>E1294*混凝土单价计算表!$G$12</f>
        <v>1.13</v>
      </c>
      <c r="F1306" s="147"/>
      <c r="G1306" s="329">
        <f t="shared" si="139"/>
        <v>0</v>
      </c>
    </row>
    <row r="1307" customHeight="1" spans="1:7">
      <c r="A1307" s="314"/>
      <c r="B1307" s="327" t="s">
        <v>1060</v>
      </c>
      <c r="C1307" s="328"/>
      <c r="D1307" s="317" t="s">
        <v>67</v>
      </c>
      <c r="E1307" s="326">
        <f>E1293</f>
        <v>100</v>
      </c>
      <c r="F1307" s="438">
        <f>基础材料!$D$93</f>
        <v>222.22</v>
      </c>
      <c r="G1307" s="329">
        <f t="shared" si="139"/>
        <v>22222</v>
      </c>
    </row>
    <row r="1308" customHeight="1" spans="1:7">
      <c r="A1308" s="314" t="s">
        <v>906</v>
      </c>
      <c r="B1308" s="327" t="s">
        <v>772</v>
      </c>
      <c r="C1308" s="328"/>
      <c r="D1308" s="317"/>
      <c r="E1308" s="326">
        <f>G1284+G1302++G1303+G1304</f>
        <v>30217.4092621013</v>
      </c>
      <c r="F1308" s="156">
        <f>费率表!$F$15</f>
        <v>0.09</v>
      </c>
      <c r="G1308" s="329">
        <f t="shared" si="139"/>
        <v>2719.56683358911</v>
      </c>
    </row>
    <row r="1309" customHeight="1" spans="1:7">
      <c r="A1309" s="314"/>
      <c r="B1309" s="327" t="s">
        <v>907</v>
      </c>
      <c r="C1309" s="328"/>
      <c r="D1309" s="317"/>
      <c r="E1309" s="326">
        <f>G1284+G1302+G1303+G1304+G1308</f>
        <v>32936.9760956904</v>
      </c>
      <c r="F1309" s="156">
        <f>费率表!$I$19</f>
        <v>0.03</v>
      </c>
      <c r="G1309" s="329">
        <f t="shared" si="139"/>
        <v>988.109282870711</v>
      </c>
    </row>
    <row r="1310" customHeight="1" spans="1:7">
      <c r="A1310" s="335"/>
      <c r="B1310" s="336" t="s">
        <v>908</v>
      </c>
      <c r="C1310" s="337"/>
      <c r="D1310" s="338"/>
      <c r="E1310" s="339"/>
      <c r="F1310" s="161"/>
      <c r="G1310" s="340">
        <f>G1284+G1302+G1303+G1304+G1308+G1309</f>
        <v>33925.0853785611</v>
      </c>
    </row>
    <row r="1311" customHeight="1" spans="1:7">
      <c r="A1311" s="227"/>
      <c r="B1311" s="227"/>
      <c r="C1311" s="227"/>
      <c r="D1311" s="227"/>
      <c r="E1311" s="228"/>
      <c r="F1311" s="123"/>
      <c r="G1311" s="228"/>
    </row>
    <row r="1312" customHeight="1" spans="1:7">
      <c r="A1312" s="164" t="s">
        <v>868</v>
      </c>
      <c r="B1312" s="164"/>
      <c r="C1312" s="164"/>
      <c r="D1312" s="164"/>
      <c r="E1312" s="164"/>
      <c r="F1312" s="164"/>
      <c r="G1312" s="164"/>
    </row>
    <row r="1313" customHeight="1" spans="1:7">
      <c r="A1313" s="403" t="s">
        <v>869</v>
      </c>
      <c r="B1313" s="404"/>
      <c r="C1313" s="404" t="s">
        <v>178</v>
      </c>
      <c r="D1313" s="404" t="s">
        <v>870</v>
      </c>
      <c r="E1313" s="405" t="s">
        <v>1061</v>
      </c>
      <c r="F1313" s="406"/>
      <c r="G1313" s="407"/>
    </row>
    <row r="1314" customHeight="1" spans="1:7">
      <c r="A1314" s="408" t="s">
        <v>507</v>
      </c>
      <c r="B1314" s="409"/>
      <c r="C1314" s="410" t="s">
        <v>1062</v>
      </c>
      <c r="D1314" s="410"/>
      <c r="E1314" s="410"/>
      <c r="F1314" s="439" t="s">
        <v>873</v>
      </c>
      <c r="G1314" s="412" t="s">
        <v>642</v>
      </c>
    </row>
    <row r="1315" customHeight="1" spans="1:7">
      <c r="A1315" s="413" t="s">
        <v>1053</v>
      </c>
      <c r="B1315" s="414"/>
      <c r="C1315" s="414"/>
      <c r="D1315" s="414"/>
      <c r="E1315" s="414"/>
      <c r="F1315" s="414"/>
      <c r="G1315" s="415"/>
    </row>
    <row r="1316" customHeight="1" spans="1:7">
      <c r="A1316" s="416" t="s">
        <v>1054</v>
      </c>
      <c r="B1316" s="417"/>
      <c r="C1316" s="324"/>
      <c r="D1316" s="324"/>
      <c r="E1316" s="324"/>
      <c r="F1316" s="324"/>
      <c r="G1316" s="325"/>
    </row>
    <row r="1317" customHeight="1" spans="1:7">
      <c r="A1317" s="314" t="s">
        <v>34</v>
      </c>
      <c r="B1317" s="317" t="s">
        <v>761</v>
      </c>
      <c r="C1317" s="317"/>
      <c r="D1317" s="317" t="s">
        <v>60</v>
      </c>
      <c r="E1317" s="326" t="s">
        <v>877</v>
      </c>
      <c r="F1317" s="61" t="s">
        <v>878</v>
      </c>
      <c r="G1317" s="318" t="s">
        <v>879</v>
      </c>
    </row>
    <row r="1318" customHeight="1" spans="1:7">
      <c r="A1318" s="314" t="s">
        <v>8</v>
      </c>
      <c r="B1318" s="327" t="s">
        <v>880</v>
      </c>
      <c r="C1318" s="328"/>
      <c r="D1318" s="317"/>
      <c r="E1318" s="326"/>
      <c r="F1318" s="147"/>
      <c r="G1318" s="329">
        <f>G1319+G1335</f>
        <v>8664.7120424287</v>
      </c>
    </row>
    <row r="1319" customHeight="1" spans="1:7">
      <c r="A1319" s="314" t="s">
        <v>881</v>
      </c>
      <c r="B1319" s="327" t="s">
        <v>882</v>
      </c>
      <c r="C1319" s="328"/>
      <c r="D1319" s="317"/>
      <c r="E1319" s="326"/>
      <c r="F1319" s="147"/>
      <c r="G1319" s="329">
        <f>G1320+G1323+G1331</f>
        <v>8212.99719661488</v>
      </c>
    </row>
    <row r="1320" customHeight="1" spans="1:7">
      <c r="A1320" s="314" t="s">
        <v>17</v>
      </c>
      <c r="B1320" s="327" t="s">
        <v>510</v>
      </c>
      <c r="C1320" s="328"/>
      <c r="D1320" s="317"/>
      <c r="E1320" s="326"/>
      <c r="F1320" s="147"/>
      <c r="G1320" s="329">
        <f>SUM(G1321:G1322)</f>
        <v>2948.605</v>
      </c>
    </row>
    <row r="1321" customHeight="1" spans="1:7">
      <c r="A1321" s="314"/>
      <c r="B1321" s="327" t="s">
        <v>704</v>
      </c>
      <c r="C1321" s="328"/>
      <c r="D1321" s="317" t="s">
        <v>705</v>
      </c>
      <c r="E1321" s="423">
        <v>278.9</v>
      </c>
      <c r="F1321" s="423">
        <f>主要材料预算!$D$19</f>
        <v>8.1</v>
      </c>
      <c r="G1321" s="329">
        <f>E1321*F1321</f>
        <v>2259.09</v>
      </c>
    </row>
    <row r="1322" customHeight="1" spans="1:7">
      <c r="A1322" s="314"/>
      <c r="B1322" s="327" t="s">
        <v>706</v>
      </c>
      <c r="C1322" s="328"/>
      <c r="D1322" s="317" t="s">
        <v>705</v>
      </c>
      <c r="E1322" s="423">
        <v>119.5</v>
      </c>
      <c r="F1322" s="423">
        <f>主要材料预算!$D$20</f>
        <v>5.77</v>
      </c>
      <c r="G1322" s="329">
        <f>E1322*F1322</f>
        <v>689.515</v>
      </c>
    </row>
    <row r="1323" customHeight="1" spans="1:7">
      <c r="A1323" s="314" t="s">
        <v>19</v>
      </c>
      <c r="B1323" s="327" t="s">
        <v>511</v>
      </c>
      <c r="C1323" s="328"/>
      <c r="D1323" s="317"/>
      <c r="E1323" s="326"/>
      <c r="F1323" s="147"/>
      <c r="G1323" s="329">
        <f>SUM(G1324:G1330)</f>
        <v>3935.4593805</v>
      </c>
    </row>
    <row r="1324" customHeight="1" spans="1:7">
      <c r="A1324" s="314"/>
      <c r="B1324" s="327" t="s">
        <v>883</v>
      </c>
      <c r="C1324" s="328"/>
      <c r="D1324" s="317" t="s">
        <v>70</v>
      </c>
      <c r="E1324" s="326">
        <v>1</v>
      </c>
      <c r="F1324" s="423">
        <f>主要材料预算!$L$6</f>
        <v>2209.125</v>
      </c>
      <c r="G1324" s="329">
        <f t="shared" ref="G1324:G1329" si="140">E1324*F1324</f>
        <v>2209.125</v>
      </c>
    </row>
    <row r="1325" customHeight="1" spans="1:7">
      <c r="A1325" s="314"/>
      <c r="B1325" s="327" t="s">
        <v>990</v>
      </c>
      <c r="C1325" s="328"/>
      <c r="D1325" s="317" t="s">
        <v>695</v>
      </c>
      <c r="E1325" s="326">
        <v>8</v>
      </c>
      <c r="F1325" s="423">
        <f>基础材料!$D$5</f>
        <v>4.5</v>
      </c>
      <c r="G1325" s="329">
        <f t="shared" si="140"/>
        <v>36</v>
      </c>
    </row>
    <row r="1326" customHeight="1" spans="1:7">
      <c r="A1326" s="314"/>
      <c r="B1326" s="327" t="s">
        <v>1021</v>
      </c>
      <c r="C1326" s="328"/>
      <c r="D1326" s="317" t="s">
        <v>695</v>
      </c>
      <c r="E1326" s="326">
        <v>27</v>
      </c>
      <c r="F1326" s="147">
        <f>基础材料!$D$4</f>
        <v>7.03</v>
      </c>
      <c r="G1326" s="329">
        <f t="shared" si="140"/>
        <v>189.81</v>
      </c>
    </row>
    <row r="1327" customHeight="1" spans="1:7">
      <c r="A1327" s="314"/>
      <c r="B1327" s="327" t="s">
        <v>1055</v>
      </c>
      <c r="C1327" s="328"/>
      <c r="D1327" s="317" t="s">
        <v>67</v>
      </c>
      <c r="E1327" s="478">
        <v>100</v>
      </c>
      <c r="F1327" s="147"/>
      <c r="G1327" s="329">
        <f t="shared" si="140"/>
        <v>0</v>
      </c>
    </row>
    <row r="1328" customHeight="1" spans="1:7">
      <c r="A1328" s="314"/>
      <c r="B1328" s="327" t="s">
        <v>1056</v>
      </c>
      <c r="C1328" s="328"/>
      <c r="D1328" s="317" t="s">
        <v>70</v>
      </c>
      <c r="E1328" s="331">
        <v>1</v>
      </c>
      <c r="F1328" s="147">
        <f>混凝土单价计算表!$M$12</f>
        <v>125.89935</v>
      </c>
      <c r="G1328" s="329">
        <f t="shared" si="140"/>
        <v>125.89935</v>
      </c>
    </row>
    <row r="1329" customHeight="1" spans="1:7">
      <c r="A1329" s="314"/>
      <c r="B1329" s="327" t="s">
        <v>1057</v>
      </c>
      <c r="C1329" s="328"/>
      <c r="D1329" s="317" t="s">
        <v>70</v>
      </c>
      <c r="E1329" s="331">
        <v>21</v>
      </c>
      <c r="F1329" s="147">
        <f>基础材料!$D$68</f>
        <v>60</v>
      </c>
      <c r="G1329" s="329">
        <f t="shared" si="140"/>
        <v>1260</v>
      </c>
    </row>
    <row r="1330" customHeight="1" spans="1:7">
      <c r="A1330" s="314"/>
      <c r="B1330" s="327" t="s">
        <v>893</v>
      </c>
      <c r="C1330" s="328"/>
      <c r="D1330" s="317" t="s">
        <v>894</v>
      </c>
      <c r="E1330" s="331">
        <v>3</v>
      </c>
      <c r="F1330" s="147">
        <f>SUM(G1324:G1329)</f>
        <v>3820.83435</v>
      </c>
      <c r="G1330" s="329">
        <f>E1330*F1330/100</f>
        <v>114.6250305</v>
      </c>
    </row>
    <row r="1331" customHeight="1" spans="1:7">
      <c r="A1331" s="314" t="s">
        <v>21</v>
      </c>
      <c r="B1331" s="327" t="s">
        <v>895</v>
      </c>
      <c r="C1331" s="328"/>
      <c r="D1331" s="317"/>
      <c r="E1331" s="147"/>
      <c r="F1331" s="147"/>
      <c r="G1331" s="329">
        <f>SUM(G1332:G1334)</f>
        <v>1328.93281611488</v>
      </c>
    </row>
    <row r="1332" customHeight="1" spans="1:7">
      <c r="A1332" s="314"/>
      <c r="B1332" s="327" t="s">
        <v>1058</v>
      </c>
      <c r="C1332" s="328"/>
      <c r="D1332" s="317" t="s">
        <v>896</v>
      </c>
      <c r="E1332" s="147">
        <v>30</v>
      </c>
      <c r="F1332" s="147">
        <f>施工机械台时费!$E$46</f>
        <v>21.615592341444</v>
      </c>
      <c r="G1332" s="329">
        <f t="shared" ref="G1332:G1337" si="141">E1332*F1332</f>
        <v>648.467770243319</v>
      </c>
    </row>
    <row r="1333" customHeight="1" spans="1:7">
      <c r="A1333" s="314"/>
      <c r="B1333" s="327" t="s">
        <v>1059</v>
      </c>
      <c r="C1333" s="328"/>
      <c r="D1333" s="317" t="s">
        <v>896</v>
      </c>
      <c r="E1333" s="147">
        <v>55</v>
      </c>
      <c r="F1333" s="147">
        <f>施工机械台时费!$E$45</f>
        <v>10.1755085759872</v>
      </c>
      <c r="G1333" s="329">
        <f t="shared" si="141"/>
        <v>559.652971679298</v>
      </c>
    </row>
    <row r="1334" customHeight="1" spans="1:7">
      <c r="A1334" s="314"/>
      <c r="B1334" s="327" t="s">
        <v>902</v>
      </c>
      <c r="C1334" s="328"/>
      <c r="D1334" s="317" t="s">
        <v>894</v>
      </c>
      <c r="E1334" s="152">
        <v>10</v>
      </c>
      <c r="F1334" s="147">
        <f>SUM(G1332:G1333)</f>
        <v>1208.12074192262</v>
      </c>
      <c r="G1334" s="329">
        <f>E1334*F1334/100</f>
        <v>120.812074192262</v>
      </c>
    </row>
    <row r="1335" customHeight="1" spans="1:7">
      <c r="A1335" s="314" t="s">
        <v>905</v>
      </c>
      <c r="B1335" s="327" t="s">
        <v>514</v>
      </c>
      <c r="C1335" s="328"/>
      <c r="D1335" s="317"/>
      <c r="E1335" s="332">
        <f>G1319</f>
        <v>8212.99719661488</v>
      </c>
      <c r="F1335" s="155">
        <f>费率表!$K$12</f>
        <v>0.055</v>
      </c>
      <c r="G1335" s="329">
        <f t="shared" si="141"/>
        <v>451.714845813818</v>
      </c>
    </row>
    <row r="1336" customHeight="1" spans="1:7">
      <c r="A1336" s="314" t="s">
        <v>10</v>
      </c>
      <c r="B1336" s="327" t="s">
        <v>770</v>
      </c>
      <c r="C1336" s="328"/>
      <c r="D1336" s="317"/>
      <c r="E1336" s="326">
        <f>G1320</f>
        <v>2948.605</v>
      </c>
      <c r="F1336" s="156">
        <f>费率表!$K$13</f>
        <v>0.7</v>
      </c>
      <c r="G1336" s="329">
        <f t="shared" si="141"/>
        <v>2064.0235</v>
      </c>
    </row>
    <row r="1337" customHeight="1" spans="1:7">
      <c r="A1337" s="314" t="s">
        <v>12</v>
      </c>
      <c r="B1337" s="327" t="s">
        <v>771</v>
      </c>
      <c r="C1337" s="328"/>
      <c r="D1337" s="317"/>
      <c r="E1337" s="326">
        <f>G1318+G1336</f>
        <v>10728.7355424287</v>
      </c>
      <c r="F1337" s="156">
        <f>费率表!$K$14</f>
        <v>0.07</v>
      </c>
      <c r="G1337" s="329">
        <f t="shared" si="141"/>
        <v>751.011487970009</v>
      </c>
    </row>
    <row r="1338" customHeight="1" spans="1:7">
      <c r="A1338" s="314" t="s">
        <v>15</v>
      </c>
      <c r="B1338" s="327" t="s">
        <v>517</v>
      </c>
      <c r="C1338" s="328"/>
      <c r="D1338" s="317"/>
      <c r="E1338" s="326"/>
      <c r="F1338" s="157"/>
      <c r="G1338" s="329">
        <f>SUM(G1339:G1341)</f>
        <v>35110.1671308244</v>
      </c>
    </row>
    <row r="1339" customHeight="1" spans="1:7">
      <c r="A1339" s="314"/>
      <c r="B1339" s="327" t="s">
        <v>729</v>
      </c>
      <c r="C1339" s="328"/>
      <c r="D1339" s="317" t="s">
        <v>204</v>
      </c>
      <c r="E1339" s="326">
        <f>E1328*混凝土单价计算表!$E$12</f>
        <v>0.18146</v>
      </c>
      <c r="F1339" s="438">
        <f>主要材料预算!$N$5</f>
        <v>139.17214</v>
      </c>
      <c r="G1339" s="329">
        <f t="shared" ref="G1339:G1343" si="142">E1339*F1339</f>
        <v>25.2541765244</v>
      </c>
    </row>
    <row r="1340" customHeight="1" spans="1:7">
      <c r="A1340" s="314"/>
      <c r="B1340" s="327" t="s">
        <v>684</v>
      </c>
      <c r="C1340" s="328"/>
      <c r="D1340" s="317" t="s">
        <v>70</v>
      </c>
      <c r="E1340" s="326">
        <f>E1328*混凝土单价计算表!$G$12</f>
        <v>1.13</v>
      </c>
      <c r="F1340" s="147">
        <f>主要材料预算!$N$7</f>
        <v>37.09111</v>
      </c>
      <c r="G1340" s="329">
        <f t="shared" si="142"/>
        <v>41.9129543</v>
      </c>
    </row>
    <row r="1341" customHeight="1" spans="1:7">
      <c r="A1341" s="314"/>
      <c r="B1341" s="327" t="s">
        <v>1063</v>
      </c>
      <c r="C1341" s="328"/>
      <c r="D1341" s="317" t="s">
        <v>67</v>
      </c>
      <c r="E1341" s="326">
        <f>E1327</f>
        <v>100</v>
      </c>
      <c r="F1341" s="438">
        <f>基础材料!$D$92</f>
        <v>350.43</v>
      </c>
      <c r="G1341" s="329">
        <f t="shared" si="142"/>
        <v>35043</v>
      </c>
    </row>
    <row r="1342" customHeight="1" spans="1:7">
      <c r="A1342" s="314" t="s">
        <v>906</v>
      </c>
      <c r="B1342" s="327" t="s">
        <v>772</v>
      </c>
      <c r="C1342" s="328"/>
      <c r="D1342" s="317"/>
      <c r="E1342" s="326">
        <f>G1318+G1336++G1337+G1338</f>
        <v>46589.9141612231</v>
      </c>
      <c r="F1342" s="156">
        <f>费率表!$F$15</f>
        <v>0.09</v>
      </c>
      <c r="G1342" s="329">
        <f t="shared" si="142"/>
        <v>4193.09227451008</v>
      </c>
    </row>
    <row r="1343" customHeight="1" spans="1:7">
      <c r="A1343" s="314"/>
      <c r="B1343" s="327" t="s">
        <v>907</v>
      </c>
      <c r="C1343" s="328"/>
      <c r="D1343" s="317"/>
      <c r="E1343" s="326">
        <f>G1318+G1336+G1337+G1338+G1342</f>
        <v>50783.0064357332</v>
      </c>
      <c r="F1343" s="156">
        <f>费率表!$I$19</f>
        <v>0.03</v>
      </c>
      <c r="G1343" s="329">
        <f t="shared" si="142"/>
        <v>1523.490193072</v>
      </c>
    </row>
    <row r="1344" customHeight="1" spans="1:7">
      <c r="A1344" s="335"/>
      <c r="B1344" s="336" t="s">
        <v>908</v>
      </c>
      <c r="C1344" s="337"/>
      <c r="D1344" s="338"/>
      <c r="E1344" s="339"/>
      <c r="F1344" s="161"/>
      <c r="G1344" s="340">
        <f>G1318+G1336+G1337+G1338+G1342+G1343</f>
        <v>52306.4966288052</v>
      </c>
    </row>
    <row r="1345" customHeight="1" spans="1:7">
      <c r="A1345" s="227"/>
      <c r="B1345" s="227"/>
      <c r="C1345" s="227"/>
      <c r="D1345" s="227"/>
      <c r="E1345" s="228"/>
      <c r="F1345" s="123"/>
      <c r="G1345" s="228"/>
    </row>
    <row r="1346" customHeight="1" spans="1:7">
      <c r="A1346" s="353" t="s">
        <v>868</v>
      </c>
      <c r="B1346" s="353"/>
      <c r="C1346" s="353"/>
      <c r="D1346" s="353"/>
      <c r="E1346" s="353"/>
      <c r="F1346" s="353"/>
      <c r="G1346" s="353"/>
    </row>
    <row r="1347" customHeight="1" spans="1:7">
      <c r="A1347" s="309" t="s">
        <v>869</v>
      </c>
      <c r="B1347" s="310"/>
      <c r="C1347" s="310" t="s">
        <v>184</v>
      </c>
      <c r="D1347" s="310" t="s">
        <v>870</v>
      </c>
      <c r="E1347" s="311" t="s">
        <v>1064</v>
      </c>
      <c r="F1347" s="312"/>
      <c r="G1347" s="313"/>
    </row>
    <row r="1348" customHeight="1" spans="1:7">
      <c r="A1348" s="314" t="s">
        <v>507</v>
      </c>
      <c r="B1348" s="315"/>
      <c r="C1348" s="316" t="s">
        <v>1065</v>
      </c>
      <c r="D1348" s="316"/>
      <c r="E1348" s="316"/>
      <c r="F1348" s="61" t="s">
        <v>873</v>
      </c>
      <c r="G1348" s="318" t="s">
        <v>1066</v>
      </c>
    </row>
    <row r="1349" customHeight="1" spans="1:7">
      <c r="A1349" s="319" t="s">
        <v>1067</v>
      </c>
      <c r="B1349" s="320"/>
      <c r="C1349" s="320"/>
      <c r="D1349" s="320"/>
      <c r="E1349" s="320"/>
      <c r="F1349" s="320"/>
      <c r="G1349" s="321"/>
    </row>
    <row r="1350" customHeight="1" spans="1:7">
      <c r="A1350" s="322" t="s">
        <v>1068</v>
      </c>
      <c r="B1350" s="323"/>
      <c r="C1350" s="324"/>
      <c r="D1350" s="324"/>
      <c r="E1350" s="324"/>
      <c r="F1350" s="324"/>
      <c r="G1350" s="325"/>
    </row>
    <row r="1351" customHeight="1" spans="1:7">
      <c r="A1351" s="314" t="s">
        <v>34</v>
      </c>
      <c r="B1351" s="317" t="s">
        <v>761</v>
      </c>
      <c r="C1351" s="317"/>
      <c r="D1351" s="317" t="s">
        <v>60</v>
      </c>
      <c r="E1351" s="326" t="s">
        <v>877</v>
      </c>
      <c r="F1351" s="61" t="s">
        <v>878</v>
      </c>
      <c r="G1351" s="318" t="s">
        <v>879</v>
      </c>
    </row>
    <row r="1352" customHeight="1" spans="1:7">
      <c r="A1352" s="314" t="s">
        <v>8</v>
      </c>
      <c r="B1352" s="327" t="s">
        <v>880</v>
      </c>
      <c r="C1352" s="328"/>
      <c r="D1352" s="317"/>
      <c r="E1352" s="326"/>
      <c r="F1352" s="147"/>
      <c r="G1352" s="329">
        <f>G1353+G1365</f>
        <v>15168.1344100525</v>
      </c>
    </row>
    <row r="1353" customHeight="1" spans="1:7">
      <c r="A1353" s="314" t="s">
        <v>881</v>
      </c>
      <c r="B1353" s="327" t="s">
        <v>882</v>
      </c>
      <c r="C1353" s="328"/>
      <c r="D1353" s="317"/>
      <c r="E1353" s="326"/>
      <c r="F1353" s="147"/>
      <c r="G1353" s="329">
        <f>G1354+G1357+G1362</f>
        <v>14255.7654229817</v>
      </c>
    </row>
    <row r="1354" customHeight="1" spans="1:7">
      <c r="A1354" s="314" t="s">
        <v>17</v>
      </c>
      <c r="B1354" s="327" t="s">
        <v>510</v>
      </c>
      <c r="C1354" s="328"/>
      <c r="D1354" s="317"/>
      <c r="E1354" s="326"/>
      <c r="F1354" s="147"/>
      <c r="G1354" s="329">
        <f>SUM(G1355:G1356)</f>
        <v>1190.526</v>
      </c>
    </row>
    <row r="1355" customHeight="1" spans="1:7">
      <c r="A1355" s="314"/>
      <c r="B1355" s="327" t="s">
        <v>704</v>
      </c>
      <c r="C1355" s="328"/>
      <c r="D1355" s="317" t="s">
        <v>705</v>
      </c>
      <c r="E1355" s="423">
        <f>137.3-8*8.3</f>
        <v>70.9</v>
      </c>
      <c r="F1355" s="423">
        <f>主要材料预算!$D$19</f>
        <v>8.1</v>
      </c>
      <c r="G1355" s="329">
        <f t="shared" ref="G1355:G1360" si="143">E1355*F1355</f>
        <v>574.29</v>
      </c>
    </row>
    <row r="1356" customHeight="1" spans="1:7">
      <c r="A1356" s="314"/>
      <c r="B1356" s="327" t="s">
        <v>706</v>
      </c>
      <c r="C1356" s="328"/>
      <c r="D1356" s="317" t="s">
        <v>705</v>
      </c>
      <c r="E1356" s="423">
        <f>206-8*12.4</f>
        <v>106.8</v>
      </c>
      <c r="F1356" s="423">
        <f>主要材料预算!$D$20</f>
        <v>5.77</v>
      </c>
      <c r="G1356" s="329">
        <f t="shared" si="143"/>
        <v>616.236</v>
      </c>
    </row>
    <row r="1357" customHeight="1" spans="1:7">
      <c r="A1357" s="314" t="s">
        <v>19</v>
      </c>
      <c r="B1357" s="327" t="s">
        <v>511</v>
      </c>
      <c r="C1357" s="328"/>
      <c r="D1357" s="317"/>
      <c r="E1357" s="326"/>
      <c r="F1357" s="147"/>
      <c r="G1357" s="329">
        <f>SUM(G1358:G1361)</f>
        <v>12717.27</v>
      </c>
    </row>
    <row r="1358" customHeight="1" spans="1:7">
      <c r="A1358" s="314"/>
      <c r="B1358" s="327" t="s">
        <v>684</v>
      </c>
      <c r="C1358" s="328"/>
      <c r="D1358" s="317" t="s">
        <v>70</v>
      </c>
      <c r="E1358" s="326">
        <f>99-8*4.95</f>
        <v>59.4</v>
      </c>
      <c r="F1358" s="147">
        <f>主要材料预算!$M$7</f>
        <v>70</v>
      </c>
      <c r="G1358" s="329">
        <f t="shared" si="143"/>
        <v>4158</v>
      </c>
    </row>
    <row r="1359" customHeight="1" spans="1:7">
      <c r="A1359" s="314"/>
      <c r="B1359" s="327" t="s">
        <v>1069</v>
      </c>
      <c r="C1359" s="328"/>
      <c r="D1359" s="317" t="s">
        <v>70</v>
      </c>
      <c r="E1359" s="326">
        <f>188-8*9.4</f>
        <v>112.8</v>
      </c>
      <c r="F1359" s="147">
        <f>主要材料预算!$M$9</f>
        <v>70</v>
      </c>
      <c r="G1359" s="329">
        <f t="shared" si="143"/>
        <v>7896</v>
      </c>
    </row>
    <row r="1360" customHeight="1" spans="1:7">
      <c r="A1360" s="314"/>
      <c r="B1360" s="327" t="s">
        <v>1070</v>
      </c>
      <c r="C1360" s="328"/>
      <c r="D1360" s="317" t="s">
        <v>70</v>
      </c>
      <c r="E1360" s="326">
        <f>50-8*2.5</f>
        <v>30</v>
      </c>
      <c r="F1360" s="147">
        <v>20</v>
      </c>
      <c r="G1360" s="329">
        <f t="shared" si="143"/>
        <v>600</v>
      </c>
    </row>
    <row r="1361" customHeight="1" spans="1:9">
      <c r="A1361" s="314"/>
      <c r="B1361" s="327" t="s">
        <v>893</v>
      </c>
      <c r="C1361" s="328"/>
      <c r="D1361" s="317" t="s">
        <v>894</v>
      </c>
      <c r="E1361" s="151">
        <v>0.5</v>
      </c>
      <c r="F1361" s="147">
        <f>SUM(G1358:G1360)</f>
        <v>12654</v>
      </c>
      <c r="G1361" s="329">
        <f>E1361*F1361/100</f>
        <v>63.27</v>
      </c>
    </row>
    <row r="1362" customHeight="1" spans="1:9">
      <c r="A1362" s="314" t="s">
        <v>21</v>
      </c>
      <c r="B1362" s="327" t="s">
        <v>895</v>
      </c>
      <c r="C1362" s="328"/>
      <c r="D1362" s="317"/>
      <c r="E1362" s="147"/>
      <c r="F1362" s="147"/>
      <c r="G1362" s="329">
        <f>SUM(G1363:G1364)</f>
        <v>347.969422981651</v>
      </c>
    </row>
    <row r="1363" customHeight="1" spans="1:9">
      <c r="A1363" s="314"/>
      <c r="B1363" s="327" t="s">
        <v>1071</v>
      </c>
      <c r="C1363" s="328"/>
      <c r="D1363" s="317" t="s">
        <v>896</v>
      </c>
      <c r="E1363" s="147">
        <f>6.57-8*0.15</f>
        <v>5.37</v>
      </c>
      <c r="F1363" s="147">
        <f>施工机械台时费!$E$16</f>
        <v>63.5282110091743</v>
      </c>
      <c r="G1363" s="329">
        <f t="shared" ref="G1363:G1367" si="144">E1363*F1363</f>
        <v>341.146493119266</v>
      </c>
    </row>
    <row r="1364" customHeight="1" spans="1:9">
      <c r="A1364" s="314"/>
      <c r="B1364" s="327" t="s">
        <v>902</v>
      </c>
      <c r="C1364" s="328"/>
      <c r="D1364" s="317" t="s">
        <v>894</v>
      </c>
      <c r="E1364" s="152">
        <v>2</v>
      </c>
      <c r="F1364" s="147">
        <f>SUM(G1363:G1363)</f>
        <v>341.146493119266</v>
      </c>
      <c r="G1364" s="329">
        <f>E1364*F1364/100</f>
        <v>6.82292986238532</v>
      </c>
    </row>
    <row r="1365" customHeight="1" spans="1:9">
      <c r="A1365" s="314" t="s">
        <v>905</v>
      </c>
      <c r="B1365" s="327" t="s">
        <v>514</v>
      </c>
      <c r="C1365" s="328"/>
      <c r="D1365" s="317"/>
      <c r="E1365" s="332">
        <f>G1353</f>
        <v>14255.7654229817</v>
      </c>
      <c r="F1365" s="155">
        <f>费率表!$J$12</f>
        <v>0.064</v>
      </c>
      <c r="G1365" s="329">
        <f t="shared" si="144"/>
        <v>912.368987070826</v>
      </c>
    </row>
    <row r="1366" customHeight="1" spans="1:9">
      <c r="A1366" s="314" t="s">
        <v>10</v>
      </c>
      <c r="B1366" s="327" t="s">
        <v>770</v>
      </c>
      <c r="C1366" s="328"/>
      <c r="D1366" s="317"/>
      <c r="E1366" s="326">
        <f>G1354</f>
        <v>1190.526</v>
      </c>
      <c r="F1366" s="155">
        <f>费率表!$J$13</f>
        <v>0.074</v>
      </c>
      <c r="G1366" s="329">
        <f t="shared" si="144"/>
        <v>88.098924</v>
      </c>
    </row>
    <row r="1367" customHeight="1" spans="1:9">
      <c r="A1367" s="314" t="s">
        <v>12</v>
      </c>
      <c r="B1367" s="327" t="s">
        <v>771</v>
      </c>
      <c r="C1367" s="328"/>
      <c r="D1367" s="317"/>
      <c r="E1367" s="326">
        <f>G1352+G1366</f>
        <v>15256.2333340525</v>
      </c>
      <c r="F1367" s="156">
        <f>费率表!$J$14</f>
        <v>0.07</v>
      </c>
      <c r="G1367" s="329">
        <f t="shared" si="144"/>
        <v>1067.93633338367</v>
      </c>
    </row>
    <row r="1368" customHeight="1" spans="1:9">
      <c r="A1368" s="314" t="s">
        <v>15</v>
      </c>
      <c r="B1368" s="327" t="s">
        <v>517</v>
      </c>
      <c r="C1368" s="328"/>
      <c r="D1368" s="317"/>
      <c r="E1368" s="326"/>
      <c r="F1368" s="157"/>
      <c r="G1368" s="329">
        <f>SUM(G1369:G1370)</f>
        <v>3022.14888</v>
      </c>
    </row>
    <row r="1369" customHeight="1" spans="1:9">
      <c r="A1369" s="314"/>
      <c r="B1369" s="327" t="s">
        <v>684</v>
      </c>
      <c r="C1369" s="328"/>
      <c r="D1369" s="317" t="s">
        <v>70</v>
      </c>
      <c r="E1369" s="326">
        <f>E1358</f>
        <v>59.4</v>
      </c>
      <c r="F1369" s="147"/>
      <c r="G1369" s="329">
        <f t="shared" ref="G1369:G1372" si="145">E1369*F1369</f>
        <v>0</v>
      </c>
    </row>
    <row r="1370" customHeight="1" spans="1:9">
      <c r="A1370" s="314"/>
      <c r="B1370" s="327" t="s">
        <v>1069</v>
      </c>
      <c r="C1370" s="328"/>
      <c r="D1370" s="317" t="s">
        <v>70</v>
      </c>
      <c r="E1370" s="326">
        <f>E1359</f>
        <v>112.8</v>
      </c>
      <c r="F1370" s="438">
        <f>主要材料预算!$N$9</f>
        <v>26.7921</v>
      </c>
      <c r="G1370" s="329">
        <f t="shared" si="145"/>
        <v>3022.14888</v>
      </c>
    </row>
    <row r="1371" customHeight="1" spans="1:9">
      <c r="A1371" s="314" t="s">
        <v>906</v>
      </c>
      <c r="B1371" s="327" t="s">
        <v>772</v>
      </c>
      <c r="C1371" s="328"/>
      <c r="D1371" s="317"/>
      <c r="E1371" s="326">
        <f>G1352+G1366++G1367+G1368</f>
        <v>19346.3185474362</v>
      </c>
      <c r="F1371" s="156">
        <f>费率表!$J$15</f>
        <v>0.09</v>
      </c>
      <c r="G1371" s="329">
        <f t="shared" si="145"/>
        <v>1741.16866926926</v>
      </c>
      <c r="I1371" s="92">
        <f>G1404/1000</f>
        <v>77.390343137975</v>
      </c>
    </row>
    <row r="1372" customHeight="1" spans="1:9">
      <c r="A1372" s="314"/>
      <c r="B1372" s="327" t="s">
        <v>907</v>
      </c>
      <c r="C1372" s="328"/>
      <c r="D1372" s="317"/>
      <c r="E1372" s="326">
        <f>G1352+G1366+G1367+G1368+G1371</f>
        <v>21087.4872167054</v>
      </c>
      <c r="F1372" s="156">
        <f>费率表!$I$19</f>
        <v>0.03</v>
      </c>
      <c r="G1372" s="329">
        <f t="shared" si="145"/>
        <v>632.624616501163</v>
      </c>
    </row>
    <row r="1373" customHeight="1" spans="1:9">
      <c r="A1373" s="335"/>
      <c r="B1373" s="336" t="s">
        <v>908</v>
      </c>
      <c r="C1373" s="337"/>
      <c r="D1373" s="338"/>
      <c r="E1373" s="339"/>
      <c r="F1373" s="161"/>
      <c r="G1373" s="340">
        <f>G1352+G1366+G1367+G1368+G1371+G1372</f>
        <v>21720.1118332066</v>
      </c>
    </row>
    <row r="1374" customHeight="1" spans="1:9">
      <c r="A1374" s="227"/>
      <c r="B1374" s="227"/>
      <c r="C1374" s="227"/>
      <c r="D1374" s="227"/>
      <c r="E1374" s="228"/>
      <c r="F1374" s="123"/>
      <c r="G1374" s="228"/>
    </row>
    <row r="1375" customHeight="1" spans="1:9">
      <c r="A1375" s="353" t="s">
        <v>868</v>
      </c>
      <c r="B1375" s="353"/>
      <c r="C1375" s="353"/>
      <c r="D1375" s="353"/>
      <c r="E1375" s="353"/>
      <c r="F1375" s="353"/>
      <c r="G1375" s="353"/>
    </row>
    <row r="1376" customHeight="1" spans="1:9">
      <c r="A1376" s="309" t="s">
        <v>869</v>
      </c>
      <c r="B1376" s="310"/>
      <c r="C1376" s="310" t="s">
        <v>184</v>
      </c>
      <c r="D1376" s="310" t="s">
        <v>870</v>
      </c>
      <c r="E1376" s="311" t="s">
        <v>1072</v>
      </c>
      <c r="F1376" s="312"/>
      <c r="G1376" s="313"/>
    </row>
    <row r="1377" customHeight="1" spans="1:7">
      <c r="A1377" s="314" t="s">
        <v>507</v>
      </c>
      <c r="B1377" s="315"/>
      <c r="C1377" s="316" t="s">
        <v>1073</v>
      </c>
      <c r="D1377" s="316"/>
      <c r="E1377" s="316"/>
      <c r="F1377" s="61" t="s">
        <v>873</v>
      </c>
      <c r="G1377" s="318" t="s">
        <v>1066</v>
      </c>
    </row>
    <row r="1378" customHeight="1" spans="1:7">
      <c r="A1378" s="319" t="s">
        <v>1067</v>
      </c>
      <c r="B1378" s="320"/>
      <c r="C1378" s="320"/>
      <c r="D1378" s="320"/>
      <c r="E1378" s="320"/>
      <c r="F1378" s="320"/>
      <c r="G1378" s="321"/>
    </row>
    <row r="1379" customHeight="1" spans="1:7">
      <c r="A1379" s="322" t="s">
        <v>1068</v>
      </c>
      <c r="B1379" s="323"/>
      <c r="C1379" s="324"/>
      <c r="D1379" s="324"/>
      <c r="E1379" s="324"/>
      <c r="F1379" s="324"/>
      <c r="G1379" s="325"/>
    </row>
    <row r="1380" customHeight="1" spans="1:7">
      <c r="A1380" s="314" t="s">
        <v>34</v>
      </c>
      <c r="B1380" s="317" t="s">
        <v>761</v>
      </c>
      <c r="C1380" s="317"/>
      <c r="D1380" s="317" t="s">
        <v>60</v>
      </c>
      <c r="E1380" s="326" t="s">
        <v>877</v>
      </c>
      <c r="F1380" s="61" t="s">
        <v>878</v>
      </c>
      <c r="G1380" s="318" t="s">
        <v>879</v>
      </c>
    </row>
    <row r="1381" customHeight="1" spans="1:7">
      <c r="A1381" s="314" t="s">
        <v>8</v>
      </c>
      <c r="B1381" s="327" t="s">
        <v>880</v>
      </c>
      <c r="C1381" s="328"/>
      <c r="D1381" s="317"/>
      <c r="E1381" s="326"/>
      <c r="F1381" s="147"/>
      <c r="G1381" s="329">
        <f>G1382+G1394</f>
        <v>52315.3135729305</v>
      </c>
    </row>
    <row r="1382" customHeight="1" spans="1:7">
      <c r="A1382" s="314" t="s">
        <v>881</v>
      </c>
      <c r="B1382" s="327" t="s">
        <v>882</v>
      </c>
      <c r="C1382" s="328"/>
      <c r="D1382" s="317"/>
      <c r="E1382" s="326"/>
      <c r="F1382" s="147"/>
      <c r="G1382" s="329">
        <f>G1383+G1386+G1390</f>
        <v>49168.5277941076</v>
      </c>
    </row>
    <row r="1383" customHeight="1" spans="1:7">
      <c r="A1383" s="314" t="s">
        <v>17</v>
      </c>
      <c r="B1383" s="327" t="s">
        <v>510</v>
      </c>
      <c r="C1383" s="328"/>
      <c r="D1383" s="317"/>
      <c r="E1383" s="326"/>
      <c r="F1383" s="147"/>
      <c r="G1383" s="329">
        <f>SUM(G1384:G1385)</f>
        <v>12205.74</v>
      </c>
    </row>
    <row r="1384" customHeight="1" spans="1:7">
      <c r="A1384" s="314"/>
      <c r="B1384" s="327" t="s">
        <v>704</v>
      </c>
      <c r="C1384" s="328"/>
      <c r="D1384" s="317" t="s">
        <v>705</v>
      </c>
      <c r="E1384" s="423">
        <f>636+3*31</f>
        <v>729</v>
      </c>
      <c r="F1384" s="147">
        <f>主要材料预算!$D$19</f>
        <v>8.1</v>
      </c>
      <c r="G1384" s="329">
        <f t="shared" ref="G1384:G1388" si="146">E1384*F1384</f>
        <v>5904.9</v>
      </c>
    </row>
    <row r="1385" customHeight="1" spans="1:7">
      <c r="A1385" s="314"/>
      <c r="B1385" s="327" t="s">
        <v>706</v>
      </c>
      <c r="C1385" s="328"/>
      <c r="D1385" s="317" t="s">
        <v>705</v>
      </c>
      <c r="E1385" s="423">
        <f>954+3*46</f>
        <v>1092</v>
      </c>
      <c r="F1385" s="147">
        <f>主要材料预算!$D$20</f>
        <v>5.77</v>
      </c>
      <c r="G1385" s="329">
        <f t="shared" si="146"/>
        <v>6300.84</v>
      </c>
    </row>
    <row r="1386" customHeight="1" spans="1:7">
      <c r="A1386" s="314" t="s">
        <v>19</v>
      </c>
      <c r="B1386" s="327" t="s">
        <v>511</v>
      </c>
      <c r="C1386" s="328"/>
      <c r="D1386" s="317"/>
      <c r="E1386" s="326"/>
      <c r="F1386" s="147"/>
      <c r="G1386" s="329">
        <f>SUM(G1387:G1389)</f>
        <v>33630.81804684</v>
      </c>
    </row>
    <row r="1387" customHeight="1" spans="1:7">
      <c r="A1387" s="314"/>
      <c r="B1387" s="327" t="s">
        <v>1035</v>
      </c>
      <c r="C1387" s="328"/>
      <c r="D1387" s="317" t="s">
        <v>70</v>
      </c>
      <c r="E1387" s="326">
        <f>0.23+3*0.01</f>
        <v>0.26</v>
      </c>
      <c r="F1387" s="147">
        <f>主要材料预算!$D$7</f>
        <v>2209.125</v>
      </c>
      <c r="G1387" s="329">
        <f t="shared" si="146"/>
        <v>574.3725</v>
      </c>
    </row>
    <row r="1388" customHeight="1" spans="1:7">
      <c r="A1388" s="314"/>
      <c r="B1388" s="327" t="s">
        <v>925</v>
      </c>
      <c r="C1388" s="328"/>
      <c r="D1388" s="317" t="s">
        <v>70</v>
      </c>
      <c r="E1388" s="326">
        <f>153+3*10.2</f>
        <v>183.6</v>
      </c>
      <c r="F1388" s="147">
        <f>混凝土单价计算表!$M$7</f>
        <v>176.454345</v>
      </c>
      <c r="G1388" s="329">
        <f t="shared" si="146"/>
        <v>32397.017742</v>
      </c>
    </row>
    <row r="1389" customHeight="1" spans="1:7">
      <c r="A1389" s="314"/>
      <c r="B1389" s="327" t="s">
        <v>893</v>
      </c>
      <c r="C1389" s="328"/>
      <c r="D1389" s="317" t="s">
        <v>894</v>
      </c>
      <c r="E1389" s="151">
        <v>2</v>
      </c>
      <c r="F1389" s="147">
        <f>SUM(G1387:G1388)</f>
        <v>32971.390242</v>
      </c>
      <c r="G1389" s="329">
        <f>E1389*F1389/100</f>
        <v>659.42780484</v>
      </c>
    </row>
    <row r="1390" customHeight="1" spans="1:7">
      <c r="A1390" s="314" t="s">
        <v>21</v>
      </c>
      <c r="B1390" s="327" t="s">
        <v>895</v>
      </c>
      <c r="C1390" s="328"/>
      <c r="D1390" s="317"/>
      <c r="E1390" s="147"/>
      <c r="F1390" s="147"/>
      <c r="G1390" s="329">
        <f>SUM(G1391:G1393)</f>
        <v>3331.96974726765</v>
      </c>
    </row>
    <row r="1391" customHeight="1" spans="1:7">
      <c r="A1391" s="314"/>
      <c r="B1391" s="327" t="s">
        <v>899</v>
      </c>
      <c r="C1391" s="328"/>
      <c r="D1391" s="317" t="s">
        <v>896</v>
      </c>
      <c r="E1391" s="147">
        <f>24+3*1.6</f>
        <v>28.8</v>
      </c>
      <c r="F1391" s="147">
        <f>施工机械台时费!E21</f>
        <v>37.4199521340247</v>
      </c>
      <c r="G1391" s="329">
        <f t="shared" ref="G1391:G1396" si="147">E1391*F1391</f>
        <v>1077.69462145991</v>
      </c>
    </row>
    <row r="1392" customHeight="1" spans="1:7">
      <c r="A1392" s="314"/>
      <c r="B1392" s="327" t="s">
        <v>1074</v>
      </c>
      <c r="C1392" s="328"/>
      <c r="D1392" s="317" t="s">
        <v>896</v>
      </c>
      <c r="E1392" s="147">
        <f>25+3*1.7</f>
        <v>30.1</v>
      </c>
      <c r="F1392" s="147">
        <f>施工机械台时费!E32</f>
        <v>73.10267092142</v>
      </c>
      <c r="G1392" s="329">
        <f t="shared" si="147"/>
        <v>2200.39039473474</v>
      </c>
    </row>
    <row r="1393" customHeight="1" spans="1:10">
      <c r="A1393" s="314"/>
      <c r="B1393" s="327" t="s">
        <v>902</v>
      </c>
      <c r="C1393" s="328"/>
      <c r="D1393" s="317" t="s">
        <v>894</v>
      </c>
      <c r="E1393" s="152">
        <v>5</v>
      </c>
      <c r="F1393" s="147">
        <f>SUM(G1391:G1391)</f>
        <v>1077.69462145991</v>
      </c>
      <c r="G1393" s="329">
        <f>E1393*F1393/100</f>
        <v>53.8847310729956</v>
      </c>
    </row>
    <row r="1394" customHeight="1" spans="1:10">
      <c r="A1394" s="314" t="s">
        <v>905</v>
      </c>
      <c r="B1394" s="327" t="s">
        <v>514</v>
      </c>
      <c r="C1394" s="328"/>
      <c r="D1394" s="317"/>
      <c r="E1394" s="332">
        <f>G1382</f>
        <v>49168.5277941076</v>
      </c>
      <c r="F1394" s="155">
        <f>费率表!$J$12</f>
        <v>0.064</v>
      </c>
      <c r="G1394" s="329">
        <f t="shared" si="147"/>
        <v>3146.78577882289</v>
      </c>
    </row>
    <row r="1395" customHeight="1" spans="1:10">
      <c r="A1395" s="314" t="s">
        <v>10</v>
      </c>
      <c r="B1395" s="327" t="s">
        <v>770</v>
      </c>
      <c r="C1395" s="328"/>
      <c r="D1395" s="317"/>
      <c r="E1395" s="326">
        <f>G1383</f>
        <v>12205.74</v>
      </c>
      <c r="F1395" s="155">
        <f>费率表!$J$13</f>
        <v>0.074</v>
      </c>
      <c r="G1395" s="329">
        <f t="shared" si="147"/>
        <v>903.22476</v>
      </c>
    </row>
    <row r="1396" customHeight="1" spans="1:10">
      <c r="A1396" s="314" t="s">
        <v>12</v>
      </c>
      <c r="B1396" s="327" t="s">
        <v>771</v>
      </c>
      <c r="C1396" s="328"/>
      <c r="D1396" s="317"/>
      <c r="E1396" s="326">
        <f>G1381+G1395</f>
        <v>53218.5383329305</v>
      </c>
      <c r="F1396" s="156">
        <f>费率表!$J$14</f>
        <v>0.07</v>
      </c>
      <c r="G1396" s="329">
        <f t="shared" si="147"/>
        <v>3725.29768330514</v>
      </c>
      <c r="J1396" s="92">
        <f>E1419*混凝土单价计算表!E14</f>
        <v>0.86559</v>
      </c>
    </row>
    <row r="1397" customHeight="1" spans="1:10">
      <c r="A1397" s="314" t="s">
        <v>15</v>
      </c>
      <c r="B1397" s="327" t="s">
        <v>517</v>
      </c>
      <c r="C1397" s="328"/>
      <c r="D1397" s="317"/>
      <c r="E1397" s="326"/>
      <c r="F1397" s="157"/>
      <c r="G1397" s="329">
        <f>SUM(G1398:G1400)</f>
        <v>11988.5084551058</v>
      </c>
    </row>
    <row r="1398" customHeight="1" spans="1:10">
      <c r="A1398" s="314"/>
      <c r="B1398" s="327" t="s">
        <v>729</v>
      </c>
      <c r="C1398" s="328"/>
      <c r="D1398" s="317" t="s">
        <v>70</v>
      </c>
      <c r="E1398" s="326">
        <f>E1388*混凝土单价计算表!$E$7</f>
        <v>56.4013692</v>
      </c>
      <c r="F1398" s="147">
        <f>主要材料预算!$N$5</f>
        <v>139.17214</v>
      </c>
      <c r="G1398" s="329">
        <f t="shared" ref="G1398:G1403" si="148">E1398*F1398</f>
        <v>7849.49925049409</v>
      </c>
    </row>
    <row r="1399" customHeight="1" spans="1:10">
      <c r="A1399" s="314"/>
      <c r="B1399" s="327" t="s">
        <v>684</v>
      </c>
      <c r="C1399" s="328"/>
      <c r="D1399" s="317" t="s">
        <v>1075</v>
      </c>
      <c r="E1399" s="326">
        <f>E1388*混凝土单价计算表!$G$7</f>
        <v>100.939608</v>
      </c>
      <c r="F1399" s="147"/>
      <c r="G1399" s="329">
        <f t="shared" si="148"/>
        <v>0</v>
      </c>
    </row>
    <row r="1400" customHeight="1" spans="1:10">
      <c r="A1400" s="314"/>
      <c r="B1400" s="327" t="s">
        <v>1069</v>
      </c>
      <c r="C1400" s="328"/>
      <c r="D1400" s="317" t="s">
        <v>70</v>
      </c>
      <c r="E1400" s="326">
        <f>E1388*混凝土单价计算表!$I$7</f>
        <v>154.4861808</v>
      </c>
      <c r="F1400" s="438">
        <f>主要材料预算!$N$9</f>
        <v>26.7921</v>
      </c>
      <c r="G1400" s="329">
        <f t="shared" si="148"/>
        <v>4139.00920461168</v>
      </c>
    </row>
    <row r="1401" customHeight="1" spans="1:10">
      <c r="A1401" s="314"/>
      <c r="B1401" s="327" t="s">
        <v>694</v>
      </c>
      <c r="C1401" s="328"/>
      <c r="D1401" s="317" t="s">
        <v>70</v>
      </c>
      <c r="E1401" s="326">
        <f>E1392*施工机械台时费!$L$32</f>
        <v>307.02</v>
      </c>
      <c r="F1401" s="357">
        <f>主要材料预算!$N$13</f>
        <v>6.0616206482593</v>
      </c>
      <c r="G1401" s="329">
        <f t="shared" si="148"/>
        <v>1861.03877142857</v>
      </c>
    </row>
    <row r="1402" customHeight="1" spans="1:10">
      <c r="A1402" s="314" t="s">
        <v>906</v>
      </c>
      <c r="B1402" s="327" t="s">
        <v>772</v>
      </c>
      <c r="C1402" s="328"/>
      <c r="D1402" s="317"/>
      <c r="E1402" s="326">
        <f>G1381+G1395++G1396+G1397</f>
        <v>68932.3444713414</v>
      </c>
      <c r="F1402" s="156">
        <f>费率表!$J$15</f>
        <v>0.09</v>
      </c>
      <c r="G1402" s="329">
        <f t="shared" si="148"/>
        <v>6203.91100242073</v>
      </c>
    </row>
    <row r="1403" customHeight="1" spans="1:10">
      <c r="A1403" s="314"/>
      <c r="B1403" s="327" t="s">
        <v>907</v>
      </c>
      <c r="C1403" s="328"/>
      <c r="D1403" s="317"/>
      <c r="E1403" s="326">
        <f>G1381+G1395+G1396+G1397+G1402</f>
        <v>75136.2554737622</v>
      </c>
      <c r="F1403" s="156">
        <f>费率表!$I$19</f>
        <v>0.03</v>
      </c>
      <c r="G1403" s="329">
        <f t="shared" si="148"/>
        <v>2254.08766421287</v>
      </c>
    </row>
    <row r="1404" customHeight="1" spans="1:10">
      <c r="A1404" s="335"/>
      <c r="B1404" s="336" t="s">
        <v>908</v>
      </c>
      <c r="C1404" s="337"/>
      <c r="D1404" s="338"/>
      <c r="E1404" s="339"/>
      <c r="F1404" s="161"/>
      <c r="G1404" s="340">
        <f>G1381+G1395+G1396+G1397+G1402+G1403</f>
        <v>77390.343137975</v>
      </c>
    </row>
    <row r="1405" customHeight="1" spans="1:10">
      <c r="A1405" s="227"/>
      <c r="B1405" s="227"/>
      <c r="C1405" s="227"/>
      <c r="D1405" s="227"/>
      <c r="E1405" s="228"/>
      <c r="F1405" s="123"/>
      <c r="G1405" s="228"/>
    </row>
    <row r="1406" customHeight="1" spans="1:10">
      <c r="A1406" s="227"/>
      <c r="B1406" s="227"/>
      <c r="C1406" s="227"/>
      <c r="D1406" s="227"/>
      <c r="E1406" s="228"/>
      <c r="F1406" s="123"/>
      <c r="G1406" s="228"/>
    </row>
    <row r="1407" customHeight="1" spans="1:10">
      <c r="A1407" s="353" t="s">
        <v>868</v>
      </c>
      <c r="B1407" s="353"/>
      <c r="C1407" s="353"/>
      <c r="D1407" s="353"/>
      <c r="E1407" s="353"/>
      <c r="F1407" s="353"/>
      <c r="G1407" s="353"/>
    </row>
    <row r="1408" customHeight="1" spans="1:10">
      <c r="A1408" s="309" t="s">
        <v>869</v>
      </c>
      <c r="B1408" s="310"/>
      <c r="C1408" s="310" t="s">
        <v>190</v>
      </c>
      <c r="D1408" s="310" t="s">
        <v>870</v>
      </c>
      <c r="E1408" s="479" t="s">
        <v>1076</v>
      </c>
      <c r="F1408" s="480"/>
      <c r="G1408" s="481"/>
    </row>
    <row r="1409" customHeight="1" spans="1:7">
      <c r="A1409" s="314" t="s">
        <v>507</v>
      </c>
      <c r="B1409" s="315"/>
      <c r="C1409" s="316" t="s">
        <v>1077</v>
      </c>
      <c r="D1409" s="316"/>
      <c r="E1409" s="316"/>
      <c r="F1409" s="179" t="s">
        <v>873</v>
      </c>
      <c r="G1409" s="318" t="s">
        <v>1043</v>
      </c>
    </row>
    <row r="1410" customHeight="1" spans="1:7">
      <c r="A1410" s="319" t="s">
        <v>1078</v>
      </c>
      <c r="B1410" s="320"/>
      <c r="C1410" s="320"/>
      <c r="D1410" s="320"/>
      <c r="E1410" s="320"/>
      <c r="F1410" s="320"/>
      <c r="G1410" s="321"/>
    </row>
    <row r="1411" customHeight="1" spans="1:7">
      <c r="A1411" s="322" t="s">
        <v>1079</v>
      </c>
      <c r="B1411" s="323"/>
      <c r="C1411" s="324"/>
      <c r="D1411" s="324"/>
      <c r="E1411" s="324"/>
      <c r="F1411" s="324"/>
      <c r="G1411" s="325"/>
    </row>
    <row r="1412" customHeight="1" spans="1:7">
      <c r="A1412" s="314" t="s">
        <v>34</v>
      </c>
      <c r="B1412" s="317" t="s">
        <v>761</v>
      </c>
      <c r="C1412" s="317"/>
      <c r="D1412" s="317" t="s">
        <v>60</v>
      </c>
      <c r="E1412" s="326" t="s">
        <v>877</v>
      </c>
      <c r="F1412" s="61" t="s">
        <v>878</v>
      </c>
      <c r="G1412" s="318" t="s">
        <v>879</v>
      </c>
    </row>
    <row r="1413" customHeight="1" spans="1:7">
      <c r="A1413" s="314" t="s">
        <v>8</v>
      </c>
      <c r="B1413" s="327" t="s">
        <v>880</v>
      </c>
      <c r="C1413" s="328"/>
      <c r="D1413" s="317"/>
      <c r="E1413" s="326"/>
      <c r="F1413" s="147"/>
      <c r="G1413" s="329">
        <f>G1414+G1424</f>
        <v>1258.01598105165</v>
      </c>
    </row>
    <row r="1414" customHeight="1" spans="1:7">
      <c r="A1414" s="314" t="s">
        <v>881</v>
      </c>
      <c r="B1414" s="327" t="s">
        <v>882</v>
      </c>
      <c r="C1414" s="328"/>
      <c r="D1414" s="317"/>
      <c r="E1414" s="326"/>
      <c r="F1414" s="147"/>
      <c r="G1414" s="329">
        <f>G1415+G1418+G1421</f>
        <v>1182.34584685305</v>
      </c>
    </row>
    <row r="1415" customHeight="1" spans="1:7">
      <c r="A1415" s="314" t="s">
        <v>17</v>
      </c>
      <c r="B1415" s="327" t="s">
        <v>510</v>
      </c>
      <c r="C1415" s="328"/>
      <c r="D1415" s="317"/>
      <c r="E1415" s="326"/>
      <c r="F1415" s="147"/>
      <c r="G1415" s="329">
        <f>SUM(G1416:G1417)</f>
        <v>639.277</v>
      </c>
    </row>
    <row r="1416" customHeight="1" spans="1:7">
      <c r="A1416" s="314"/>
      <c r="B1416" s="327" t="s">
        <v>704</v>
      </c>
      <c r="C1416" s="328"/>
      <c r="D1416" s="317" t="s">
        <v>705</v>
      </c>
      <c r="E1416" s="423">
        <f>19.8+1*9.9</f>
        <v>29.7</v>
      </c>
      <c r="F1416" s="423">
        <f>主要材料预算!D19</f>
        <v>8.1</v>
      </c>
      <c r="G1416" s="329">
        <f t="shared" ref="G1416:G1419" si="149">E1416*F1416</f>
        <v>240.57</v>
      </c>
    </row>
    <row r="1417" customHeight="1" spans="1:7">
      <c r="A1417" s="314"/>
      <c r="B1417" s="327" t="s">
        <v>706</v>
      </c>
      <c r="C1417" s="328"/>
      <c r="D1417" s="317" t="s">
        <v>705</v>
      </c>
      <c r="E1417" s="423">
        <f>46.1+1*23</f>
        <v>69.1</v>
      </c>
      <c r="F1417" s="423">
        <f>主要材料预算!D20</f>
        <v>5.77</v>
      </c>
      <c r="G1417" s="329">
        <f t="shared" si="149"/>
        <v>398.707</v>
      </c>
    </row>
    <row r="1418" customHeight="1" spans="1:7">
      <c r="A1418" s="314" t="s">
        <v>19</v>
      </c>
      <c r="B1418" s="327" t="s">
        <v>511</v>
      </c>
      <c r="C1418" s="328"/>
      <c r="D1418" s="317"/>
      <c r="E1418" s="326"/>
      <c r="F1418" s="147"/>
      <c r="G1418" s="329">
        <f>SUM(G1419:G1420)</f>
        <v>515.5181658</v>
      </c>
    </row>
    <row r="1419" customHeight="1" spans="1:7">
      <c r="A1419" s="314"/>
      <c r="B1419" s="327" t="s">
        <v>1002</v>
      </c>
      <c r="C1419" s="328"/>
      <c r="D1419" s="317" t="s">
        <v>70</v>
      </c>
      <c r="E1419" s="326">
        <f>2.25+1*1.05</f>
        <v>3.3</v>
      </c>
      <c r="F1419" s="147">
        <f>混凝土单价计算表!M14</f>
        <v>144.64595</v>
      </c>
      <c r="G1419" s="329">
        <f t="shared" si="149"/>
        <v>477.331635</v>
      </c>
    </row>
    <row r="1420" customHeight="1" spans="1:7">
      <c r="A1420" s="314"/>
      <c r="B1420" s="327" t="s">
        <v>893</v>
      </c>
      <c r="C1420" s="328"/>
      <c r="D1420" s="317" t="s">
        <v>894</v>
      </c>
      <c r="E1420" s="152">
        <v>8</v>
      </c>
      <c r="F1420" s="147">
        <f>SUM(G1419:G1419)</f>
        <v>477.331635</v>
      </c>
      <c r="G1420" s="329">
        <f>E1420*F1420/100</f>
        <v>38.1865308</v>
      </c>
    </row>
    <row r="1421" customHeight="1" spans="1:7">
      <c r="A1421" s="314" t="s">
        <v>21</v>
      </c>
      <c r="B1421" s="327" t="s">
        <v>895</v>
      </c>
      <c r="C1421" s="328"/>
      <c r="D1421" s="317"/>
      <c r="E1421" s="147"/>
      <c r="F1421" s="147"/>
      <c r="G1421" s="329">
        <f>SUM(G1422:G1423)</f>
        <v>27.5506810530515</v>
      </c>
    </row>
    <row r="1422" customHeight="1" spans="1:7">
      <c r="A1422" s="314"/>
      <c r="B1422" s="327" t="s">
        <v>834</v>
      </c>
      <c r="C1422" s="328"/>
      <c r="D1422" s="317" t="s">
        <v>896</v>
      </c>
      <c r="E1422" s="147">
        <f>5.1+1*2.55</f>
        <v>7.65</v>
      </c>
      <c r="F1422" s="147">
        <f>施工机械台时费!E36</f>
        <v>0.813242919824491</v>
      </c>
      <c r="G1422" s="329">
        <f t="shared" ref="G1422:G1426" si="150">E1422*F1422</f>
        <v>6.22130833665736</v>
      </c>
    </row>
    <row r="1423" customHeight="1" spans="1:7">
      <c r="A1423" s="314"/>
      <c r="B1423" s="327" t="s">
        <v>1080</v>
      </c>
      <c r="C1423" s="328"/>
      <c r="D1423" s="317" t="s">
        <v>896</v>
      </c>
      <c r="E1423" s="147">
        <f>0.38+1*0.19</f>
        <v>0.57</v>
      </c>
      <c r="F1423" s="147">
        <f>施工机械台时费!E21</f>
        <v>37.4199521340247</v>
      </c>
      <c r="G1423" s="329">
        <f t="shared" si="150"/>
        <v>21.3293727163941</v>
      </c>
    </row>
    <row r="1424" customHeight="1" spans="1:7">
      <c r="A1424" s="314" t="s">
        <v>905</v>
      </c>
      <c r="B1424" s="327" t="s">
        <v>514</v>
      </c>
      <c r="C1424" s="328"/>
      <c r="D1424" s="317"/>
      <c r="E1424" s="332">
        <f>G1414</f>
        <v>1182.34584685305</v>
      </c>
      <c r="F1424" s="155">
        <f>费率表!$F$12</f>
        <v>0.064</v>
      </c>
      <c r="G1424" s="329">
        <f t="shared" si="150"/>
        <v>75.6701341985953</v>
      </c>
    </row>
    <row r="1425" customHeight="1" spans="1:7">
      <c r="A1425" s="314" t="s">
        <v>10</v>
      </c>
      <c r="B1425" s="327" t="s">
        <v>770</v>
      </c>
      <c r="C1425" s="328"/>
      <c r="D1425" s="317"/>
      <c r="E1425" s="326">
        <f>G1415</f>
        <v>639.277</v>
      </c>
      <c r="F1425" s="155">
        <f>费率表!$F$13</f>
        <v>0.085</v>
      </c>
      <c r="G1425" s="329">
        <f t="shared" si="150"/>
        <v>54.338545</v>
      </c>
    </row>
    <row r="1426" customHeight="1" spans="1:7">
      <c r="A1426" s="314" t="s">
        <v>12</v>
      </c>
      <c r="B1426" s="327" t="s">
        <v>771</v>
      </c>
      <c r="C1426" s="328"/>
      <c r="D1426" s="317"/>
      <c r="E1426" s="326">
        <f>G1413+G1425</f>
        <v>1312.35452605165</v>
      </c>
      <c r="F1426" s="156">
        <f>费率表!$F$14</f>
        <v>0.07</v>
      </c>
      <c r="G1426" s="329">
        <f t="shared" si="150"/>
        <v>91.8648168236153</v>
      </c>
    </row>
    <row r="1427" customHeight="1" spans="1:7">
      <c r="A1427" s="314" t="s">
        <v>15</v>
      </c>
      <c r="B1427" s="327" t="s">
        <v>517</v>
      </c>
      <c r="C1427" s="328"/>
      <c r="D1427" s="317"/>
      <c r="E1427" s="326"/>
      <c r="F1427" s="157"/>
      <c r="G1427" s="329">
        <f>SUM(G1428:G1429)</f>
        <v>83.33878253052</v>
      </c>
    </row>
    <row r="1428" customHeight="1" spans="1:7">
      <c r="A1428" s="314"/>
      <c r="B1428" s="327" t="s">
        <v>729</v>
      </c>
      <c r="C1428" s="328"/>
      <c r="D1428" s="317" t="s">
        <v>204</v>
      </c>
      <c r="E1428" s="326">
        <f>E1419*混凝土单价计算表!$E$12</f>
        <v>0.598818</v>
      </c>
      <c r="F1428" s="438">
        <f>主要材料预算!$N$5</f>
        <v>139.17214</v>
      </c>
      <c r="G1428" s="329">
        <f t="shared" ref="G1428:G1431" si="151">E1428*F1428</f>
        <v>83.33878253052</v>
      </c>
    </row>
    <row r="1429" customHeight="1" spans="1:7">
      <c r="A1429" s="314"/>
      <c r="B1429" s="327" t="s">
        <v>684</v>
      </c>
      <c r="C1429" s="328"/>
      <c r="D1429" s="317" t="s">
        <v>70</v>
      </c>
      <c r="E1429" s="326">
        <f>E1419*混凝土单价计算表!$G$12</f>
        <v>3.729</v>
      </c>
      <c r="F1429" s="438"/>
      <c r="G1429" s="329">
        <f t="shared" si="151"/>
        <v>0</v>
      </c>
    </row>
    <row r="1430" customHeight="1" spans="1:7">
      <c r="A1430" s="314" t="s">
        <v>906</v>
      </c>
      <c r="B1430" s="327" t="s">
        <v>772</v>
      </c>
      <c r="C1430" s="328"/>
      <c r="D1430" s="317"/>
      <c r="E1430" s="326">
        <f>G1413+G1425++G1426+G1427</f>
        <v>1487.55812540579</v>
      </c>
      <c r="F1430" s="156">
        <f>费率表!$F$15</f>
        <v>0.09</v>
      </c>
      <c r="G1430" s="329">
        <f t="shared" si="151"/>
        <v>133.880231286521</v>
      </c>
    </row>
    <row r="1431" customHeight="1" spans="1:7">
      <c r="A1431" s="314"/>
      <c r="B1431" s="327" t="s">
        <v>907</v>
      </c>
      <c r="C1431" s="328"/>
      <c r="D1431" s="317"/>
      <c r="E1431" s="326">
        <f>G1413+G1425+G1426+G1427+G1430</f>
        <v>1621.43835669231</v>
      </c>
      <c r="F1431" s="156">
        <f>费率表!$I$19</f>
        <v>0.03</v>
      </c>
      <c r="G1431" s="329">
        <f t="shared" si="151"/>
        <v>48.6431507007692</v>
      </c>
    </row>
    <row r="1432" customHeight="1" spans="1:7">
      <c r="A1432" s="335"/>
      <c r="B1432" s="336" t="s">
        <v>908</v>
      </c>
      <c r="C1432" s="337"/>
      <c r="D1432" s="338"/>
      <c r="E1432" s="339"/>
      <c r="F1432" s="161"/>
      <c r="G1432" s="340">
        <f>G1413+G1425+G1426+G1427+G1430+G1431</f>
        <v>1670.08150739308</v>
      </c>
    </row>
    <row r="1433" customHeight="1" spans="1:7">
      <c r="A1433" s="227"/>
      <c r="B1433" s="227"/>
      <c r="C1433" s="227"/>
      <c r="D1433" s="227"/>
      <c r="E1433" s="228"/>
      <c r="F1433" s="123"/>
      <c r="G1433" s="228"/>
    </row>
    <row r="1434" customHeight="1" spans="1:7">
      <c r="A1434" s="482"/>
      <c r="B1434" s="483"/>
      <c r="C1434" s="92"/>
      <c r="D1434" s="92"/>
      <c r="E1434" s="92"/>
      <c r="F1434" s="91"/>
    </row>
    <row r="1435" customHeight="1" spans="1:7">
      <c r="A1435" s="484" t="s">
        <v>868</v>
      </c>
      <c r="B1435" s="484"/>
      <c r="C1435" s="484"/>
      <c r="D1435" s="484"/>
      <c r="E1435" s="484"/>
      <c r="F1435" s="484"/>
      <c r="G1435" s="484"/>
    </row>
    <row r="1436" customHeight="1" spans="1:7">
      <c r="A1436" s="309" t="s">
        <v>869</v>
      </c>
      <c r="B1436" s="310"/>
      <c r="C1436" s="310" t="s">
        <v>17</v>
      </c>
      <c r="D1436" s="310" t="s">
        <v>870</v>
      </c>
      <c r="E1436" s="343" t="s">
        <v>1081</v>
      </c>
      <c r="F1436" s="343"/>
      <c r="G1436" s="344"/>
    </row>
    <row r="1437" customHeight="1" spans="1:7">
      <c r="A1437" s="314" t="s">
        <v>507</v>
      </c>
      <c r="B1437" s="315"/>
      <c r="C1437" s="316" t="s">
        <v>1082</v>
      </c>
      <c r="D1437" s="316"/>
      <c r="E1437" s="316"/>
      <c r="F1437" s="179" t="s">
        <v>873</v>
      </c>
      <c r="G1437" s="485" t="s">
        <v>874</v>
      </c>
    </row>
    <row r="1438" customHeight="1" spans="1:7">
      <c r="A1438" s="345" t="s">
        <v>875</v>
      </c>
      <c r="B1438" s="316"/>
      <c r="C1438" s="316"/>
      <c r="D1438" s="316"/>
      <c r="E1438" s="316"/>
      <c r="F1438" s="316"/>
      <c r="G1438" s="346"/>
    </row>
    <row r="1439" customHeight="1" spans="1:7">
      <c r="A1439" s="322" t="s">
        <v>1083</v>
      </c>
      <c r="B1439" s="323"/>
      <c r="C1439" s="324"/>
      <c r="D1439" s="324"/>
      <c r="E1439" s="324"/>
      <c r="F1439" s="324"/>
      <c r="G1439" s="325"/>
    </row>
    <row r="1440" customHeight="1" spans="1:7">
      <c r="A1440" s="314" t="s">
        <v>34</v>
      </c>
      <c r="B1440" s="317" t="s">
        <v>761</v>
      </c>
      <c r="C1440" s="317"/>
      <c r="D1440" s="317" t="s">
        <v>60</v>
      </c>
      <c r="E1440" s="326" t="s">
        <v>877</v>
      </c>
      <c r="F1440" s="61" t="s">
        <v>878</v>
      </c>
      <c r="G1440" s="318" t="s">
        <v>879</v>
      </c>
    </row>
    <row r="1441" customHeight="1" spans="1:7">
      <c r="A1441" s="314" t="s">
        <v>8</v>
      </c>
      <c r="B1441" s="347" t="s">
        <v>880</v>
      </c>
      <c r="C1441" s="347"/>
      <c r="D1441" s="317"/>
      <c r="E1441" s="326"/>
      <c r="F1441" s="147"/>
      <c r="G1441" s="329">
        <f>G1442</f>
        <v>503.319379720782</v>
      </c>
    </row>
    <row r="1442" customHeight="1" spans="1:7">
      <c r="A1442" s="314" t="s">
        <v>881</v>
      </c>
      <c r="B1442" s="347" t="s">
        <v>882</v>
      </c>
      <c r="C1442" s="347"/>
      <c r="D1442" s="317"/>
      <c r="E1442" s="326"/>
      <c r="F1442" s="147"/>
      <c r="G1442" s="329">
        <f>G1443+G1445+G1447</f>
        <v>503.319379720782</v>
      </c>
    </row>
    <row r="1443" customHeight="1" spans="1:7">
      <c r="A1443" s="314" t="s">
        <v>17</v>
      </c>
      <c r="B1443" s="347" t="s">
        <v>510</v>
      </c>
      <c r="C1443" s="347"/>
      <c r="D1443" s="317"/>
      <c r="E1443" s="326"/>
      <c r="F1443" s="147"/>
      <c r="G1443" s="329">
        <f t="shared" ref="G1443:G1447" si="152">SUM(G1444:G1444)</f>
        <v>429.288</v>
      </c>
    </row>
    <row r="1444" customHeight="1" spans="1:7">
      <c r="A1444" s="314"/>
      <c r="B1444" s="347" t="s">
        <v>706</v>
      </c>
      <c r="C1444" s="347"/>
      <c r="D1444" s="317" t="s">
        <v>705</v>
      </c>
      <c r="E1444" s="423">
        <v>74.4</v>
      </c>
      <c r="F1444" s="147">
        <f>主要材料预算!D20</f>
        <v>5.77</v>
      </c>
      <c r="G1444" s="329">
        <f>E1444*F1444</f>
        <v>429.288</v>
      </c>
    </row>
    <row r="1445" customHeight="1" spans="1:7">
      <c r="A1445" s="314" t="s">
        <v>19</v>
      </c>
      <c r="B1445" s="347" t="s">
        <v>511</v>
      </c>
      <c r="C1445" s="347"/>
      <c r="D1445" s="317"/>
      <c r="E1445" s="423"/>
      <c r="F1445" s="147"/>
      <c r="G1445" s="329">
        <f t="shared" si="152"/>
        <v>28.4897762106103</v>
      </c>
    </row>
    <row r="1446" customHeight="1" spans="1:7">
      <c r="A1446" s="314"/>
      <c r="B1446" s="347" t="s">
        <v>1008</v>
      </c>
      <c r="C1446" s="347"/>
      <c r="D1446" s="317" t="s">
        <v>894</v>
      </c>
      <c r="E1446" s="152">
        <v>6</v>
      </c>
      <c r="F1446" s="147">
        <f>G1443+G1447</f>
        <v>474.829603510172</v>
      </c>
      <c r="G1446" s="329">
        <f>E1446*F1446/100</f>
        <v>28.4897762106103</v>
      </c>
    </row>
    <row r="1447" customHeight="1" spans="1:7">
      <c r="A1447" s="314" t="s">
        <v>21</v>
      </c>
      <c r="B1447" s="347" t="s">
        <v>895</v>
      </c>
      <c r="C1447" s="347"/>
      <c r="D1447" s="317"/>
      <c r="E1447" s="147"/>
      <c r="F1447" s="147"/>
      <c r="G1447" s="329">
        <f t="shared" si="152"/>
        <v>45.5416035101715</v>
      </c>
    </row>
    <row r="1448" customHeight="1" spans="1:7">
      <c r="A1448" s="486"/>
      <c r="B1448" s="487" t="s">
        <v>901</v>
      </c>
      <c r="C1448" s="487"/>
      <c r="D1448" s="338" t="s">
        <v>896</v>
      </c>
      <c r="E1448" s="162">
        <v>56</v>
      </c>
      <c r="F1448" s="162">
        <f>施工机械台时费!E36</f>
        <v>0.813242919824491</v>
      </c>
      <c r="G1448" s="340">
        <f>E1448*F1448</f>
        <v>45.5416035101715</v>
      </c>
    </row>
    <row r="1449" customHeight="1" spans="1:7">
      <c r="A1449" s="488"/>
      <c r="B1449" s="489"/>
      <c r="C1449" s="488"/>
      <c r="D1449" s="488"/>
      <c r="E1449" s="92"/>
      <c r="F1449" s="91"/>
    </row>
    <row r="1450" customHeight="1" spans="1:7">
      <c r="A1450" s="484" t="s">
        <v>868</v>
      </c>
      <c r="B1450" s="484"/>
      <c r="C1450" s="484"/>
      <c r="D1450" s="484"/>
      <c r="E1450" s="484"/>
      <c r="F1450" s="484"/>
      <c r="G1450" s="484"/>
    </row>
    <row r="1451" customHeight="1" spans="1:7">
      <c r="A1451" s="309" t="s">
        <v>869</v>
      </c>
      <c r="B1451" s="310"/>
      <c r="C1451" s="310" t="s">
        <v>17</v>
      </c>
      <c r="D1451" s="310" t="s">
        <v>870</v>
      </c>
      <c r="E1451" s="343" t="s">
        <v>1084</v>
      </c>
      <c r="F1451" s="343"/>
      <c r="G1451" s="344"/>
    </row>
    <row r="1452" customHeight="1" spans="1:7">
      <c r="A1452" s="314" t="s">
        <v>507</v>
      </c>
      <c r="B1452" s="315"/>
      <c r="C1452" s="316" t="s">
        <v>1082</v>
      </c>
      <c r="D1452" s="316"/>
      <c r="E1452" s="316"/>
      <c r="F1452" s="179" t="s">
        <v>873</v>
      </c>
      <c r="G1452" s="485" t="s">
        <v>874</v>
      </c>
    </row>
    <row r="1453" customHeight="1" spans="1:7">
      <c r="A1453" s="345" t="s">
        <v>875</v>
      </c>
      <c r="B1453" s="316"/>
      <c r="C1453" s="316"/>
      <c r="D1453" s="316"/>
      <c r="E1453" s="316"/>
      <c r="F1453" s="316"/>
      <c r="G1453" s="346"/>
    </row>
    <row r="1454" customHeight="1" spans="1:7">
      <c r="A1454" s="322" t="s">
        <v>1085</v>
      </c>
      <c r="B1454" s="323"/>
      <c r="C1454" s="324"/>
      <c r="D1454" s="324"/>
      <c r="E1454" s="324"/>
      <c r="F1454" s="324"/>
      <c r="G1454" s="325"/>
    </row>
    <row r="1455" customHeight="1" spans="1:7">
      <c r="A1455" s="314" t="s">
        <v>34</v>
      </c>
      <c r="B1455" s="317" t="s">
        <v>761</v>
      </c>
      <c r="C1455" s="317"/>
      <c r="D1455" s="317" t="s">
        <v>60</v>
      </c>
      <c r="E1455" s="326" t="s">
        <v>877</v>
      </c>
      <c r="F1455" s="61" t="s">
        <v>878</v>
      </c>
      <c r="G1455" s="318" t="s">
        <v>879</v>
      </c>
    </row>
    <row r="1456" customHeight="1" spans="1:7">
      <c r="A1456" s="314" t="s">
        <v>8</v>
      </c>
      <c r="B1456" s="347" t="s">
        <v>880</v>
      </c>
      <c r="C1456" s="347"/>
      <c r="D1456" s="317"/>
      <c r="E1456" s="326"/>
      <c r="F1456" s="147"/>
      <c r="G1456" s="329">
        <f>G1457</f>
        <v>271.4208</v>
      </c>
    </row>
    <row r="1457" customHeight="1" spans="1:7">
      <c r="A1457" s="314" t="s">
        <v>881</v>
      </c>
      <c r="B1457" s="347" t="s">
        <v>882</v>
      </c>
      <c r="C1457" s="347"/>
      <c r="D1457" s="317"/>
      <c r="E1457" s="326"/>
      <c r="F1457" s="147"/>
      <c r="G1457" s="329">
        <f>G1458+G1460</f>
        <v>271.4208</v>
      </c>
    </row>
    <row r="1458" customHeight="1" spans="1:7">
      <c r="A1458" s="314" t="s">
        <v>17</v>
      </c>
      <c r="B1458" s="347" t="s">
        <v>510</v>
      </c>
      <c r="C1458" s="347"/>
      <c r="D1458" s="317"/>
      <c r="E1458" s="326"/>
      <c r="F1458" s="147"/>
      <c r="G1458" s="329">
        <f>SUM(G1459:G1459)</f>
        <v>226.184</v>
      </c>
    </row>
    <row r="1459" customHeight="1" spans="1:7">
      <c r="A1459" s="314"/>
      <c r="B1459" s="347" t="s">
        <v>706</v>
      </c>
      <c r="C1459" s="347"/>
      <c r="D1459" s="317" t="s">
        <v>705</v>
      </c>
      <c r="E1459" s="330">
        <v>39.2</v>
      </c>
      <c r="F1459" s="147">
        <f>主要材料预算!D20</f>
        <v>5.77</v>
      </c>
      <c r="G1459" s="329">
        <f>E1459*F1459</f>
        <v>226.184</v>
      </c>
    </row>
    <row r="1460" customHeight="1" spans="1:7">
      <c r="A1460" s="314" t="s">
        <v>19</v>
      </c>
      <c r="B1460" s="347" t="s">
        <v>511</v>
      </c>
      <c r="C1460" s="347"/>
      <c r="D1460" s="317"/>
      <c r="E1460" s="326"/>
      <c r="F1460" s="147"/>
      <c r="G1460" s="329">
        <f>SUM(G1461:G1461)</f>
        <v>45.2368</v>
      </c>
    </row>
    <row r="1461" customHeight="1" spans="1:7">
      <c r="A1461" s="486"/>
      <c r="B1461" s="487" t="s">
        <v>1008</v>
      </c>
      <c r="C1461" s="487"/>
      <c r="D1461" s="338" t="s">
        <v>894</v>
      </c>
      <c r="E1461" s="162">
        <v>20</v>
      </c>
      <c r="F1461" s="162">
        <f>G1458</f>
        <v>226.184</v>
      </c>
      <c r="G1461" s="340">
        <f>E1461*F1461/100</f>
        <v>45.2368</v>
      </c>
    </row>
    <row r="1462" customHeight="1" spans="1:7">
      <c r="A1462" s="482"/>
      <c r="B1462" s="490"/>
      <c r="C1462" s="482"/>
      <c r="D1462" s="482"/>
      <c r="E1462" s="92"/>
      <c r="F1462" s="91"/>
    </row>
    <row r="1463" customHeight="1" spans="1:7">
      <c r="A1463" s="484" t="s">
        <v>868</v>
      </c>
      <c r="B1463" s="484"/>
      <c r="C1463" s="484"/>
      <c r="D1463" s="484"/>
      <c r="E1463" s="484"/>
      <c r="F1463" s="484"/>
      <c r="G1463" s="484"/>
    </row>
    <row r="1464" customHeight="1" spans="1:7">
      <c r="A1464" s="309" t="s">
        <v>869</v>
      </c>
      <c r="B1464" s="310"/>
      <c r="C1464" s="310" t="s">
        <v>17</v>
      </c>
      <c r="D1464" s="310" t="s">
        <v>870</v>
      </c>
      <c r="E1464" s="343" t="s">
        <v>1086</v>
      </c>
      <c r="F1464" s="343"/>
      <c r="G1464" s="344"/>
    </row>
    <row r="1465" customHeight="1" spans="1:7">
      <c r="A1465" s="314" t="s">
        <v>507</v>
      </c>
      <c r="B1465" s="315"/>
      <c r="C1465" s="316" t="s">
        <v>1087</v>
      </c>
      <c r="D1465" s="316"/>
      <c r="E1465" s="316"/>
      <c r="F1465" s="179" t="s">
        <v>873</v>
      </c>
      <c r="G1465" s="485" t="s">
        <v>874</v>
      </c>
    </row>
    <row r="1466" ht="18" customHeight="1" spans="1:7">
      <c r="A1466" s="345" t="s">
        <v>1088</v>
      </c>
      <c r="B1466" s="316"/>
      <c r="C1466" s="316"/>
      <c r="D1466" s="316"/>
      <c r="E1466" s="316"/>
      <c r="F1466" s="316"/>
      <c r="G1466" s="346"/>
    </row>
    <row r="1467" ht="18" customHeight="1" spans="1:7">
      <c r="A1467" s="322" t="s">
        <v>1089</v>
      </c>
      <c r="B1467" s="323"/>
      <c r="C1467" s="324"/>
      <c r="D1467" s="324"/>
      <c r="E1467" s="324"/>
      <c r="F1467" s="324"/>
      <c r="G1467" s="325"/>
    </row>
    <row r="1468" ht="18" customHeight="1" spans="1:7">
      <c r="A1468" s="314" t="s">
        <v>34</v>
      </c>
      <c r="B1468" s="317" t="s">
        <v>761</v>
      </c>
      <c r="C1468" s="317"/>
      <c r="D1468" s="317" t="s">
        <v>60</v>
      </c>
      <c r="E1468" s="326" t="s">
        <v>877</v>
      </c>
      <c r="F1468" s="61" t="s">
        <v>878</v>
      </c>
      <c r="G1468" s="318" t="s">
        <v>879</v>
      </c>
    </row>
    <row r="1469" ht="18" customHeight="1" spans="1:7">
      <c r="A1469" s="314" t="s">
        <v>8</v>
      </c>
      <c r="B1469" s="347" t="s">
        <v>880</v>
      </c>
      <c r="C1469" s="347"/>
      <c r="D1469" s="317"/>
      <c r="E1469" s="326"/>
      <c r="F1469" s="147"/>
      <c r="G1469" s="329">
        <f>G1470</f>
        <v>1832.30891994416</v>
      </c>
    </row>
    <row r="1470" ht="18" customHeight="1" spans="1:7">
      <c r="A1470" s="314" t="s">
        <v>881</v>
      </c>
      <c r="B1470" s="347" t="s">
        <v>882</v>
      </c>
      <c r="C1470" s="347"/>
      <c r="D1470" s="317"/>
      <c r="E1470" s="326"/>
      <c r="F1470" s="147"/>
      <c r="G1470" s="329">
        <f>G1471+G1474+G1476</f>
        <v>1832.30891994416</v>
      </c>
    </row>
    <row r="1471" ht="18" customHeight="1" spans="1:7">
      <c r="A1471" s="314" t="s">
        <v>17</v>
      </c>
      <c r="B1471" s="347" t="s">
        <v>510</v>
      </c>
      <c r="C1471" s="347"/>
      <c r="D1471" s="317"/>
      <c r="E1471" s="326"/>
      <c r="F1471" s="147"/>
      <c r="G1471" s="329">
        <f>SUM(G1472:G1473)</f>
        <v>640.923</v>
      </c>
    </row>
    <row r="1472" ht="18" customHeight="1" spans="1:7">
      <c r="A1472" s="314"/>
      <c r="B1472" s="347" t="s">
        <v>704</v>
      </c>
      <c r="C1472" s="347"/>
      <c r="D1472" s="317" t="s">
        <v>705</v>
      </c>
      <c r="E1472" s="326">
        <v>67.8</v>
      </c>
      <c r="F1472" s="423">
        <f>主要材料预算!D19</f>
        <v>8.1</v>
      </c>
      <c r="G1472" s="329">
        <f t="shared" ref="G1472:G1478" si="153">E1472*F1472</f>
        <v>549.18</v>
      </c>
    </row>
    <row r="1473" ht="18" customHeight="1" spans="1:7">
      <c r="A1473" s="314"/>
      <c r="B1473" s="347" t="s">
        <v>706</v>
      </c>
      <c r="C1473" s="347"/>
      <c r="D1473" s="317" t="s">
        <v>705</v>
      </c>
      <c r="E1473" s="330">
        <v>15.9</v>
      </c>
      <c r="F1473" s="423">
        <f>主要材料预算!D20</f>
        <v>5.77</v>
      </c>
      <c r="G1473" s="329">
        <f t="shared" si="153"/>
        <v>91.743</v>
      </c>
    </row>
    <row r="1474" ht="18" customHeight="1" spans="1:7">
      <c r="A1474" s="314" t="s">
        <v>19</v>
      </c>
      <c r="B1474" s="347" t="s">
        <v>511</v>
      </c>
      <c r="C1474" s="347"/>
      <c r="D1474" s="317"/>
      <c r="E1474" s="326"/>
      <c r="F1474" s="147"/>
      <c r="G1474" s="329">
        <f>SUM(G1475:G1475)</f>
        <v>103.715599242122</v>
      </c>
    </row>
    <row r="1475" ht="18" customHeight="1" spans="1:7">
      <c r="A1475" s="314"/>
      <c r="B1475" s="347" t="s">
        <v>1008</v>
      </c>
      <c r="C1475" s="347"/>
      <c r="D1475" s="317" t="s">
        <v>894</v>
      </c>
      <c r="E1475" s="152">
        <v>6</v>
      </c>
      <c r="F1475" s="147">
        <f>G1471+G1476</f>
        <v>1728.59332070203</v>
      </c>
      <c r="G1475" s="329">
        <f>E1475*F1475/100</f>
        <v>103.715599242122</v>
      </c>
    </row>
    <row r="1476" ht="18" customHeight="1" spans="1:7">
      <c r="A1476" s="491">
        <v>3</v>
      </c>
      <c r="B1476" s="347" t="s">
        <v>895</v>
      </c>
      <c r="C1476" s="347"/>
      <c r="D1476" s="476"/>
      <c r="E1476" s="492"/>
      <c r="F1476" s="147"/>
      <c r="G1476" s="329">
        <f>SUM(G1477:G1478)</f>
        <v>1087.67032070203</v>
      </c>
    </row>
    <row r="1477" ht="18" customHeight="1" spans="1:7">
      <c r="A1477" s="491"/>
      <c r="B1477" s="347" t="s">
        <v>835</v>
      </c>
      <c r="C1477" s="347"/>
      <c r="D1477" s="476" t="s">
        <v>896</v>
      </c>
      <c r="E1477" s="493">
        <v>11.05</v>
      </c>
      <c r="F1477" s="147">
        <f>施工机械台时费!E37</f>
        <v>96.1398005584364</v>
      </c>
      <c r="G1477" s="329">
        <f t="shared" si="153"/>
        <v>1062.34479617072</v>
      </c>
    </row>
    <row r="1478" ht="18" customHeight="1" spans="1:7">
      <c r="A1478" s="494"/>
      <c r="B1478" s="487" t="s">
        <v>1090</v>
      </c>
      <c r="C1478" s="487"/>
      <c r="D1478" s="495" t="s">
        <v>896</v>
      </c>
      <c r="E1478" s="496">
        <v>11.05</v>
      </c>
      <c r="F1478" s="162">
        <f>施工机械台时费!E26</f>
        <v>2.29190267251695</v>
      </c>
      <c r="G1478" s="340">
        <f t="shared" si="153"/>
        <v>25.3255245313123</v>
      </c>
    </row>
    <row r="1479" ht="18" customHeight="1" spans="1:7">
      <c r="A1479" s="482"/>
      <c r="B1479" s="483"/>
      <c r="C1479" s="482"/>
      <c r="D1479" s="490"/>
      <c r="E1479" s="482"/>
      <c r="F1479" s="497"/>
    </row>
    <row r="1480" ht="18" customHeight="1" spans="1:7">
      <c r="A1480" s="394" t="s">
        <v>868</v>
      </c>
      <c r="B1480" s="394"/>
      <c r="C1480" s="394"/>
      <c r="D1480" s="394"/>
      <c r="E1480" s="394"/>
      <c r="F1480" s="394"/>
      <c r="G1480" s="394"/>
    </row>
    <row r="1481" ht="18" customHeight="1" spans="1:7">
      <c r="A1481" s="309" t="s">
        <v>869</v>
      </c>
      <c r="B1481" s="310"/>
      <c r="C1481" s="310" t="s">
        <v>160</v>
      </c>
      <c r="D1481" s="310" t="s">
        <v>870</v>
      </c>
      <c r="E1481" s="311" t="s">
        <v>1091</v>
      </c>
      <c r="F1481" s="312"/>
      <c r="G1481" s="313"/>
    </row>
    <row r="1482" ht="18" customHeight="1" spans="1:7">
      <c r="A1482" s="314" t="s">
        <v>507</v>
      </c>
      <c r="B1482" s="315"/>
      <c r="C1482" s="316" t="s">
        <v>1092</v>
      </c>
      <c r="D1482" s="316"/>
      <c r="E1482" s="316"/>
      <c r="F1482" s="61" t="s">
        <v>873</v>
      </c>
      <c r="G1482" s="318" t="s">
        <v>1043</v>
      </c>
    </row>
    <row r="1483" ht="18" customHeight="1" spans="1:7">
      <c r="A1483" s="319" t="s">
        <v>1093</v>
      </c>
      <c r="B1483" s="320"/>
      <c r="C1483" s="320"/>
      <c r="D1483" s="320"/>
      <c r="E1483" s="320"/>
      <c r="F1483" s="320"/>
      <c r="G1483" s="321"/>
    </row>
    <row r="1484" ht="18" customHeight="1" spans="1:7">
      <c r="A1484" s="319" t="s">
        <v>1094</v>
      </c>
      <c r="B1484" s="320"/>
      <c r="C1484" s="320"/>
      <c r="D1484" s="320"/>
      <c r="E1484" s="320"/>
      <c r="F1484" s="320"/>
      <c r="G1484" s="321"/>
    </row>
    <row r="1485" ht="18" customHeight="1" spans="1:7">
      <c r="A1485" s="314" t="s">
        <v>34</v>
      </c>
      <c r="B1485" s="317" t="s">
        <v>761</v>
      </c>
      <c r="C1485" s="317"/>
      <c r="D1485" s="317" t="s">
        <v>60</v>
      </c>
      <c r="E1485" s="326" t="s">
        <v>877</v>
      </c>
      <c r="F1485" s="61" t="s">
        <v>878</v>
      </c>
      <c r="G1485" s="318" t="s">
        <v>879</v>
      </c>
    </row>
    <row r="1486" ht="18" customHeight="1" spans="1:7">
      <c r="A1486" s="314" t="s">
        <v>8</v>
      </c>
      <c r="B1486" s="327" t="s">
        <v>880</v>
      </c>
      <c r="C1486" s="328"/>
      <c r="D1486" s="317"/>
      <c r="E1486" s="326"/>
      <c r="G1486" s="329">
        <f>G1487+G1488</f>
        <v>14.896</v>
      </c>
    </row>
    <row r="1487" ht="18" customHeight="1" spans="1:7">
      <c r="A1487" s="314" t="s">
        <v>881</v>
      </c>
      <c r="B1487" s="327" t="s">
        <v>882</v>
      </c>
      <c r="C1487" s="328"/>
      <c r="D1487" s="317"/>
      <c r="E1487" s="326"/>
      <c r="F1487" s="147"/>
      <c r="G1487" s="329">
        <v>14</v>
      </c>
    </row>
    <row r="1488" ht="18" customHeight="1" spans="1:7">
      <c r="A1488" s="314" t="s">
        <v>905</v>
      </c>
      <c r="B1488" s="327" t="s">
        <v>514</v>
      </c>
      <c r="C1488" s="328"/>
      <c r="D1488" s="317"/>
      <c r="E1488" s="332">
        <f>G1487</f>
        <v>14</v>
      </c>
      <c r="F1488" s="155">
        <f>费率表!$J$12</f>
        <v>0.064</v>
      </c>
      <c r="G1488" s="329">
        <f t="shared" ref="G1488:G1492" si="154">E1488*F1488</f>
        <v>0.896</v>
      </c>
    </row>
    <row r="1489" ht="18" customHeight="1" spans="1:7">
      <c r="A1489" s="314" t="s">
        <v>10</v>
      </c>
      <c r="B1489" s="327" t="s">
        <v>770</v>
      </c>
      <c r="C1489" s="328"/>
      <c r="D1489" s="317"/>
      <c r="E1489" s="326">
        <f>G1486</f>
        <v>14.896</v>
      </c>
      <c r="F1489" s="155">
        <f>费率表!$J$13</f>
        <v>0.074</v>
      </c>
      <c r="G1489" s="329">
        <f t="shared" si="154"/>
        <v>1.102304</v>
      </c>
    </row>
    <row r="1490" ht="18" customHeight="1" spans="1:7">
      <c r="A1490" s="314" t="s">
        <v>12</v>
      </c>
      <c r="B1490" s="327" t="s">
        <v>771</v>
      </c>
      <c r="C1490" s="328"/>
      <c r="D1490" s="317"/>
      <c r="E1490" s="326">
        <f>G1486+G1489</f>
        <v>15.998304</v>
      </c>
      <c r="F1490" s="155">
        <f>费率表!$J$14</f>
        <v>0.07</v>
      </c>
      <c r="G1490" s="329">
        <f t="shared" si="154"/>
        <v>1.11988128</v>
      </c>
    </row>
    <row r="1491" ht="18" customHeight="1" spans="1:7">
      <c r="A1491" s="314" t="s">
        <v>15</v>
      </c>
      <c r="B1491" s="327" t="s">
        <v>772</v>
      </c>
      <c r="C1491" s="328"/>
      <c r="D1491" s="317"/>
      <c r="E1491" s="326">
        <f>G1486+G1489++G1490</f>
        <v>17.11818528</v>
      </c>
      <c r="F1491" s="155">
        <f>费率表!$J$15</f>
        <v>0.09</v>
      </c>
      <c r="G1491" s="329">
        <f t="shared" si="154"/>
        <v>1.5406366752</v>
      </c>
    </row>
    <row r="1492" ht="18" customHeight="1" spans="1:7">
      <c r="A1492" s="314"/>
      <c r="B1492" s="327" t="s">
        <v>907</v>
      </c>
      <c r="C1492" s="328"/>
      <c r="D1492" s="317"/>
      <c r="E1492" s="326">
        <f>G1486+G1489+G1490+G1491</f>
        <v>18.6588219552</v>
      </c>
      <c r="F1492" s="156">
        <f>费率表!$I$19</f>
        <v>0.03</v>
      </c>
      <c r="G1492" s="329">
        <f t="shared" si="154"/>
        <v>0.559764658656</v>
      </c>
    </row>
    <row r="1493" ht="18" customHeight="1" spans="1:7">
      <c r="A1493" s="335"/>
      <c r="B1493" s="336" t="s">
        <v>39</v>
      </c>
      <c r="C1493" s="337"/>
      <c r="D1493" s="338"/>
      <c r="E1493" s="339"/>
      <c r="F1493" s="161"/>
      <c r="G1493" s="340">
        <f>G1486+G1489+G1490+G1491+G1492</f>
        <v>19.218586613856</v>
      </c>
    </row>
    <row r="1494" ht="18" customHeight="1" spans="1:7">
      <c r="A1494" s="482"/>
      <c r="B1494" s="483"/>
      <c r="C1494" s="482"/>
      <c r="D1494" s="490"/>
      <c r="E1494" s="482"/>
    </row>
    <row r="1495" ht="18" customHeight="1" spans="1:7">
      <c r="A1495" s="482"/>
      <c r="B1495" s="483"/>
      <c r="C1495" s="482"/>
      <c r="D1495" s="490"/>
      <c r="E1495" s="482"/>
      <c r="F1495" s="497"/>
    </row>
    <row r="1496" ht="18" customHeight="1" spans="1:7">
      <c r="A1496" s="482"/>
      <c r="B1496" s="483"/>
      <c r="C1496" s="482"/>
      <c r="D1496" s="490"/>
      <c r="E1496" s="482"/>
      <c r="F1496" s="497"/>
    </row>
    <row r="1497" ht="18" customHeight="1" spans="1:7">
      <c r="A1497" s="482"/>
      <c r="B1497" s="483"/>
      <c r="C1497" s="482"/>
      <c r="D1497" s="490"/>
      <c r="E1497" s="482"/>
      <c r="F1497" s="497"/>
    </row>
    <row r="1498" ht="18" customHeight="1" spans="1:7">
      <c r="A1498" s="482"/>
      <c r="B1498" s="483"/>
      <c r="C1498" s="482"/>
      <c r="D1498" s="490"/>
      <c r="E1498" s="482"/>
      <c r="F1498" s="497"/>
    </row>
    <row r="1499" ht="18" customHeight="1" spans="1:7">
      <c r="A1499" s="482"/>
      <c r="B1499" s="483"/>
      <c r="C1499" s="482"/>
      <c r="D1499" s="490"/>
      <c r="E1499" s="482"/>
      <c r="F1499" s="497"/>
    </row>
    <row r="1500" ht="18" customHeight="1" spans="1:7">
      <c r="A1500" s="482"/>
      <c r="B1500" s="483"/>
      <c r="C1500" s="482"/>
      <c r="D1500" s="490"/>
      <c r="E1500" s="482"/>
      <c r="F1500" s="497"/>
    </row>
    <row r="1501" ht="18" customHeight="1" spans="1:7">
      <c r="A1501" s="482"/>
      <c r="B1501" s="483"/>
      <c r="C1501" s="482"/>
      <c r="D1501" s="490"/>
      <c r="E1501" s="482"/>
      <c r="F1501" s="497"/>
    </row>
    <row r="1502" ht="18" customHeight="1" spans="1:7">
      <c r="A1502" s="482"/>
      <c r="B1502" s="483"/>
      <c r="C1502" s="482"/>
      <c r="D1502" s="490"/>
      <c r="E1502" s="482"/>
      <c r="F1502" s="497"/>
    </row>
    <row r="1503" ht="18" customHeight="1" spans="1:7">
      <c r="A1503" s="482"/>
      <c r="B1503" s="483"/>
      <c r="C1503" s="482"/>
      <c r="D1503" s="490"/>
      <c r="E1503" s="482"/>
      <c r="F1503" s="497"/>
    </row>
    <row r="1504" ht="18" customHeight="1" spans="1:7">
      <c r="A1504" s="482"/>
      <c r="B1504" s="483"/>
      <c r="C1504" s="482"/>
      <c r="D1504" s="490"/>
      <c r="E1504" s="482"/>
      <c r="F1504" s="497"/>
    </row>
    <row r="1505" ht="18" customHeight="1" spans="1:6">
      <c r="A1505" s="482"/>
      <c r="B1505" s="483"/>
      <c r="C1505" s="482"/>
      <c r="D1505" s="490"/>
      <c r="E1505" s="482"/>
      <c r="F1505" s="497"/>
    </row>
    <row r="1506" ht="18" customHeight="1" spans="1:6">
      <c r="A1506" s="482"/>
      <c r="B1506" s="483"/>
      <c r="C1506" s="482"/>
      <c r="D1506" s="490"/>
      <c r="E1506" s="482"/>
      <c r="F1506" s="497"/>
    </row>
    <row r="1507" ht="18" customHeight="1" spans="1:6">
      <c r="A1507" s="482"/>
      <c r="B1507" s="483"/>
      <c r="C1507" s="482"/>
      <c r="D1507" s="490"/>
      <c r="E1507" s="482"/>
      <c r="F1507" s="497"/>
    </row>
    <row r="1508" ht="18" customHeight="1" spans="1:6">
      <c r="A1508" s="482"/>
      <c r="B1508" s="483"/>
      <c r="C1508" s="482"/>
      <c r="D1508" s="490"/>
      <c r="E1508" s="482"/>
      <c r="F1508" s="497"/>
    </row>
    <row r="1509" ht="18" customHeight="1" spans="1:6">
      <c r="A1509" s="482"/>
      <c r="B1509" s="483"/>
      <c r="C1509" s="482"/>
      <c r="D1509" s="490"/>
      <c r="E1509" s="482"/>
      <c r="F1509" s="497"/>
    </row>
    <row r="1510" ht="18" customHeight="1" spans="1:6">
      <c r="A1510" s="482"/>
      <c r="B1510" s="483"/>
      <c r="C1510" s="482"/>
      <c r="D1510" s="490"/>
      <c r="E1510" s="482"/>
      <c r="F1510" s="497"/>
    </row>
    <row r="1511" ht="18" customHeight="1" spans="1:6">
      <c r="A1511" s="482"/>
      <c r="B1511" s="483"/>
      <c r="C1511" s="482"/>
      <c r="D1511" s="490"/>
      <c r="E1511" s="482"/>
      <c r="F1511" s="497"/>
    </row>
    <row r="1512" ht="18" customHeight="1" spans="1:6">
      <c r="A1512" s="482"/>
      <c r="B1512" s="483"/>
      <c r="C1512" s="482"/>
      <c r="D1512" s="490"/>
      <c r="E1512" s="482"/>
      <c r="F1512" s="497"/>
    </row>
    <row r="1513" ht="18" customHeight="1" spans="1:6">
      <c r="A1513" s="482"/>
      <c r="B1513" s="483"/>
      <c r="C1513" s="482"/>
      <c r="D1513" s="490"/>
      <c r="E1513" s="482"/>
      <c r="F1513" s="497"/>
    </row>
    <row r="1514" ht="18" customHeight="1" spans="1:6">
      <c r="A1514" s="482"/>
      <c r="B1514" s="483"/>
      <c r="C1514" s="482"/>
      <c r="D1514" s="490"/>
      <c r="E1514" s="482"/>
      <c r="F1514" s="497"/>
    </row>
    <row r="1515" ht="18" customHeight="1" spans="1:6">
      <c r="A1515" s="482"/>
      <c r="B1515" s="483"/>
      <c r="C1515" s="482"/>
      <c r="D1515" s="490"/>
      <c r="E1515" s="482"/>
      <c r="F1515" s="497"/>
    </row>
    <row r="1516" ht="18" customHeight="1" spans="1:6">
      <c r="A1516" s="482"/>
      <c r="B1516" s="483"/>
      <c r="C1516" s="482"/>
      <c r="D1516" s="490"/>
      <c r="E1516" s="482"/>
      <c r="F1516" s="497"/>
    </row>
    <row r="1517" ht="18" customHeight="1" spans="1:6">
      <c r="A1517" s="482"/>
      <c r="B1517" s="483"/>
      <c r="C1517" s="482"/>
      <c r="D1517" s="490"/>
      <c r="E1517" s="482"/>
      <c r="F1517" s="497"/>
    </row>
    <row r="1518" ht="18" customHeight="1" spans="1:6">
      <c r="A1518" s="482"/>
      <c r="B1518" s="483"/>
      <c r="C1518" s="482"/>
      <c r="D1518" s="490"/>
      <c r="E1518" s="482"/>
      <c r="F1518" s="497"/>
    </row>
    <row r="1519" ht="18" customHeight="1" spans="1:6">
      <c r="A1519" s="482"/>
      <c r="B1519" s="483"/>
      <c r="C1519" s="482"/>
      <c r="D1519" s="490"/>
      <c r="E1519" s="482"/>
      <c r="F1519" s="497"/>
    </row>
    <row r="1520" ht="18" customHeight="1" spans="1:6">
      <c r="A1520" s="482"/>
      <c r="B1520" s="483"/>
      <c r="C1520" s="482"/>
      <c r="D1520" s="490"/>
      <c r="E1520" s="482"/>
      <c r="F1520" s="497"/>
    </row>
    <row r="1521" ht="18" customHeight="1" spans="1:6">
      <c r="A1521" s="482"/>
      <c r="B1521" s="483"/>
      <c r="C1521" s="482"/>
      <c r="D1521" s="490"/>
      <c r="E1521" s="482"/>
      <c r="F1521" s="497"/>
    </row>
    <row r="1522" ht="18" customHeight="1" spans="1:6">
      <c r="A1522" s="482"/>
      <c r="B1522" s="483"/>
      <c r="C1522" s="482"/>
      <c r="D1522" s="490"/>
      <c r="E1522" s="482"/>
      <c r="F1522" s="497"/>
    </row>
    <row r="1523" ht="18" customHeight="1" spans="1:6">
      <c r="A1523" s="482"/>
      <c r="B1523" s="483"/>
      <c r="C1523" s="482"/>
      <c r="D1523" s="490"/>
      <c r="E1523" s="482"/>
      <c r="F1523" s="497"/>
    </row>
    <row r="1524" ht="18" customHeight="1" spans="1:6">
      <c r="A1524" s="482"/>
      <c r="B1524" s="483"/>
      <c r="C1524" s="482"/>
      <c r="D1524" s="490"/>
      <c r="E1524" s="482"/>
      <c r="F1524" s="497"/>
    </row>
    <row r="1525" ht="18" customHeight="1" spans="1:6">
      <c r="A1525" s="482"/>
      <c r="B1525" s="483"/>
      <c r="C1525" s="482"/>
      <c r="D1525" s="490"/>
      <c r="E1525" s="482"/>
      <c r="F1525" s="497"/>
    </row>
    <row r="1526" ht="18" customHeight="1" spans="1:6">
      <c r="A1526" s="482"/>
      <c r="B1526" s="483"/>
      <c r="C1526" s="482"/>
      <c r="D1526" s="490"/>
      <c r="E1526" s="482"/>
      <c r="F1526" s="497"/>
    </row>
    <row r="1527" ht="18" customHeight="1" spans="1:6">
      <c r="A1527" s="482"/>
      <c r="B1527" s="483"/>
      <c r="C1527" s="482"/>
      <c r="D1527" s="490"/>
      <c r="E1527" s="482"/>
      <c r="F1527" s="497"/>
    </row>
    <row r="1528" ht="18" customHeight="1" spans="1:6">
      <c r="A1528" s="482"/>
      <c r="B1528" s="483"/>
      <c r="C1528" s="482"/>
      <c r="D1528" s="490"/>
      <c r="E1528" s="482"/>
      <c r="F1528" s="497"/>
    </row>
    <row r="1529" ht="18" customHeight="1" spans="1:6">
      <c r="A1529" s="482"/>
      <c r="B1529" s="483"/>
      <c r="C1529" s="482"/>
      <c r="D1529" s="490"/>
      <c r="E1529" s="482"/>
      <c r="F1529" s="497"/>
    </row>
    <row r="1530" ht="18" customHeight="1" spans="1:6">
      <c r="A1530" s="482"/>
      <c r="B1530" s="483"/>
      <c r="C1530" s="482"/>
      <c r="D1530" s="490"/>
      <c r="E1530" s="482"/>
      <c r="F1530" s="497"/>
    </row>
    <row r="1531" ht="18" customHeight="1" spans="1:6">
      <c r="A1531" s="482"/>
      <c r="B1531" s="483"/>
      <c r="C1531" s="482"/>
      <c r="D1531" s="490"/>
      <c r="E1531" s="482"/>
      <c r="F1531" s="497"/>
    </row>
    <row r="1532" ht="18" customHeight="1" spans="1:6">
      <c r="A1532" s="482"/>
      <c r="B1532" s="483"/>
      <c r="C1532" s="482"/>
      <c r="D1532" s="490"/>
      <c r="E1532" s="482"/>
      <c r="F1532" s="497"/>
    </row>
    <row r="1533" ht="18" customHeight="1" spans="1:6">
      <c r="A1533" s="482"/>
      <c r="B1533" s="483"/>
      <c r="C1533" s="482"/>
      <c r="D1533" s="490"/>
      <c r="E1533" s="482"/>
      <c r="F1533" s="497"/>
    </row>
    <row r="1534" ht="18" customHeight="1" spans="1:6">
      <c r="A1534" s="482"/>
      <c r="B1534" s="483"/>
      <c r="C1534" s="482"/>
      <c r="D1534" s="490"/>
      <c r="E1534" s="482"/>
      <c r="F1534" s="497"/>
    </row>
    <row r="1535" ht="18" customHeight="1" spans="1:6">
      <c r="A1535" s="482"/>
      <c r="B1535" s="483"/>
      <c r="C1535" s="482"/>
      <c r="D1535" s="490"/>
      <c r="E1535" s="482"/>
      <c r="F1535" s="497"/>
    </row>
    <row r="1536" ht="18" customHeight="1" spans="1:6">
      <c r="A1536" s="482"/>
      <c r="B1536" s="483"/>
      <c r="C1536" s="482"/>
      <c r="D1536" s="490"/>
      <c r="E1536" s="482"/>
      <c r="F1536" s="497"/>
    </row>
    <row r="1537" ht="18" customHeight="1" spans="1:6">
      <c r="A1537" s="482"/>
      <c r="B1537" s="483"/>
      <c r="C1537" s="482"/>
      <c r="D1537" s="490"/>
      <c r="E1537" s="482"/>
      <c r="F1537" s="497"/>
    </row>
    <row r="1538" ht="18" customHeight="1" spans="1:6">
      <c r="A1538" s="482"/>
      <c r="B1538" s="483"/>
      <c r="C1538" s="482"/>
      <c r="D1538" s="490"/>
      <c r="E1538" s="482"/>
      <c r="F1538" s="497"/>
    </row>
    <row r="1539" ht="18" customHeight="1" spans="1:6">
      <c r="A1539" s="482"/>
      <c r="B1539" s="483"/>
      <c r="C1539" s="482"/>
      <c r="D1539" s="490"/>
      <c r="E1539" s="482"/>
      <c r="F1539" s="497"/>
    </row>
    <row r="1540" ht="18" customHeight="1" spans="1:6">
      <c r="A1540" s="482"/>
      <c r="B1540" s="483"/>
      <c r="C1540" s="482"/>
      <c r="D1540" s="490"/>
      <c r="E1540" s="482"/>
      <c r="F1540" s="497"/>
    </row>
    <row r="1541" ht="18" customHeight="1" spans="1:6">
      <c r="A1541" s="482"/>
      <c r="B1541" s="483"/>
      <c r="C1541" s="482"/>
      <c r="D1541" s="490"/>
      <c r="E1541" s="482"/>
      <c r="F1541" s="497"/>
    </row>
    <row r="1542" ht="18" customHeight="1" spans="1:6">
      <c r="A1542" s="482"/>
      <c r="B1542" s="483"/>
      <c r="C1542" s="482"/>
      <c r="D1542" s="490"/>
      <c r="E1542" s="482"/>
      <c r="F1542" s="497"/>
    </row>
    <row r="1543" ht="18" customHeight="1" spans="1:6">
      <c r="A1543" s="482"/>
      <c r="B1543" s="483"/>
      <c r="C1543" s="482"/>
      <c r="D1543" s="490"/>
      <c r="E1543" s="482"/>
      <c r="F1543" s="497"/>
    </row>
    <row r="1544" ht="18" customHeight="1" spans="1:6">
      <c r="A1544" s="482"/>
      <c r="B1544" s="483"/>
      <c r="C1544" s="482"/>
      <c r="D1544" s="490"/>
      <c r="E1544" s="482"/>
      <c r="F1544" s="497"/>
    </row>
    <row r="1545" ht="18" customHeight="1" spans="1:6">
      <c r="A1545" s="482"/>
      <c r="B1545" s="483"/>
      <c r="C1545" s="482"/>
      <c r="D1545" s="490"/>
      <c r="E1545" s="482"/>
      <c r="F1545" s="497"/>
    </row>
    <row r="1546" ht="18" customHeight="1" spans="1:6">
      <c r="A1546" s="482"/>
      <c r="B1546" s="483"/>
      <c r="C1546" s="482"/>
      <c r="D1546" s="490"/>
      <c r="E1546" s="482"/>
      <c r="F1546" s="497"/>
    </row>
    <row r="1547" ht="18" customHeight="1" spans="1:6">
      <c r="A1547" s="482"/>
      <c r="B1547" s="483"/>
      <c r="C1547" s="482"/>
      <c r="D1547" s="490"/>
      <c r="E1547" s="482"/>
      <c r="F1547" s="497"/>
    </row>
    <row r="1548" ht="18" customHeight="1" spans="1:6">
      <c r="A1548" s="482"/>
      <c r="B1548" s="483"/>
      <c r="C1548" s="482"/>
      <c r="D1548" s="490"/>
      <c r="E1548" s="482"/>
      <c r="F1548" s="497"/>
    </row>
    <row r="1549" ht="18" customHeight="1" spans="1:6">
      <c r="A1549" s="482"/>
      <c r="B1549" s="483"/>
      <c r="C1549" s="482"/>
      <c r="D1549" s="490"/>
      <c r="E1549" s="482"/>
      <c r="F1549" s="497"/>
    </row>
    <row r="1550" ht="18" customHeight="1" spans="1:6">
      <c r="A1550" s="482"/>
      <c r="B1550" s="483"/>
      <c r="C1550" s="482"/>
      <c r="D1550" s="490"/>
      <c r="E1550" s="482"/>
      <c r="F1550" s="497"/>
    </row>
    <row r="1551" ht="18" customHeight="1" spans="1:6">
      <c r="A1551" s="482"/>
      <c r="B1551" s="483"/>
      <c r="C1551" s="482"/>
      <c r="D1551" s="490"/>
      <c r="E1551" s="482"/>
      <c r="F1551" s="497"/>
    </row>
    <row r="1552" ht="18" customHeight="1" spans="1:6">
      <c r="A1552" s="482"/>
      <c r="B1552" s="483"/>
      <c r="C1552" s="482"/>
      <c r="D1552" s="490"/>
      <c r="E1552" s="482"/>
      <c r="F1552" s="497"/>
    </row>
    <row r="1553" ht="18" customHeight="1" spans="1:6">
      <c r="A1553" s="482"/>
      <c r="B1553" s="483"/>
      <c r="C1553" s="482"/>
      <c r="D1553" s="490"/>
      <c r="E1553" s="482"/>
      <c r="F1553" s="497"/>
    </row>
    <row r="1554" ht="18" customHeight="1" spans="1:6">
      <c r="A1554" s="482"/>
      <c r="B1554" s="483"/>
      <c r="C1554" s="482"/>
      <c r="D1554" s="490"/>
      <c r="E1554" s="482"/>
      <c r="F1554" s="497"/>
    </row>
    <row r="1555" ht="18" customHeight="1" spans="1:6">
      <c r="A1555" s="482"/>
      <c r="B1555" s="483"/>
      <c r="C1555" s="482"/>
      <c r="D1555" s="490"/>
      <c r="E1555" s="482"/>
      <c r="F1555" s="497"/>
    </row>
    <row r="1556" ht="18" customHeight="1" spans="1:6">
      <c r="A1556" s="482"/>
      <c r="B1556" s="483"/>
      <c r="C1556" s="482"/>
      <c r="D1556" s="490"/>
      <c r="E1556" s="482"/>
      <c r="F1556" s="497"/>
    </row>
    <row r="1557" ht="18" customHeight="1" spans="1:6">
      <c r="A1557" s="482"/>
      <c r="B1557" s="483"/>
      <c r="C1557" s="482"/>
      <c r="D1557" s="490"/>
      <c r="E1557" s="482"/>
      <c r="F1557" s="497"/>
    </row>
    <row r="1558" ht="18" customHeight="1" spans="1:6">
      <c r="A1558" s="482"/>
      <c r="B1558" s="483"/>
      <c r="C1558" s="482"/>
      <c r="D1558" s="490"/>
      <c r="E1558" s="482"/>
      <c r="F1558" s="497"/>
    </row>
    <row r="1559" ht="18" customHeight="1" spans="1:6">
      <c r="A1559" s="482"/>
      <c r="B1559" s="483"/>
      <c r="C1559" s="482"/>
      <c r="D1559" s="490"/>
      <c r="E1559" s="482"/>
      <c r="F1559" s="497"/>
    </row>
    <row r="1560" ht="18" customHeight="1" spans="1:6">
      <c r="A1560" s="482"/>
      <c r="B1560" s="483"/>
      <c r="C1560" s="482"/>
      <c r="D1560" s="490"/>
      <c r="E1560" s="482"/>
      <c r="F1560" s="497"/>
    </row>
    <row r="1561" ht="18" customHeight="1" spans="1:6">
      <c r="A1561" s="482"/>
      <c r="B1561" s="483"/>
      <c r="C1561" s="482"/>
      <c r="D1561" s="490"/>
      <c r="E1561" s="482"/>
      <c r="F1561" s="497"/>
    </row>
    <row r="1562" ht="18" customHeight="1" spans="1:6">
      <c r="A1562" s="482"/>
      <c r="B1562" s="483"/>
      <c r="C1562" s="482"/>
      <c r="D1562" s="490"/>
      <c r="E1562" s="482"/>
      <c r="F1562" s="497"/>
    </row>
    <row r="1563" ht="18" customHeight="1" spans="1:6">
      <c r="A1563" s="482"/>
      <c r="B1563" s="483"/>
      <c r="C1563" s="482"/>
      <c r="D1563" s="490"/>
      <c r="E1563" s="482"/>
      <c r="F1563" s="497"/>
    </row>
    <row r="1564" ht="18" customHeight="1"/>
    <row r="1565" ht="18" customHeight="1"/>
    <row r="1566" ht="18" customHeight="1"/>
    <row r="1567" ht="18" customHeight="1"/>
    <row r="1568" ht="18" customHeight="1"/>
    <row r="1569" ht="18" customHeight="1"/>
    <row r="1570" ht="18" customHeight="1"/>
    <row r="1571" ht="18" customHeight="1"/>
    <row r="1572" ht="18" customHeight="1"/>
    <row r="1573" ht="18" customHeight="1"/>
    <row r="1574" ht="18" customHeight="1"/>
    <row r="1575" ht="18" customHeight="1"/>
    <row r="1576" ht="18" customHeight="1"/>
    <row r="1577" ht="18" customHeight="1"/>
    <row r="1578" ht="18" customHeight="1"/>
    <row r="1579" ht="18" customHeight="1"/>
    <row r="1580" ht="18" customHeight="1"/>
    <row r="1581" ht="18" customHeight="1"/>
    <row r="1582" ht="18" customHeight="1"/>
    <row r="1583" ht="18" customHeight="1"/>
  </sheetData>
  <mergeCells count="1506">
    <mergeCell ref="A1:G1"/>
    <mergeCell ref="A2:B2"/>
    <mergeCell ref="E2:G2"/>
    <mergeCell ref="A3:B3"/>
    <mergeCell ref="C3:E3"/>
    <mergeCell ref="A4:G4"/>
    <mergeCell ref="A5:G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45:C45"/>
    <mergeCell ref="A47:G47"/>
    <mergeCell ref="A48:B48"/>
    <mergeCell ref="E48:G48"/>
    <mergeCell ref="A49:B49"/>
    <mergeCell ref="C49:E49"/>
    <mergeCell ref="A50:G50"/>
    <mergeCell ref="A51:G51"/>
    <mergeCell ref="B52:C52"/>
    <mergeCell ref="B53:C53"/>
    <mergeCell ref="B54:C54"/>
    <mergeCell ref="B55:C55"/>
    <mergeCell ref="B56:C56"/>
    <mergeCell ref="B57:C57"/>
    <mergeCell ref="B58:C58"/>
    <mergeCell ref="B59:C59"/>
    <mergeCell ref="B60:C60"/>
    <mergeCell ref="B61:C61"/>
    <mergeCell ref="B62:C62"/>
    <mergeCell ref="B63:C63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6:C76"/>
    <mergeCell ref="B77:C77"/>
    <mergeCell ref="B78:C78"/>
    <mergeCell ref="B79:C79"/>
    <mergeCell ref="B80:C80"/>
    <mergeCell ref="B81:C81"/>
    <mergeCell ref="B82:C82"/>
    <mergeCell ref="B83:C83"/>
    <mergeCell ref="B84:C84"/>
    <mergeCell ref="B85:C85"/>
    <mergeCell ref="B86:C86"/>
    <mergeCell ref="B87:C87"/>
    <mergeCell ref="B88:C88"/>
    <mergeCell ref="B89:C89"/>
    <mergeCell ref="B90:C90"/>
    <mergeCell ref="B91:C91"/>
    <mergeCell ref="A94:G94"/>
    <mergeCell ref="A95:B95"/>
    <mergeCell ref="E95:G95"/>
    <mergeCell ref="A96:B96"/>
    <mergeCell ref="C96:E96"/>
    <mergeCell ref="A97:G97"/>
    <mergeCell ref="A98:G98"/>
    <mergeCell ref="B99:C99"/>
    <mergeCell ref="B100:C100"/>
    <mergeCell ref="B101:C101"/>
    <mergeCell ref="B102:C102"/>
    <mergeCell ref="B103:C103"/>
    <mergeCell ref="B104:C104"/>
    <mergeCell ref="B105:C105"/>
    <mergeCell ref="B106:C106"/>
    <mergeCell ref="B107:C107"/>
    <mergeCell ref="B108:C108"/>
    <mergeCell ref="B109:C109"/>
    <mergeCell ref="B110:C110"/>
    <mergeCell ref="B111:C111"/>
    <mergeCell ref="B112:C112"/>
    <mergeCell ref="B113:C113"/>
    <mergeCell ref="B114:C114"/>
    <mergeCell ref="B115:C115"/>
    <mergeCell ref="B116:C116"/>
    <mergeCell ref="B117:C117"/>
    <mergeCell ref="B118:C118"/>
    <mergeCell ref="B119:C119"/>
    <mergeCell ref="B120:C120"/>
    <mergeCell ref="B121:C121"/>
    <mergeCell ref="B122:C122"/>
    <mergeCell ref="B123:C123"/>
    <mergeCell ref="B124:C124"/>
    <mergeCell ref="B125:C125"/>
    <mergeCell ref="B126:C126"/>
    <mergeCell ref="B127:C127"/>
    <mergeCell ref="B128:C128"/>
    <mergeCell ref="B129:C129"/>
    <mergeCell ref="B130:C130"/>
    <mergeCell ref="B131:C131"/>
    <mergeCell ref="B132:C132"/>
    <mergeCell ref="B133:C133"/>
    <mergeCell ref="B134:C134"/>
    <mergeCell ref="B135:C135"/>
    <mergeCell ref="A137:G137"/>
    <mergeCell ref="A138:B138"/>
    <mergeCell ref="E138:G138"/>
    <mergeCell ref="A139:B139"/>
    <mergeCell ref="C139:E139"/>
    <mergeCell ref="A140:G140"/>
    <mergeCell ref="A141:G141"/>
    <mergeCell ref="B142:C142"/>
    <mergeCell ref="B143:C143"/>
    <mergeCell ref="B144:C144"/>
    <mergeCell ref="B145:C145"/>
    <mergeCell ref="B146:C146"/>
    <mergeCell ref="B147:C147"/>
    <mergeCell ref="B148:C148"/>
    <mergeCell ref="B149:C149"/>
    <mergeCell ref="B150:C150"/>
    <mergeCell ref="B151:C151"/>
    <mergeCell ref="B152:C152"/>
    <mergeCell ref="B153:C153"/>
    <mergeCell ref="B154:C154"/>
    <mergeCell ref="B155:C155"/>
    <mergeCell ref="B156:C156"/>
    <mergeCell ref="B157:C157"/>
    <mergeCell ref="B158:C158"/>
    <mergeCell ref="B159:C159"/>
    <mergeCell ref="B160:C160"/>
    <mergeCell ref="B161:C161"/>
    <mergeCell ref="B162:C162"/>
    <mergeCell ref="B163:C163"/>
    <mergeCell ref="B164:C164"/>
    <mergeCell ref="B165:C165"/>
    <mergeCell ref="B166:C166"/>
    <mergeCell ref="B167:C167"/>
    <mergeCell ref="B168:C168"/>
    <mergeCell ref="B169:C169"/>
    <mergeCell ref="B170:C170"/>
    <mergeCell ref="B171:C171"/>
    <mergeCell ref="B172:C172"/>
    <mergeCell ref="B173:C173"/>
    <mergeCell ref="B174:C174"/>
    <mergeCell ref="B175:C175"/>
    <mergeCell ref="B176:C176"/>
    <mergeCell ref="B177:C177"/>
    <mergeCell ref="B178:C178"/>
    <mergeCell ref="A180:G180"/>
    <mergeCell ref="A181:B181"/>
    <mergeCell ref="E181:G181"/>
    <mergeCell ref="A182:B182"/>
    <mergeCell ref="C182:E182"/>
    <mergeCell ref="A183:G183"/>
    <mergeCell ref="A184:G184"/>
    <mergeCell ref="B185:C185"/>
    <mergeCell ref="B186:C186"/>
    <mergeCell ref="B187:C187"/>
    <mergeCell ref="B188:C188"/>
    <mergeCell ref="B189:C189"/>
    <mergeCell ref="B190:C190"/>
    <mergeCell ref="B191:C191"/>
    <mergeCell ref="B192:C192"/>
    <mergeCell ref="B193:C193"/>
    <mergeCell ref="B194:C194"/>
    <mergeCell ref="B195:C195"/>
    <mergeCell ref="B196:C196"/>
    <mergeCell ref="B197:C197"/>
    <mergeCell ref="B198:C198"/>
    <mergeCell ref="B199:C199"/>
    <mergeCell ref="B200:C200"/>
    <mergeCell ref="B201:C201"/>
    <mergeCell ref="B202:C202"/>
    <mergeCell ref="B203:C203"/>
    <mergeCell ref="B204:C204"/>
    <mergeCell ref="B205:C205"/>
    <mergeCell ref="B206:C206"/>
    <mergeCell ref="B207:C207"/>
    <mergeCell ref="B208:C208"/>
    <mergeCell ref="B209:C209"/>
    <mergeCell ref="B210:C210"/>
    <mergeCell ref="B211:C211"/>
    <mergeCell ref="B212:C212"/>
    <mergeCell ref="B213:C213"/>
    <mergeCell ref="B214:C214"/>
    <mergeCell ref="B215:C215"/>
    <mergeCell ref="B216:C216"/>
    <mergeCell ref="B217:C217"/>
    <mergeCell ref="B218:C218"/>
    <mergeCell ref="B219:C219"/>
    <mergeCell ref="B220:C220"/>
    <mergeCell ref="B221:C221"/>
    <mergeCell ref="B222:C222"/>
    <mergeCell ref="B223:C223"/>
    <mergeCell ref="A227:G227"/>
    <mergeCell ref="A228:B228"/>
    <mergeCell ref="E228:G228"/>
    <mergeCell ref="A229:B229"/>
    <mergeCell ref="C229:E229"/>
    <mergeCell ref="A230:G230"/>
    <mergeCell ref="A231:G231"/>
    <mergeCell ref="B232:C232"/>
    <mergeCell ref="B233:C233"/>
    <mergeCell ref="B234:C234"/>
    <mergeCell ref="B235:C235"/>
    <mergeCell ref="B236:C236"/>
    <mergeCell ref="B237:C237"/>
    <mergeCell ref="B238:C238"/>
    <mergeCell ref="B239:C239"/>
    <mergeCell ref="B240:C240"/>
    <mergeCell ref="B241:C241"/>
    <mergeCell ref="B242:C242"/>
    <mergeCell ref="B243:C243"/>
    <mergeCell ref="B244:C244"/>
    <mergeCell ref="B245:C245"/>
    <mergeCell ref="B246:C246"/>
    <mergeCell ref="B247:C247"/>
    <mergeCell ref="B248:C248"/>
    <mergeCell ref="B249:C249"/>
    <mergeCell ref="B250:C250"/>
    <mergeCell ref="B251:C251"/>
    <mergeCell ref="B252:C252"/>
    <mergeCell ref="B253:C253"/>
    <mergeCell ref="B254:C254"/>
    <mergeCell ref="B255:C255"/>
    <mergeCell ref="B256:C256"/>
    <mergeCell ref="B257:C257"/>
    <mergeCell ref="B258:C258"/>
    <mergeCell ref="B259:C259"/>
    <mergeCell ref="B260:C260"/>
    <mergeCell ref="B261:C261"/>
    <mergeCell ref="B262:C262"/>
    <mergeCell ref="B263:C263"/>
    <mergeCell ref="B264:C264"/>
    <mergeCell ref="B265:C265"/>
    <mergeCell ref="B266:C266"/>
    <mergeCell ref="B267:C267"/>
    <mergeCell ref="B268:C268"/>
    <mergeCell ref="A270:G270"/>
    <mergeCell ref="A271:B271"/>
    <mergeCell ref="E271:G271"/>
    <mergeCell ref="A272:B272"/>
    <mergeCell ref="C272:E272"/>
    <mergeCell ref="A273:G273"/>
    <mergeCell ref="A274:G274"/>
    <mergeCell ref="B275:C275"/>
    <mergeCell ref="B276:C276"/>
    <mergeCell ref="B277:C277"/>
    <mergeCell ref="B278:C278"/>
    <mergeCell ref="B279:C279"/>
    <mergeCell ref="B280:C280"/>
    <mergeCell ref="B281:C281"/>
    <mergeCell ref="B282:C282"/>
    <mergeCell ref="B283:C283"/>
    <mergeCell ref="B284:C284"/>
    <mergeCell ref="B285:C285"/>
    <mergeCell ref="B286:C286"/>
    <mergeCell ref="B287:C287"/>
    <mergeCell ref="B288:C288"/>
    <mergeCell ref="B289:C289"/>
    <mergeCell ref="B290:C290"/>
    <mergeCell ref="B291:C291"/>
    <mergeCell ref="B292:C292"/>
    <mergeCell ref="B293:C293"/>
    <mergeCell ref="B294:C294"/>
    <mergeCell ref="B295:C295"/>
    <mergeCell ref="B296:C296"/>
    <mergeCell ref="B297:C297"/>
    <mergeCell ref="B298:C298"/>
    <mergeCell ref="B299:C299"/>
    <mergeCell ref="B300:C300"/>
    <mergeCell ref="B301:C301"/>
    <mergeCell ref="B302:C302"/>
    <mergeCell ref="B303:C303"/>
    <mergeCell ref="B304:C304"/>
    <mergeCell ref="B305:C305"/>
    <mergeCell ref="B306:C306"/>
    <mergeCell ref="B307:C307"/>
    <mergeCell ref="B308:C308"/>
    <mergeCell ref="B309:C309"/>
    <mergeCell ref="B310:C310"/>
    <mergeCell ref="B311:C311"/>
    <mergeCell ref="A314:G314"/>
    <mergeCell ref="A315:B315"/>
    <mergeCell ref="E315:G315"/>
    <mergeCell ref="A316:B316"/>
    <mergeCell ref="C316:E316"/>
    <mergeCell ref="A317:G317"/>
    <mergeCell ref="A318:G318"/>
    <mergeCell ref="B319:C319"/>
    <mergeCell ref="B320:C320"/>
    <mergeCell ref="B321:C321"/>
    <mergeCell ref="B322:C322"/>
    <mergeCell ref="B323:C323"/>
    <mergeCell ref="B324:C324"/>
    <mergeCell ref="B325:C325"/>
    <mergeCell ref="B326:C326"/>
    <mergeCell ref="B327:C327"/>
    <mergeCell ref="B328:C328"/>
    <mergeCell ref="B329:C329"/>
    <mergeCell ref="B330:C330"/>
    <mergeCell ref="B331:C331"/>
    <mergeCell ref="B332:C332"/>
    <mergeCell ref="B333:C333"/>
    <mergeCell ref="B334:C334"/>
    <mergeCell ref="B335:C335"/>
    <mergeCell ref="B336:C336"/>
    <mergeCell ref="B337:C337"/>
    <mergeCell ref="B338:C338"/>
    <mergeCell ref="B339:C339"/>
    <mergeCell ref="B340:C340"/>
    <mergeCell ref="B341:C341"/>
    <mergeCell ref="B342:C342"/>
    <mergeCell ref="B343:C343"/>
    <mergeCell ref="B344:C344"/>
    <mergeCell ref="B345:C345"/>
    <mergeCell ref="B346:C346"/>
    <mergeCell ref="B347:C347"/>
    <mergeCell ref="B348:C348"/>
    <mergeCell ref="B349:C349"/>
    <mergeCell ref="B350:C350"/>
    <mergeCell ref="B351:C351"/>
    <mergeCell ref="B352:C352"/>
    <mergeCell ref="B353:C353"/>
    <mergeCell ref="B354:C354"/>
    <mergeCell ref="B355:C355"/>
    <mergeCell ref="B356:C356"/>
    <mergeCell ref="A358:G358"/>
    <mergeCell ref="A359:B359"/>
    <mergeCell ref="E359:G359"/>
    <mergeCell ref="A360:B360"/>
    <mergeCell ref="C360:E360"/>
    <mergeCell ref="A361:G361"/>
    <mergeCell ref="A362:G362"/>
    <mergeCell ref="B363:C363"/>
    <mergeCell ref="B364:C364"/>
    <mergeCell ref="B365:C365"/>
    <mergeCell ref="B366:C366"/>
    <mergeCell ref="B367:C367"/>
    <mergeCell ref="B368:C368"/>
    <mergeCell ref="B369:C369"/>
    <mergeCell ref="B370:C370"/>
    <mergeCell ref="B371:C371"/>
    <mergeCell ref="B372:C372"/>
    <mergeCell ref="B373:C373"/>
    <mergeCell ref="B374:C374"/>
    <mergeCell ref="B375:C375"/>
    <mergeCell ref="B376:C376"/>
    <mergeCell ref="B377:C377"/>
    <mergeCell ref="B378:C378"/>
    <mergeCell ref="B379:C379"/>
    <mergeCell ref="B380:C380"/>
    <mergeCell ref="B381:C381"/>
    <mergeCell ref="B382:C382"/>
    <mergeCell ref="B383:C383"/>
    <mergeCell ref="B384:C384"/>
    <mergeCell ref="B385:C385"/>
    <mergeCell ref="B386:C386"/>
    <mergeCell ref="B387:C387"/>
    <mergeCell ref="B388:C388"/>
    <mergeCell ref="B389:C389"/>
    <mergeCell ref="B390:C390"/>
    <mergeCell ref="B391:C391"/>
    <mergeCell ref="B392:C392"/>
    <mergeCell ref="B393:C393"/>
    <mergeCell ref="B394:C394"/>
    <mergeCell ref="B395:C395"/>
    <mergeCell ref="B396:C396"/>
    <mergeCell ref="B397:C397"/>
    <mergeCell ref="B398:C398"/>
    <mergeCell ref="B399:C399"/>
    <mergeCell ref="B400:C400"/>
    <mergeCell ref="A403:G403"/>
    <mergeCell ref="A404:B404"/>
    <mergeCell ref="E404:G404"/>
    <mergeCell ref="A405:B405"/>
    <mergeCell ref="C405:E405"/>
    <mergeCell ref="A406:G406"/>
    <mergeCell ref="A407:G407"/>
    <mergeCell ref="B408:C408"/>
    <mergeCell ref="B409:C409"/>
    <mergeCell ref="B410:C410"/>
    <mergeCell ref="B411:C411"/>
    <mergeCell ref="B412:C412"/>
    <mergeCell ref="B413:C413"/>
    <mergeCell ref="B414:C414"/>
    <mergeCell ref="B415:C415"/>
    <mergeCell ref="B416:C416"/>
    <mergeCell ref="B417:C417"/>
    <mergeCell ref="B418:C418"/>
    <mergeCell ref="B419:C419"/>
    <mergeCell ref="B420:C420"/>
    <mergeCell ref="B421:C421"/>
    <mergeCell ref="B422:C422"/>
    <mergeCell ref="B423:C423"/>
    <mergeCell ref="B424:C424"/>
    <mergeCell ref="B425:C425"/>
    <mergeCell ref="B426:C426"/>
    <mergeCell ref="B427:C427"/>
    <mergeCell ref="B428:C428"/>
    <mergeCell ref="B429:C429"/>
    <mergeCell ref="B430:C430"/>
    <mergeCell ref="B431:C431"/>
    <mergeCell ref="B432:C432"/>
    <mergeCell ref="B433:C433"/>
    <mergeCell ref="B434:C434"/>
    <mergeCell ref="B435:C435"/>
    <mergeCell ref="A436:G436"/>
    <mergeCell ref="A437:B437"/>
    <mergeCell ref="E437:G437"/>
    <mergeCell ref="A438:B438"/>
    <mergeCell ref="C438:E438"/>
    <mergeCell ref="A439:G439"/>
    <mergeCell ref="A440:G440"/>
    <mergeCell ref="B441:C441"/>
    <mergeCell ref="B442:C442"/>
    <mergeCell ref="B443:C443"/>
    <mergeCell ref="B444:C444"/>
    <mergeCell ref="B445:C445"/>
    <mergeCell ref="B446:C446"/>
    <mergeCell ref="B447:C447"/>
    <mergeCell ref="B448:C448"/>
    <mergeCell ref="B449:C449"/>
    <mergeCell ref="B450:C450"/>
    <mergeCell ref="B451:C451"/>
    <mergeCell ref="B452:C452"/>
    <mergeCell ref="B453:C453"/>
    <mergeCell ref="B454:C454"/>
    <mergeCell ref="B455:C455"/>
    <mergeCell ref="B456:C456"/>
    <mergeCell ref="B457:C457"/>
    <mergeCell ref="B458:C458"/>
    <mergeCell ref="B459:C459"/>
    <mergeCell ref="B460:C460"/>
    <mergeCell ref="B461:C461"/>
    <mergeCell ref="B462:C462"/>
    <mergeCell ref="B463:C463"/>
    <mergeCell ref="B464:C464"/>
    <mergeCell ref="B465:C465"/>
    <mergeCell ref="B466:C466"/>
    <mergeCell ref="B467:C467"/>
    <mergeCell ref="B468:C468"/>
    <mergeCell ref="A471:G471"/>
    <mergeCell ref="A472:B472"/>
    <mergeCell ref="E472:G472"/>
    <mergeCell ref="A473:B473"/>
    <mergeCell ref="C473:E473"/>
    <mergeCell ref="A474:G474"/>
    <mergeCell ref="A475:G475"/>
    <mergeCell ref="B476:C476"/>
    <mergeCell ref="B477:C477"/>
    <mergeCell ref="B478:C478"/>
    <mergeCell ref="B479:C479"/>
    <mergeCell ref="B480:C480"/>
    <mergeCell ref="B481:C481"/>
    <mergeCell ref="B482:C482"/>
    <mergeCell ref="B483:C483"/>
    <mergeCell ref="B484:C484"/>
    <mergeCell ref="B485:C485"/>
    <mergeCell ref="B486:C486"/>
    <mergeCell ref="B487:C487"/>
    <mergeCell ref="B488:C488"/>
    <mergeCell ref="B489:C489"/>
    <mergeCell ref="B490:C490"/>
    <mergeCell ref="B491:C491"/>
    <mergeCell ref="B492:C492"/>
    <mergeCell ref="B493:C493"/>
    <mergeCell ref="B494:C494"/>
    <mergeCell ref="B495:C495"/>
    <mergeCell ref="B496:C496"/>
    <mergeCell ref="B497:C497"/>
    <mergeCell ref="B498:C498"/>
    <mergeCell ref="B499:C499"/>
    <mergeCell ref="B500:C500"/>
    <mergeCell ref="B501:C501"/>
    <mergeCell ref="B502:C502"/>
    <mergeCell ref="B503:C503"/>
    <mergeCell ref="B504:C504"/>
    <mergeCell ref="A506:G506"/>
    <mergeCell ref="A507:B507"/>
    <mergeCell ref="E507:G507"/>
    <mergeCell ref="A508:B508"/>
    <mergeCell ref="C508:E508"/>
    <mergeCell ref="A509:G509"/>
    <mergeCell ref="A510:G510"/>
    <mergeCell ref="B511:C511"/>
    <mergeCell ref="B512:C512"/>
    <mergeCell ref="B513:C513"/>
    <mergeCell ref="B514:C514"/>
    <mergeCell ref="B515:C515"/>
    <mergeCell ref="B516:C516"/>
    <mergeCell ref="B517:C517"/>
    <mergeCell ref="B518:C518"/>
    <mergeCell ref="B519:C519"/>
    <mergeCell ref="B520:C520"/>
    <mergeCell ref="B521:C521"/>
    <mergeCell ref="B522:C522"/>
    <mergeCell ref="B523:C523"/>
    <mergeCell ref="B524:C524"/>
    <mergeCell ref="B525:C525"/>
    <mergeCell ref="B526:C526"/>
    <mergeCell ref="B527:C527"/>
    <mergeCell ref="B528:C528"/>
    <mergeCell ref="B529:C529"/>
    <mergeCell ref="B530:C530"/>
    <mergeCell ref="B531:C531"/>
    <mergeCell ref="B532:C532"/>
    <mergeCell ref="B533:C533"/>
    <mergeCell ref="B534:C534"/>
    <mergeCell ref="B535:C535"/>
    <mergeCell ref="B536:C536"/>
    <mergeCell ref="B537:C537"/>
    <mergeCell ref="B538:C538"/>
    <mergeCell ref="B539:C539"/>
    <mergeCell ref="A541:G541"/>
    <mergeCell ref="A542:B542"/>
    <mergeCell ref="E542:G542"/>
    <mergeCell ref="A543:B543"/>
    <mergeCell ref="C543:E543"/>
    <mergeCell ref="A544:G544"/>
    <mergeCell ref="A545:G545"/>
    <mergeCell ref="B546:C546"/>
    <mergeCell ref="B547:C547"/>
    <mergeCell ref="B548:C548"/>
    <mergeCell ref="B549:C549"/>
    <mergeCell ref="B550:C550"/>
    <mergeCell ref="B551:C551"/>
    <mergeCell ref="B552:C552"/>
    <mergeCell ref="B553:C553"/>
    <mergeCell ref="B554:C554"/>
    <mergeCell ref="B555:C555"/>
    <mergeCell ref="B556:C556"/>
    <mergeCell ref="B557:C557"/>
    <mergeCell ref="B558:C558"/>
    <mergeCell ref="B559:C559"/>
    <mergeCell ref="B560:C560"/>
    <mergeCell ref="B561:C561"/>
    <mergeCell ref="B562:C562"/>
    <mergeCell ref="B563:C563"/>
    <mergeCell ref="B564:C564"/>
    <mergeCell ref="B565:C565"/>
    <mergeCell ref="B566:C566"/>
    <mergeCell ref="B567:C567"/>
    <mergeCell ref="B568:C568"/>
    <mergeCell ref="B569:C569"/>
    <mergeCell ref="B570:C570"/>
    <mergeCell ref="B571:C571"/>
    <mergeCell ref="B572:C572"/>
    <mergeCell ref="B573:C573"/>
    <mergeCell ref="B574:C574"/>
    <mergeCell ref="B575:C575"/>
    <mergeCell ref="B576:C576"/>
    <mergeCell ref="B577:C577"/>
    <mergeCell ref="B578:C578"/>
    <mergeCell ref="B579:C579"/>
    <mergeCell ref="B580:C580"/>
    <mergeCell ref="B581:C581"/>
    <mergeCell ref="B582:C582"/>
    <mergeCell ref="B583:C583"/>
    <mergeCell ref="B584:C584"/>
    <mergeCell ref="B585:C585"/>
    <mergeCell ref="B586:C586"/>
    <mergeCell ref="A592:G592"/>
    <mergeCell ref="A593:B593"/>
    <mergeCell ref="E593:G593"/>
    <mergeCell ref="A594:B594"/>
    <mergeCell ref="C594:E594"/>
    <mergeCell ref="A595:G595"/>
    <mergeCell ref="A596:G596"/>
    <mergeCell ref="B597:C597"/>
    <mergeCell ref="B598:C598"/>
    <mergeCell ref="B599:C599"/>
    <mergeCell ref="B600:C600"/>
    <mergeCell ref="B601:C601"/>
    <mergeCell ref="B602:C602"/>
    <mergeCell ref="B603:C603"/>
    <mergeCell ref="B604:C604"/>
    <mergeCell ref="B605:C605"/>
    <mergeCell ref="B606:C606"/>
    <mergeCell ref="B607:C607"/>
    <mergeCell ref="B608:C608"/>
    <mergeCell ref="B609:C609"/>
    <mergeCell ref="B610:C610"/>
    <mergeCell ref="B611:C611"/>
    <mergeCell ref="B612:C612"/>
    <mergeCell ref="B613:C613"/>
    <mergeCell ref="B614:C614"/>
    <mergeCell ref="B615:C615"/>
    <mergeCell ref="B616:C616"/>
    <mergeCell ref="B617:C617"/>
    <mergeCell ref="B618:C618"/>
    <mergeCell ref="B619:C619"/>
    <mergeCell ref="B620:C620"/>
    <mergeCell ref="B621:C621"/>
    <mergeCell ref="B622:C622"/>
    <mergeCell ref="B623:C623"/>
    <mergeCell ref="B624:C624"/>
    <mergeCell ref="B625:C625"/>
    <mergeCell ref="B626:C626"/>
    <mergeCell ref="B627:C627"/>
    <mergeCell ref="B628:C628"/>
    <mergeCell ref="B629:C629"/>
    <mergeCell ref="B630:C630"/>
    <mergeCell ref="B631:C631"/>
    <mergeCell ref="B632:C632"/>
    <mergeCell ref="B633:C633"/>
    <mergeCell ref="A635:G635"/>
    <mergeCell ref="A636:B636"/>
    <mergeCell ref="E636:G636"/>
    <mergeCell ref="A637:B637"/>
    <mergeCell ref="C637:E637"/>
    <mergeCell ref="A638:G638"/>
    <mergeCell ref="A639:G639"/>
    <mergeCell ref="B640:C640"/>
    <mergeCell ref="B641:C641"/>
    <mergeCell ref="B642:C642"/>
    <mergeCell ref="B643:C643"/>
    <mergeCell ref="B644:C644"/>
    <mergeCell ref="B645:C645"/>
    <mergeCell ref="B646:C646"/>
    <mergeCell ref="B647:C647"/>
    <mergeCell ref="B648:C648"/>
    <mergeCell ref="B649:C649"/>
    <mergeCell ref="B650:C650"/>
    <mergeCell ref="B651:C651"/>
    <mergeCell ref="B652:C652"/>
    <mergeCell ref="B653:C653"/>
    <mergeCell ref="B654:C654"/>
    <mergeCell ref="B655:C655"/>
    <mergeCell ref="B656:C656"/>
    <mergeCell ref="B657:C657"/>
    <mergeCell ref="B658:C658"/>
    <mergeCell ref="B659:C659"/>
    <mergeCell ref="B660:C660"/>
    <mergeCell ref="B661:C661"/>
    <mergeCell ref="B662:C662"/>
    <mergeCell ref="B663:C663"/>
    <mergeCell ref="B664:C664"/>
    <mergeCell ref="B665:C665"/>
    <mergeCell ref="B666:C666"/>
    <mergeCell ref="B667:C667"/>
    <mergeCell ref="B668:C668"/>
    <mergeCell ref="B669:C669"/>
    <mergeCell ref="B670:C670"/>
    <mergeCell ref="B671:C671"/>
    <mergeCell ref="B672:C672"/>
    <mergeCell ref="B673:C673"/>
    <mergeCell ref="B674:C674"/>
    <mergeCell ref="A676:G676"/>
    <mergeCell ref="A677:B677"/>
    <mergeCell ref="E677:G677"/>
    <mergeCell ref="A678:B678"/>
    <mergeCell ref="C678:E678"/>
    <mergeCell ref="A679:G679"/>
    <mergeCell ref="A680:G680"/>
    <mergeCell ref="B681:C681"/>
    <mergeCell ref="B682:C682"/>
    <mergeCell ref="B683:C683"/>
    <mergeCell ref="B684:C684"/>
    <mergeCell ref="B685:C685"/>
    <mergeCell ref="B686:C686"/>
    <mergeCell ref="B687:C687"/>
    <mergeCell ref="B688:C688"/>
    <mergeCell ref="B689:C689"/>
    <mergeCell ref="B690:C690"/>
    <mergeCell ref="B691:C691"/>
    <mergeCell ref="B692:C692"/>
    <mergeCell ref="B693:C693"/>
    <mergeCell ref="B694:C694"/>
    <mergeCell ref="B695:C695"/>
    <mergeCell ref="B696:C696"/>
    <mergeCell ref="B697:C697"/>
    <mergeCell ref="B698:C698"/>
    <mergeCell ref="B699:C699"/>
    <mergeCell ref="B700:C700"/>
    <mergeCell ref="B701:C701"/>
    <mergeCell ref="B702:C702"/>
    <mergeCell ref="B703:C703"/>
    <mergeCell ref="B704:C704"/>
    <mergeCell ref="B705:C705"/>
    <mergeCell ref="B706:C706"/>
    <mergeCell ref="B707:C707"/>
    <mergeCell ref="B708:C708"/>
    <mergeCell ref="B709:C709"/>
    <mergeCell ref="B710:C710"/>
    <mergeCell ref="B711:C711"/>
    <mergeCell ref="B712:C712"/>
    <mergeCell ref="B713:C713"/>
    <mergeCell ref="B714:C714"/>
    <mergeCell ref="B715:C715"/>
    <mergeCell ref="B716:C716"/>
    <mergeCell ref="B717:C717"/>
    <mergeCell ref="A718:G718"/>
    <mergeCell ref="A719:B719"/>
    <mergeCell ref="E719:G719"/>
    <mergeCell ref="A720:B720"/>
    <mergeCell ref="C720:E720"/>
    <mergeCell ref="A721:G721"/>
    <mergeCell ref="A722:G722"/>
    <mergeCell ref="B723:C723"/>
    <mergeCell ref="B724:C724"/>
    <mergeCell ref="B725:C725"/>
    <mergeCell ref="B726:C726"/>
    <mergeCell ref="B727:C727"/>
    <mergeCell ref="B728:C728"/>
    <mergeCell ref="B729:C729"/>
    <mergeCell ref="B730:C730"/>
    <mergeCell ref="B731:C731"/>
    <mergeCell ref="B732:C732"/>
    <mergeCell ref="B733:C733"/>
    <mergeCell ref="B734:C734"/>
    <mergeCell ref="B735:C735"/>
    <mergeCell ref="B736:C736"/>
    <mergeCell ref="B737:C737"/>
    <mergeCell ref="B738:C738"/>
    <mergeCell ref="B739:C739"/>
    <mergeCell ref="B740:C740"/>
    <mergeCell ref="B741:C741"/>
    <mergeCell ref="B742:C742"/>
    <mergeCell ref="B743:C743"/>
    <mergeCell ref="B744:C744"/>
    <mergeCell ref="B745:C745"/>
    <mergeCell ref="B746:C746"/>
    <mergeCell ref="B747:C747"/>
    <mergeCell ref="B748:C748"/>
    <mergeCell ref="B749:C749"/>
    <mergeCell ref="B750:C750"/>
    <mergeCell ref="B751:C751"/>
    <mergeCell ref="B752:C752"/>
    <mergeCell ref="B753:C753"/>
    <mergeCell ref="B754:C754"/>
    <mergeCell ref="B755:C755"/>
    <mergeCell ref="B756:C756"/>
    <mergeCell ref="B757:C757"/>
    <mergeCell ref="B758:C758"/>
    <mergeCell ref="B759:C759"/>
    <mergeCell ref="A761:G761"/>
    <mergeCell ref="A762:B762"/>
    <mergeCell ref="E762:G762"/>
    <mergeCell ref="A763:B763"/>
    <mergeCell ref="C763:E763"/>
    <mergeCell ref="A764:G764"/>
    <mergeCell ref="A765:G765"/>
    <mergeCell ref="B766:C766"/>
    <mergeCell ref="B767:C767"/>
    <mergeCell ref="B768:C768"/>
    <mergeCell ref="B769:C769"/>
    <mergeCell ref="B770:C770"/>
    <mergeCell ref="B771:C771"/>
    <mergeCell ref="B772:C772"/>
    <mergeCell ref="B773:C773"/>
    <mergeCell ref="B774:C774"/>
    <mergeCell ref="B775:C775"/>
    <mergeCell ref="B776:C776"/>
    <mergeCell ref="B777:C777"/>
    <mergeCell ref="B778:C778"/>
    <mergeCell ref="B779:C779"/>
    <mergeCell ref="B780:C780"/>
    <mergeCell ref="B781:C781"/>
    <mergeCell ref="B782:C782"/>
    <mergeCell ref="B783:C783"/>
    <mergeCell ref="B784:C784"/>
    <mergeCell ref="B785:C785"/>
    <mergeCell ref="B786:C786"/>
    <mergeCell ref="B787:C787"/>
    <mergeCell ref="B788:C788"/>
    <mergeCell ref="B789:C789"/>
    <mergeCell ref="B790:C790"/>
    <mergeCell ref="B791:C791"/>
    <mergeCell ref="B792:C792"/>
    <mergeCell ref="B793:C793"/>
    <mergeCell ref="B794:C794"/>
    <mergeCell ref="B795:C795"/>
    <mergeCell ref="B796:C796"/>
    <mergeCell ref="B797:C797"/>
    <mergeCell ref="A800:G800"/>
    <mergeCell ref="A801:B801"/>
    <mergeCell ref="E801:G801"/>
    <mergeCell ref="A802:B802"/>
    <mergeCell ref="C802:E802"/>
    <mergeCell ref="A803:G803"/>
    <mergeCell ref="A804:G804"/>
    <mergeCell ref="B805:C805"/>
    <mergeCell ref="B806:C806"/>
    <mergeCell ref="B807:C807"/>
    <mergeCell ref="B808:C808"/>
    <mergeCell ref="B809:C809"/>
    <mergeCell ref="B810:C810"/>
    <mergeCell ref="B811:C811"/>
    <mergeCell ref="B812:C812"/>
    <mergeCell ref="B813:C813"/>
    <mergeCell ref="B814:C814"/>
    <mergeCell ref="B815:C815"/>
    <mergeCell ref="B816:C816"/>
    <mergeCell ref="B817:C817"/>
    <mergeCell ref="B818:C818"/>
    <mergeCell ref="B819:C819"/>
    <mergeCell ref="B820:C820"/>
    <mergeCell ref="B821:C821"/>
    <mergeCell ref="B822:C822"/>
    <mergeCell ref="B823:C823"/>
    <mergeCell ref="B824:C824"/>
    <mergeCell ref="B825:C825"/>
    <mergeCell ref="B826:C826"/>
    <mergeCell ref="B827:C827"/>
    <mergeCell ref="B828:C828"/>
    <mergeCell ref="B829:C829"/>
    <mergeCell ref="B830:C830"/>
    <mergeCell ref="B831:C831"/>
    <mergeCell ref="A847:G847"/>
    <mergeCell ref="A848:B848"/>
    <mergeCell ref="E848:G848"/>
    <mergeCell ref="A849:B849"/>
    <mergeCell ref="C849:E849"/>
    <mergeCell ref="A850:G850"/>
    <mergeCell ref="A851:G851"/>
    <mergeCell ref="B852:C852"/>
    <mergeCell ref="B853:C853"/>
    <mergeCell ref="B854:C854"/>
    <mergeCell ref="B855:C855"/>
    <mergeCell ref="B856:C856"/>
    <mergeCell ref="B857:C857"/>
    <mergeCell ref="B858:C858"/>
    <mergeCell ref="B859:C859"/>
    <mergeCell ref="B860:C860"/>
    <mergeCell ref="B861:C861"/>
    <mergeCell ref="B862:C862"/>
    <mergeCell ref="B863:C863"/>
    <mergeCell ref="B864:C864"/>
    <mergeCell ref="B865:C865"/>
    <mergeCell ref="B866:C866"/>
    <mergeCell ref="B867:C867"/>
    <mergeCell ref="B868:C868"/>
    <mergeCell ref="B869:C869"/>
    <mergeCell ref="B870:C870"/>
    <mergeCell ref="B871:C871"/>
    <mergeCell ref="B872:C872"/>
    <mergeCell ref="B873:C873"/>
    <mergeCell ref="B874:C874"/>
    <mergeCell ref="B875:C875"/>
    <mergeCell ref="B876:C876"/>
    <mergeCell ref="B877:C877"/>
    <mergeCell ref="B878:C878"/>
    <mergeCell ref="B879:C879"/>
    <mergeCell ref="B880:C880"/>
    <mergeCell ref="B881:C881"/>
    <mergeCell ref="B882:C882"/>
    <mergeCell ref="B883:C883"/>
    <mergeCell ref="A885:G885"/>
    <mergeCell ref="A886:B886"/>
    <mergeCell ref="E886:G886"/>
    <mergeCell ref="A887:B887"/>
    <mergeCell ref="C887:E887"/>
    <mergeCell ref="A888:G888"/>
    <mergeCell ref="A889:G889"/>
    <mergeCell ref="B890:C890"/>
    <mergeCell ref="B891:C891"/>
    <mergeCell ref="B892:C892"/>
    <mergeCell ref="B893:C893"/>
    <mergeCell ref="B894:C894"/>
    <mergeCell ref="B895:C895"/>
    <mergeCell ref="B896:C896"/>
    <mergeCell ref="B897:C897"/>
    <mergeCell ref="B898:C898"/>
    <mergeCell ref="B899:C899"/>
    <mergeCell ref="B900:C900"/>
    <mergeCell ref="B901:C901"/>
    <mergeCell ref="B902:C902"/>
    <mergeCell ref="B903:C903"/>
    <mergeCell ref="B904:C904"/>
    <mergeCell ref="B905:C905"/>
    <mergeCell ref="B906:C906"/>
    <mergeCell ref="B907:C907"/>
    <mergeCell ref="B908:C908"/>
    <mergeCell ref="B909:C909"/>
    <mergeCell ref="B910:C910"/>
    <mergeCell ref="B911:C911"/>
    <mergeCell ref="B912:C912"/>
    <mergeCell ref="B913:C913"/>
    <mergeCell ref="B914:C914"/>
    <mergeCell ref="B915:C915"/>
    <mergeCell ref="B916:C916"/>
    <mergeCell ref="B917:C917"/>
    <mergeCell ref="B918:C918"/>
    <mergeCell ref="B919:C919"/>
    <mergeCell ref="B920:C920"/>
    <mergeCell ref="B921:C921"/>
    <mergeCell ref="A923:G923"/>
    <mergeCell ref="A924:B924"/>
    <mergeCell ref="E924:G924"/>
    <mergeCell ref="A925:B925"/>
    <mergeCell ref="C925:E925"/>
    <mergeCell ref="A926:G926"/>
    <mergeCell ref="A927:G927"/>
    <mergeCell ref="B928:C928"/>
    <mergeCell ref="B929:C929"/>
    <mergeCell ref="B930:C930"/>
    <mergeCell ref="B931:C931"/>
    <mergeCell ref="B932:C932"/>
    <mergeCell ref="B933:C933"/>
    <mergeCell ref="B934:C934"/>
    <mergeCell ref="B935:C935"/>
    <mergeCell ref="B936:C936"/>
    <mergeCell ref="B937:C937"/>
    <mergeCell ref="B938:C938"/>
    <mergeCell ref="B939:C939"/>
    <mergeCell ref="B940:C940"/>
    <mergeCell ref="B941:C941"/>
    <mergeCell ref="B942:C942"/>
    <mergeCell ref="B943:C943"/>
    <mergeCell ref="B944:C944"/>
    <mergeCell ref="B945:C945"/>
    <mergeCell ref="B946:C946"/>
    <mergeCell ref="B947:C947"/>
    <mergeCell ref="B948:C948"/>
    <mergeCell ref="B949:C949"/>
    <mergeCell ref="B950:C950"/>
    <mergeCell ref="B951:C951"/>
    <mergeCell ref="B952:C952"/>
    <mergeCell ref="B953:C953"/>
    <mergeCell ref="B954:C954"/>
    <mergeCell ref="B955:C955"/>
    <mergeCell ref="B956:C956"/>
    <mergeCell ref="B957:C957"/>
    <mergeCell ref="B958:C958"/>
    <mergeCell ref="A960:G960"/>
    <mergeCell ref="A961:B961"/>
    <mergeCell ref="E961:G961"/>
    <mergeCell ref="A962:B962"/>
    <mergeCell ref="C962:E962"/>
    <mergeCell ref="A963:G963"/>
    <mergeCell ref="A964:G964"/>
    <mergeCell ref="B965:C965"/>
    <mergeCell ref="B966:C966"/>
    <mergeCell ref="B967:C967"/>
    <mergeCell ref="B968:C968"/>
    <mergeCell ref="B969:C969"/>
    <mergeCell ref="B970:C970"/>
    <mergeCell ref="B971:C971"/>
    <mergeCell ref="B972:C972"/>
    <mergeCell ref="B973:C973"/>
    <mergeCell ref="B974:C974"/>
    <mergeCell ref="B975:C975"/>
    <mergeCell ref="B976:C976"/>
    <mergeCell ref="B977:C977"/>
    <mergeCell ref="B978:C978"/>
    <mergeCell ref="B979:C979"/>
    <mergeCell ref="B980:C980"/>
    <mergeCell ref="B981:C981"/>
    <mergeCell ref="B982:C982"/>
    <mergeCell ref="B983:C983"/>
    <mergeCell ref="B984:C984"/>
    <mergeCell ref="B985:C985"/>
    <mergeCell ref="B986:C986"/>
    <mergeCell ref="B987:C987"/>
    <mergeCell ref="B988:C988"/>
    <mergeCell ref="B989:C989"/>
    <mergeCell ref="B990:C990"/>
    <mergeCell ref="B991:C991"/>
    <mergeCell ref="B992:C992"/>
    <mergeCell ref="B993:C993"/>
    <mergeCell ref="B994:C994"/>
    <mergeCell ref="A996:G996"/>
    <mergeCell ref="A997:B997"/>
    <mergeCell ref="E997:G997"/>
    <mergeCell ref="A998:B998"/>
    <mergeCell ref="C998:E998"/>
    <mergeCell ref="A999:G999"/>
    <mergeCell ref="A1000:G1000"/>
    <mergeCell ref="B1001:C1001"/>
    <mergeCell ref="B1002:C1002"/>
    <mergeCell ref="B1003:C1003"/>
    <mergeCell ref="B1004:C1004"/>
    <mergeCell ref="B1005:C1005"/>
    <mergeCell ref="B1006:C1006"/>
    <mergeCell ref="B1007:C1007"/>
    <mergeCell ref="B1008:C1008"/>
    <mergeCell ref="B1009:C1009"/>
    <mergeCell ref="B1010:C1010"/>
    <mergeCell ref="B1011:C1011"/>
    <mergeCell ref="B1012:C1012"/>
    <mergeCell ref="B1013:C1013"/>
    <mergeCell ref="B1014:C1014"/>
    <mergeCell ref="B1015:C1015"/>
    <mergeCell ref="B1016:C1016"/>
    <mergeCell ref="B1017:C1017"/>
    <mergeCell ref="B1018:C1018"/>
    <mergeCell ref="B1019:C1019"/>
    <mergeCell ref="B1020:C1020"/>
    <mergeCell ref="B1021:C1021"/>
    <mergeCell ref="B1022:C1022"/>
    <mergeCell ref="B1023:C1023"/>
    <mergeCell ref="B1024:C1024"/>
    <mergeCell ref="B1025:C1025"/>
    <mergeCell ref="B1026:C1026"/>
    <mergeCell ref="B1027:C1027"/>
    <mergeCell ref="B1028:C1028"/>
    <mergeCell ref="B1029:C1029"/>
    <mergeCell ref="B1030:C1030"/>
    <mergeCell ref="B1031:C1031"/>
    <mergeCell ref="A1033:G1033"/>
    <mergeCell ref="A1034:B1034"/>
    <mergeCell ref="E1034:G1034"/>
    <mergeCell ref="A1035:B1035"/>
    <mergeCell ref="C1035:E1035"/>
    <mergeCell ref="A1036:G1036"/>
    <mergeCell ref="A1037:G1037"/>
    <mergeCell ref="B1038:C1038"/>
    <mergeCell ref="B1039:C1039"/>
    <mergeCell ref="B1040:C1040"/>
    <mergeCell ref="B1041:C1041"/>
    <mergeCell ref="B1042:C1042"/>
    <mergeCell ref="B1043:C1043"/>
    <mergeCell ref="B1044:C1044"/>
    <mergeCell ref="B1045:C1045"/>
    <mergeCell ref="B1046:C1046"/>
    <mergeCell ref="B1047:C1047"/>
    <mergeCell ref="B1048:C1048"/>
    <mergeCell ref="B1049:C1049"/>
    <mergeCell ref="B1050:C1050"/>
    <mergeCell ref="B1051:C1051"/>
    <mergeCell ref="B1052:C1052"/>
    <mergeCell ref="B1053:C1053"/>
    <mergeCell ref="B1054:C1054"/>
    <mergeCell ref="A1056:G1056"/>
    <mergeCell ref="A1057:B1057"/>
    <mergeCell ref="E1057:G1057"/>
    <mergeCell ref="A1058:B1058"/>
    <mergeCell ref="C1058:E1058"/>
    <mergeCell ref="A1059:G1059"/>
    <mergeCell ref="A1060:G1060"/>
    <mergeCell ref="B1061:C1061"/>
    <mergeCell ref="B1062:C1062"/>
    <mergeCell ref="B1063:C1063"/>
    <mergeCell ref="B1064:C1064"/>
    <mergeCell ref="B1065:C1065"/>
    <mergeCell ref="B1066:C1066"/>
    <mergeCell ref="B1067:C1067"/>
    <mergeCell ref="B1068:C1068"/>
    <mergeCell ref="B1069:C1069"/>
    <mergeCell ref="B1070:C1070"/>
    <mergeCell ref="B1071:C1071"/>
    <mergeCell ref="B1072:C1072"/>
    <mergeCell ref="B1073:C1073"/>
    <mergeCell ref="B1074:C1074"/>
    <mergeCell ref="B1075:C1075"/>
    <mergeCell ref="B1076:C1076"/>
    <mergeCell ref="B1077:C1077"/>
    <mergeCell ref="A1084:G1084"/>
    <mergeCell ref="A1085:B1085"/>
    <mergeCell ref="E1085:G1085"/>
    <mergeCell ref="A1086:B1086"/>
    <mergeCell ref="C1086:E1086"/>
    <mergeCell ref="A1087:G1087"/>
    <mergeCell ref="A1088:G1088"/>
    <mergeCell ref="B1089:C1089"/>
    <mergeCell ref="B1090:C1090"/>
    <mergeCell ref="B1091:C1091"/>
    <mergeCell ref="B1092:C1092"/>
    <mergeCell ref="B1093:C1093"/>
    <mergeCell ref="B1094:C1094"/>
    <mergeCell ref="B1095:C1095"/>
    <mergeCell ref="B1096:C1096"/>
    <mergeCell ref="B1097:C1097"/>
    <mergeCell ref="B1098:C1098"/>
    <mergeCell ref="B1099:C1099"/>
    <mergeCell ref="B1100:C1100"/>
    <mergeCell ref="B1101:C1101"/>
    <mergeCell ref="B1102:C1102"/>
    <mergeCell ref="B1103:C1103"/>
    <mergeCell ref="B1104:C1104"/>
    <mergeCell ref="B1105:C1105"/>
    <mergeCell ref="B1106:C1106"/>
    <mergeCell ref="B1107:C1107"/>
    <mergeCell ref="B1108:C1108"/>
    <mergeCell ref="B1109:C1109"/>
    <mergeCell ref="B1110:C1110"/>
    <mergeCell ref="B1111:C1111"/>
    <mergeCell ref="A1113:G1113"/>
    <mergeCell ref="A1114:B1114"/>
    <mergeCell ref="E1114:G1114"/>
    <mergeCell ref="A1115:B1115"/>
    <mergeCell ref="C1115:E1115"/>
    <mergeCell ref="A1116:G1116"/>
    <mergeCell ref="A1117:G1117"/>
    <mergeCell ref="B1118:C1118"/>
    <mergeCell ref="B1119:C1119"/>
    <mergeCell ref="B1120:C1120"/>
    <mergeCell ref="B1121:C1121"/>
    <mergeCell ref="B1122:C1122"/>
    <mergeCell ref="B1123:C1123"/>
    <mergeCell ref="B1124:C1124"/>
    <mergeCell ref="B1125:C1125"/>
    <mergeCell ref="B1126:C1126"/>
    <mergeCell ref="B1127:C1127"/>
    <mergeCell ref="B1128:C1128"/>
    <mergeCell ref="B1129:C1129"/>
    <mergeCell ref="B1130:C1130"/>
    <mergeCell ref="B1131:C1131"/>
    <mergeCell ref="B1132:C1132"/>
    <mergeCell ref="B1133:C1133"/>
    <mergeCell ref="B1134:C1134"/>
    <mergeCell ref="B1135:C1135"/>
    <mergeCell ref="B1136:C1136"/>
    <mergeCell ref="B1137:C1137"/>
    <mergeCell ref="B1138:C1138"/>
    <mergeCell ref="B1139:C1139"/>
    <mergeCell ref="B1140:C1140"/>
    <mergeCell ref="B1141:C1141"/>
    <mergeCell ref="B1142:C1142"/>
    <mergeCell ref="B1144:C1144"/>
    <mergeCell ref="B1145:C1145"/>
    <mergeCell ref="B1146:C1146"/>
    <mergeCell ref="B1147:C1147"/>
    <mergeCell ref="A1149:G1149"/>
    <mergeCell ref="A1150:B1150"/>
    <mergeCell ref="E1150:G1150"/>
    <mergeCell ref="A1151:B1151"/>
    <mergeCell ref="C1151:E1151"/>
    <mergeCell ref="A1152:G1152"/>
    <mergeCell ref="A1153:G1153"/>
    <mergeCell ref="B1154:C1154"/>
    <mergeCell ref="B1155:C1155"/>
    <mergeCell ref="B1156:C1156"/>
    <mergeCell ref="B1157:C1157"/>
    <mergeCell ref="B1158:C1158"/>
    <mergeCell ref="B1159:C1159"/>
    <mergeCell ref="B1160:C1160"/>
    <mergeCell ref="B1161:C1161"/>
    <mergeCell ref="B1162:C1162"/>
    <mergeCell ref="B1163:C1163"/>
    <mergeCell ref="B1164:C1164"/>
    <mergeCell ref="B1165:C1165"/>
    <mergeCell ref="B1166:C1166"/>
    <mergeCell ref="B1167:C1167"/>
    <mergeCell ref="B1168:C1168"/>
    <mergeCell ref="B1169:C1169"/>
    <mergeCell ref="B1170:C1170"/>
    <mergeCell ref="B1171:C1171"/>
    <mergeCell ref="B1172:C1172"/>
    <mergeCell ref="A1174:G1174"/>
    <mergeCell ref="A1175:B1175"/>
    <mergeCell ref="E1175:G1175"/>
    <mergeCell ref="A1176:B1176"/>
    <mergeCell ref="C1176:E1176"/>
    <mergeCell ref="A1177:G1177"/>
    <mergeCell ref="A1178:G1178"/>
    <mergeCell ref="B1179:C1179"/>
    <mergeCell ref="B1180:C1180"/>
    <mergeCell ref="B1181:C1181"/>
    <mergeCell ref="B1182:C1182"/>
    <mergeCell ref="B1183:C1183"/>
    <mergeCell ref="B1184:C1184"/>
    <mergeCell ref="B1185:C1185"/>
    <mergeCell ref="B1186:C1186"/>
    <mergeCell ref="B1187:C1187"/>
    <mergeCell ref="B1188:C1188"/>
    <mergeCell ref="B1189:C1189"/>
    <mergeCell ref="B1190:C1190"/>
    <mergeCell ref="B1191:C1191"/>
    <mergeCell ref="B1192:C1192"/>
    <mergeCell ref="B1193:C1193"/>
    <mergeCell ref="B1194:C1194"/>
    <mergeCell ref="B1195:C1195"/>
    <mergeCell ref="B1196:C1196"/>
    <mergeCell ref="B1197:C1197"/>
    <mergeCell ref="B1198:C1198"/>
    <mergeCell ref="B1199:C1199"/>
    <mergeCell ref="B1200:C1200"/>
    <mergeCell ref="B1201:C1201"/>
    <mergeCell ref="B1202:C1202"/>
    <mergeCell ref="A1205:G1205"/>
    <mergeCell ref="A1206:B1206"/>
    <mergeCell ref="E1206:G1206"/>
    <mergeCell ref="A1207:B1207"/>
    <mergeCell ref="C1207:E1207"/>
    <mergeCell ref="A1208:G1208"/>
    <mergeCell ref="A1209:G1209"/>
    <mergeCell ref="B1210:C1210"/>
    <mergeCell ref="B1211:C1211"/>
    <mergeCell ref="B1212:C1212"/>
    <mergeCell ref="B1213:C1213"/>
    <mergeCell ref="B1214:C1214"/>
    <mergeCell ref="B1215:C1215"/>
    <mergeCell ref="B1216:C1216"/>
    <mergeCell ref="B1217:C1217"/>
    <mergeCell ref="B1218:C1218"/>
    <mergeCell ref="B1219:C1219"/>
    <mergeCell ref="B1220:C1220"/>
    <mergeCell ref="B1221:C1221"/>
    <mergeCell ref="B1222:C1222"/>
    <mergeCell ref="B1223:C1223"/>
    <mergeCell ref="B1224:C1224"/>
    <mergeCell ref="B1225:C1225"/>
    <mergeCell ref="B1226:C1226"/>
    <mergeCell ref="B1227:C1227"/>
    <mergeCell ref="A1228:G1228"/>
    <mergeCell ref="A1229:B1229"/>
    <mergeCell ref="E1229:G1229"/>
    <mergeCell ref="A1230:B1230"/>
    <mergeCell ref="C1230:E1230"/>
    <mergeCell ref="A1231:G1231"/>
    <mergeCell ref="A1232:G1232"/>
    <mergeCell ref="B1233:C1233"/>
    <mergeCell ref="B1234:C1234"/>
    <mergeCell ref="B1235:C1235"/>
    <mergeCell ref="B1236:C1236"/>
    <mergeCell ref="B1237:C1237"/>
    <mergeCell ref="B1238:C1238"/>
    <mergeCell ref="B1239:C1239"/>
    <mergeCell ref="B1240:C1240"/>
    <mergeCell ref="B1241:C1241"/>
    <mergeCell ref="B1242:C1242"/>
    <mergeCell ref="B1243:C1243"/>
    <mergeCell ref="B1244:C1244"/>
    <mergeCell ref="B1245:C1245"/>
    <mergeCell ref="B1246:C1246"/>
    <mergeCell ref="B1247:C1247"/>
    <mergeCell ref="B1248:C1248"/>
    <mergeCell ref="B1249:C1249"/>
    <mergeCell ref="B1250:C1250"/>
    <mergeCell ref="B1251:C1251"/>
    <mergeCell ref="B1252:C1252"/>
    <mergeCell ref="B1253:C1253"/>
    <mergeCell ref="A1255:G1255"/>
    <mergeCell ref="A1256:B1256"/>
    <mergeCell ref="E1256:G1256"/>
    <mergeCell ref="A1257:B1257"/>
    <mergeCell ref="C1257:E1257"/>
    <mergeCell ref="A1258:G1258"/>
    <mergeCell ref="A1259:G1259"/>
    <mergeCell ref="B1260:C1260"/>
    <mergeCell ref="B1261:C1261"/>
    <mergeCell ref="B1262:C1262"/>
    <mergeCell ref="B1263:C1263"/>
    <mergeCell ref="B1264:C1264"/>
    <mergeCell ref="B1265:C1265"/>
    <mergeCell ref="B1266:C1266"/>
    <mergeCell ref="B1267:C1267"/>
    <mergeCell ref="B1268:C1268"/>
    <mergeCell ref="B1269:C1269"/>
    <mergeCell ref="B1270:C1270"/>
    <mergeCell ref="B1271:C1271"/>
    <mergeCell ref="B1272:C1272"/>
    <mergeCell ref="B1273:C1273"/>
    <mergeCell ref="B1274:C1274"/>
    <mergeCell ref="B1275:C1275"/>
    <mergeCell ref="B1276:C1276"/>
    <mergeCell ref="A1278:G1278"/>
    <mergeCell ref="A1279:B1279"/>
    <mergeCell ref="E1279:G1279"/>
    <mergeCell ref="A1280:B1280"/>
    <mergeCell ref="C1280:E1280"/>
    <mergeCell ref="A1281:G1281"/>
    <mergeCell ref="A1282:G1282"/>
    <mergeCell ref="B1283:C1283"/>
    <mergeCell ref="B1284:C1284"/>
    <mergeCell ref="B1285:C1285"/>
    <mergeCell ref="B1286:C1286"/>
    <mergeCell ref="B1287:C1287"/>
    <mergeCell ref="B1288:C1288"/>
    <mergeCell ref="B1289:C1289"/>
    <mergeCell ref="B1290:C1290"/>
    <mergeCell ref="B1291:C1291"/>
    <mergeCell ref="B1292:C1292"/>
    <mergeCell ref="B1293:C1293"/>
    <mergeCell ref="B1294:C1294"/>
    <mergeCell ref="B1295:C1295"/>
    <mergeCell ref="B1296:C1296"/>
    <mergeCell ref="B1297:C1297"/>
    <mergeCell ref="B1298:C1298"/>
    <mergeCell ref="B1299:C1299"/>
    <mergeCell ref="B1300:C1300"/>
    <mergeCell ref="B1301:C1301"/>
    <mergeCell ref="B1302:C1302"/>
    <mergeCell ref="B1303:C1303"/>
    <mergeCell ref="B1304:C1304"/>
    <mergeCell ref="B1305:C1305"/>
    <mergeCell ref="B1306:C1306"/>
    <mergeCell ref="B1307:C1307"/>
    <mergeCell ref="B1308:C1308"/>
    <mergeCell ref="B1309:C1309"/>
    <mergeCell ref="B1310:C1310"/>
    <mergeCell ref="A1312:G1312"/>
    <mergeCell ref="A1313:B1313"/>
    <mergeCell ref="E1313:G1313"/>
    <mergeCell ref="A1314:B1314"/>
    <mergeCell ref="C1314:E1314"/>
    <mergeCell ref="A1315:G1315"/>
    <mergeCell ref="A1316:G1316"/>
    <mergeCell ref="B1317:C1317"/>
    <mergeCell ref="B1318:C1318"/>
    <mergeCell ref="B1319:C1319"/>
    <mergeCell ref="B1320:C1320"/>
    <mergeCell ref="B1321:C1321"/>
    <mergeCell ref="B1322:C1322"/>
    <mergeCell ref="B1323:C1323"/>
    <mergeCell ref="B1324:C1324"/>
    <mergeCell ref="B1325:C1325"/>
    <mergeCell ref="B1326:C1326"/>
    <mergeCell ref="B1327:C1327"/>
    <mergeCell ref="B1328:C1328"/>
    <mergeCell ref="B1329:C1329"/>
    <mergeCell ref="B1330:C1330"/>
    <mergeCell ref="B1331:C1331"/>
    <mergeCell ref="B1332:C1332"/>
    <mergeCell ref="B1333:C1333"/>
    <mergeCell ref="B1334:C1334"/>
    <mergeCell ref="B1335:C1335"/>
    <mergeCell ref="B1336:C1336"/>
    <mergeCell ref="B1337:C1337"/>
    <mergeCell ref="B1338:C1338"/>
    <mergeCell ref="B1339:C1339"/>
    <mergeCell ref="B1340:C1340"/>
    <mergeCell ref="B1341:C1341"/>
    <mergeCell ref="B1342:C1342"/>
    <mergeCell ref="B1343:C1343"/>
    <mergeCell ref="B1344:C1344"/>
    <mergeCell ref="A1346:G1346"/>
    <mergeCell ref="A1347:B1347"/>
    <mergeCell ref="E1347:G1347"/>
    <mergeCell ref="A1348:B1348"/>
    <mergeCell ref="C1348:E1348"/>
    <mergeCell ref="A1349:G1349"/>
    <mergeCell ref="A1350:G1350"/>
    <mergeCell ref="B1351:C1351"/>
    <mergeCell ref="B1352:C1352"/>
    <mergeCell ref="B1353:C1353"/>
    <mergeCell ref="B1354:C1354"/>
    <mergeCell ref="B1355:C1355"/>
    <mergeCell ref="B1356:C1356"/>
    <mergeCell ref="B1357:C1357"/>
    <mergeCell ref="B1358:C1358"/>
    <mergeCell ref="B1359:C1359"/>
    <mergeCell ref="B1360:C1360"/>
    <mergeCell ref="B1361:C1361"/>
    <mergeCell ref="B1362:C1362"/>
    <mergeCell ref="B1363:C1363"/>
    <mergeCell ref="B1364:C1364"/>
    <mergeCell ref="B1365:C1365"/>
    <mergeCell ref="B1366:C1366"/>
    <mergeCell ref="B1367:C1367"/>
    <mergeCell ref="B1368:C1368"/>
    <mergeCell ref="B1369:C1369"/>
    <mergeCell ref="B1370:C1370"/>
    <mergeCell ref="B1371:C1371"/>
    <mergeCell ref="B1372:C1372"/>
    <mergeCell ref="B1373:C1373"/>
    <mergeCell ref="A1375:G1375"/>
    <mergeCell ref="A1376:B1376"/>
    <mergeCell ref="E1376:G1376"/>
    <mergeCell ref="A1377:B1377"/>
    <mergeCell ref="C1377:E1377"/>
    <mergeCell ref="A1378:G1378"/>
    <mergeCell ref="A1379:G1379"/>
    <mergeCell ref="B1380:C1380"/>
    <mergeCell ref="B1381:C1381"/>
    <mergeCell ref="B1382:C1382"/>
    <mergeCell ref="B1383:C1383"/>
    <mergeCell ref="B1384:C1384"/>
    <mergeCell ref="B1385:C1385"/>
    <mergeCell ref="B1386:C1386"/>
    <mergeCell ref="B1387:C1387"/>
    <mergeCell ref="B1388:C1388"/>
    <mergeCell ref="B1389:C1389"/>
    <mergeCell ref="B1390:C1390"/>
    <mergeCell ref="B1391:C1391"/>
    <mergeCell ref="B1392:C1392"/>
    <mergeCell ref="B1393:C1393"/>
    <mergeCell ref="B1394:C1394"/>
    <mergeCell ref="B1395:C1395"/>
    <mergeCell ref="B1396:C1396"/>
    <mergeCell ref="B1397:C1397"/>
    <mergeCell ref="B1398:C1398"/>
    <mergeCell ref="B1399:C1399"/>
    <mergeCell ref="B1400:C1400"/>
    <mergeCell ref="B1401:C1401"/>
    <mergeCell ref="B1402:C1402"/>
    <mergeCell ref="B1403:C1403"/>
    <mergeCell ref="B1404:C1404"/>
    <mergeCell ref="A1407:G1407"/>
    <mergeCell ref="A1408:B1408"/>
    <mergeCell ref="E1408:G1408"/>
    <mergeCell ref="A1409:B1409"/>
    <mergeCell ref="C1409:E1409"/>
    <mergeCell ref="A1410:G1410"/>
    <mergeCell ref="A1411:G1411"/>
    <mergeCell ref="B1412:C1412"/>
    <mergeCell ref="B1413:C1413"/>
    <mergeCell ref="B1414:C1414"/>
    <mergeCell ref="B1415:C1415"/>
    <mergeCell ref="B1416:C1416"/>
    <mergeCell ref="B1417:C1417"/>
    <mergeCell ref="B1418:C1418"/>
    <mergeCell ref="B1419:C1419"/>
    <mergeCell ref="B1420:C1420"/>
    <mergeCell ref="B1421:C1421"/>
    <mergeCell ref="B1422:C1422"/>
    <mergeCell ref="B1423:C1423"/>
    <mergeCell ref="B1424:C1424"/>
    <mergeCell ref="B1425:C1425"/>
    <mergeCell ref="B1426:C1426"/>
    <mergeCell ref="B1427:C1427"/>
    <mergeCell ref="B1428:C1428"/>
    <mergeCell ref="B1429:C1429"/>
    <mergeCell ref="B1430:C1430"/>
    <mergeCell ref="B1431:C1431"/>
    <mergeCell ref="B1432:C1432"/>
    <mergeCell ref="A1435:G1435"/>
    <mergeCell ref="A1436:B1436"/>
    <mergeCell ref="E1436:G1436"/>
    <mergeCell ref="A1437:B1437"/>
    <mergeCell ref="C1437:E1437"/>
    <mergeCell ref="A1438:G1438"/>
    <mergeCell ref="A1439:G1439"/>
    <mergeCell ref="B1440:C1440"/>
    <mergeCell ref="B1441:C1441"/>
    <mergeCell ref="B1442:C1442"/>
    <mergeCell ref="B1443:C1443"/>
    <mergeCell ref="B1444:C1444"/>
    <mergeCell ref="B1445:C1445"/>
    <mergeCell ref="B1446:C1446"/>
    <mergeCell ref="B1447:C1447"/>
    <mergeCell ref="B1448:C1448"/>
    <mergeCell ref="A1450:G1450"/>
    <mergeCell ref="A1451:B1451"/>
    <mergeCell ref="E1451:G1451"/>
    <mergeCell ref="A1452:B1452"/>
    <mergeCell ref="C1452:E1452"/>
    <mergeCell ref="A1453:G1453"/>
    <mergeCell ref="A1454:G1454"/>
    <mergeCell ref="B1455:C1455"/>
    <mergeCell ref="B1456:C1456"/>
    <mergeCell ref="B1457:C1457"/>
    <mergeCell ref="B1458:C1458"/>
    <mergeCell ref="B1459:C1459"/>
    <mergeCell ref="B1460:C1460"/>
    <mergeCell ref="B1461:C1461"/>
    <mergeCell ref="A1463:G1463"/>
    <mergeCell ref="A1464:B1464"/>
    <mergeCell ref="E1464:G1464"/>
    <mergeCell ref="A1465:B1465"/>
    <mergeCell ref="C1465:E1465"/>
    <mergeCell ref="A1466:G1466"/>
    <mergeCell ref="A1467:G1467"/>
    <mergeCell ref="B1468:C1468"/>
    <mergeCell ref="B1469:C1469"/>
    <mergeCell ref="B1470:C1470"/>
    <mergeCell ref="B1471:C1471"/>
    <mergeCell ref="B1472:C1472"/>
    <mergeCell ref="B1473:C1473"/>
    <mergeCell ref="B1474:C1474"/>
    <mergeCell ref="B1475:C1475"/>
    <mergeCell ref="B1476:C1476"/>
    <mergeCell ref="B1477:C1477"/>
    <mergeCell ref="B1478:C1478"/>
    <mergeCell ref="A1480:G1480"/>
    <mergeCell ref="A1481:B1481"/>
    <mergeCell ref="E1481:G1481"/>
    <mergeCell ref="A1482:B1482"/>
    <mergeCell ref="C1482:E1482"/>
    <mergeCell ref="A1483:G1483"/>
    <mergeCell ref="A1484:G1484"/>
    <mergeCell ref="B1485:C1485"/>
    <mergeCell ref="B1486:C1486"/>
    <mergeCell ref="B1487:C1487"/>
    <mergeCell ref="B1488:C1488"/>
    <mergeCell ref="B1489:C1489"/>
    <mergeCell ref="B1490:C1490"/>
    <mergeCell ref="B1491:C1491"/>
    <mergeCell ref="B1492:C1492"/>
    <mergeCell ref="B1493:C1493"/>
  </mergeCells>
  <printOptions horizontalCentered="1"/>
  <pageMargins left="0.979861111111111" right="0.75" top="0.979861111111111" bottom="0.979861111111111" header="0.509722222222222" footer="0.509722222222222"/>
  <pageSetup paperSize="9" orientation="portrait"/>
  <headerFooter alignWithMargins="0" scaleWithDoc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1-2工程概算总表</vt:lpstr>
      <vt:lpstr>总概算表</vt:lpstr>
      <vt:lpstr>维修养护</vt:lpstr>
      <vt:lpstr>建筑工程单价</vt:lpstr>
      <vt:lpstr>主要材料预算</vt:lpstr>
      <vt:lpstr>混凝土单价计算表</vt:lpstr>
      <vt:lpstr>费率表</vt:lpstr>
      <vt:lpstr>施工机械台时费</vt:lpstr>
      <vt:lpstr>混凝土</vt:lpstr>
      <vt:lpstr>堆砌石</vt:lpstr>
      <vt:lpstr>土方</vt:lpstr>
      <vt:lpstr>维修</vt:lpstr>
      <vt:lpstr>设备维修养护</vt:lpstr>
      <vt:lpstr>基础材料</vt:lpstr>
      <vt:lpstr>管材价格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shiyujiao</dc:creator>
  <cp:lastModifiedBy>蓝缘轩尛</cp:lastModifiedBy>
  <cp:revision>1</cp:revision>
  <dcterms:created xsi:type="dcterms:W3CDTF">1996-12-17T01:32:00Z</dcterms:created>
  <cp:lastPrinted>2019-04-29T02:34:00Z</cp:lastPrinted>
  <dcterms:modified xsi:type="dcterms:W3CDTF">2025-12-25T06:54:28Z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C608425D052C4F7EAC74B4DBF67F3346_13</vt:lpwstr>
  </property>
  <property fmtid="{D5CDD505-2E9C-101B-9397-08002B2CF9AE}" pid="4" name="CalculationRule">
    <vt:i4>0</vt:i4>
  </property>
</Properties>
</file>