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975" firstSheet="2" activeTab="1"/>
  </bookViews>
  <sheets>
    <sheet name="汇总表" sheetId="3" r:id="rId1"/>
    <sheet name="概算表" sheetId="2" r:id="rId2"/>
  </sheets>
  <definedNames>
    <definedName name="_xlnm.Print_Area" localSheetId="1">概算表!$A$1:$M$88</definedName>
    <definedName name="_xlnm.Print_Titles" localSheetId="1">概算表!$1:$3</definedName>
    <definedName name="_________xlfn.SUMIFS" hidden="1">#NAME?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<sst xmlns="http://schemas.openxmlformats.org/spreadsheetml/2006/main" count="219" uniqueCount="153">
  <si>
    <t>汇总表</t>
  </si>
  <si>
    <t>项目名称：宁夏回族自治区石嘴山市贺兰山东麓水源涵养和生态治理(2025-2027年)平罗县项目</t>
  </si>
  <si>
    <t>序号</t>
  </si>
  <si>
    <t>工程或费用名称</t>
  </si>
  <si>
    <t xml:space="preserve">         概算价值  （万元）</t>
  </si>
  <si>
    <t>占投资额（%）</t>
  </si>
  <si>
    <t>建筑工程</t>
  </si>
  <si>
    <t>设备购置</t>
  </si>
  <si>
    <t>安装工程</t>
  </si>
  <si>
    <t>其他费用</t>
  </si>
  <si>
    <t>合计</t>
  </si>
  <si>
    <t>一</t>
  </si>
  <si>
    <t>工程费用</t>
  </si>
  <si>
    <t>二</t>
  </si>
  <si>
    <t>总投资</t>
  </si>
  <si>
    <t>宁夏回族自治区石嘴山市贺兰山东麓水源涵养和生态治理(2025-2027年)平罗县项目投资概算汇总表</t>
  </si>
  <si>
    <t>项目名称</t>
  </si>
  <si>
    <t>投资概算（万元）</t>
  </si>
  <si>
    <t>技术经济指标（元）</t>
  </si>
  <si>
    <t>资金来源（万元）</t>
  </si>
  <si>
    <t>备注</t>
  </si>
  <si>
    <t>单位</t>
  </si>
  <si>
    <t>数量</t>
  </si>
  <si>
    <t>综合单价</t>
  </si>
  <si>
    <t>超长期国债资金</t>
  </si>
  <si>
    <t>地方配套资金</t>
  </si>
  <si>
    <t>直接工程费</t>
  </si>
  <si>
    <t>（一）</t>
  </si>
  <si>
    <t>沙化土地综合治理</t>
  </si>
  <si>
    <t>灌草综合治理</t>
  </si>
  <si>
    <t>亩</t>
  </si>
  <si>
    <t>人工灌木林</t>
  </si>
  <si>
    <t>1.1.1</t>
  </si>
  <si>
    <t>柠条(d≥0.4cm，H≥20cm)</t>
  </si>
  <si>
    <t>株</t>
  </si>
  <si>
    <t>56穴/亩，1穴2株，含水车浇水费，管护2年</t>
  </si>
  <si>
    <t>1.1.2</t>
  </si>
  <si>
    <t>花棒(d≥0.4cm，H≥20cm)</t>
  </si>
  <si>
    <t>人工灌草</t>
  </si>
  <si>
    <t>2千克/亩，人工撒播，管护2年</t>
  </si>
  <si>
    <t>1.2.1</t>
  </si>
  <si>
    <t>蒙古冰草</t>
  </si>
  <si>
    <t>千克</t>
  </si>
  <si>
    <t>0.4千克/亩</t>
  </si>
  <si>
    <t>1.2.2</t>
  </si>
  <si>
    <t>沙打旺</t>
  </si>
  <si>
    <t>0.8千克/亩</t>
  </si>
  <si>
    <t>1.2.3</t>
  </si>
  <si>
    <t>牛枝子</t>
  </si>
  <si>
    <t>1.2.4</t>
  </si>
  <si>
    <t>柠条</t>
  </si>
  <si>
    <t>0.2千克/亩</t>
  </si>
  <si>
    <t>1.2.5</t>
  </si>
  <si>
    <t>花棒</t>
  </si>
  <si>
    <t>作业便道</t>
  </si>
  <si>
    <t>千米</t>
  </si>
  <si>
    <t>10cm厚砂石面层</t>
  </si>
  <si>
    <t>立方米</t>
  </si>
  <si>
    <t>砂石路面宽3米</t>
  </si>
  <si>
    <t>30cm厚红土垫层</t>
  </si>
  <si>
    <t>红土路基宽4米</t>
  </si>
  <si>
    <t>机械夯实</t>
  </si>
  <si>
    <t>m2</t>
  </si>
  <si>
    <t>红土夯实和砂石夯实，摊铺碾压</t>
  </si>
  <si>
    <t>（二）</t>
  </si>
  <si>
    <t>非沙化土地营造林</t>
  </si>
  <si>
    <t>造林工程</t>
  </si>
  <si>
    <t>白榆(D≥4cm)</t>
  </si>
  <si>
    <t>定杆高度2.2m，干形通直</t>
  </si>
  <si>
    <t>侧柏（H≥1.5m）</t>
  </si>
  <si>
    <t>冠型丰满，带土球，土球直径≥30厘米</t>
  </si>
  <si>
    <t>灌溉工程</t>
  </si>
  <si>
    <t>水源工程</t>
  </si>
  <si>
    <r>
      <rPr>
        <sz val="12"/>
        <color rgb="FF000000"/>
        <rFont val="宋体"/>
        <charset val="0"/>
      </rPr>
      <t>管理房</t>
    </r>
    <r>
      <rPr>
        <sz val="12"/>
        <color rgb="FF000000"/>
        <rFont val="Times New Roman"/>
        <charset val="0"/>
      </rPr>
      <t xml:space="preserve"> (</t>
    </r>
    <r>
      <rPr>
        <sz val="12"/>
        <color rgb="FF000000"/>
        <rFont val="宋体"/>
        <charset val="0"/>
      </rPr>
      <t>防火、单层双坡</t>
    </r>
    <r>
      <rPr>
        <sz val="12"/>
        <color theme="1"/>
        <rFont val="Times New Roman"/>
        <charset val="0"/>
      </rPr>
      <t>K</t>
    </r>
    <r>
      <rPr>
        <sz val="12"/>
        <color rgb="FF000000"/>
        <rFont val="宋体"/>
        <charset val="0"/>
      </rPr>
      <t>式彩钢房（夹芯板）板厚</t>
    </r>
    <r>
      <rPr>
        <sz val="12"/>
        <color theme="1"/>
        <rFont val="Times New Roman"/>
        <charset val="0"/>
      </rPr>
      <t>75mm)</t>
    </r>
  </si>
  <si>
    <t>㎡</t>
  </si>
  <si>
    <r>
      <rPr>
        <sz val="12"/>
        <color rgb="FF000000"/>
        <rFont val="宋体"/>
        <charset val="0"/>
      </rPr>
      <t>成井作业（含</t>
    </r>
    <r>
      <rPr>
        <sz val="12"/>
        <color rgb="FF000000"/>
        <rFont val="Times New Roman"/>
        <charset val="0"/>
      </rPr>
      <t>DN400mm</t>
    </r>
    <r>
      <rPr>
        <sz val="12"/>
        <color rgb="FF000000"/>
        <rFont val="宋体"/>
        <charset val="0"/>
      </rPr>
      <t>钢管井安装及材料）</t>
    </r>
  </si>
  <si>
    <t>m</t>
  </si>
  <si>
    <t>预制水源井保护井 (厚100mm)</t>
  </si>
  <si>
    <r>
      <rPr>
        <sz val="16"/>
        <rFont val="仿宋_GB2312"/>
        <charset val="134"/>
      </rPr>
      <t>m</t>
    </r>
    <r>
      <rPr>
        <sz val="16"/>
        <rFont val="宋体"/>
        <charset val="134"/>
      </rPr>
      <t>³</t>
    </r>
  </si>
  <si>
    <t>潜水泵（200QJ50-130-30kw）</t>
  </si>
  <si>
    <t>台</t>
  </si>
  <si>
    <t>变频柜</t>
  </si>
  <si>
    <t>钢制伸缩接头（DN100、PN=1.6Mpa）</t>
  </si>
  <si>
    <t>个</t>
  </si>
  <si>
    <t>法兰（DN100、PN=1.6Mpa）</t>
  </si>
  <si>
    <t>水泵吊架</t>
  </si>
  <si>
    <t>套</t>
  </si>
  <si>
    <t>法兰水表（DN100、PN=1.6Mpa）</t>
  </si>
  <si>
    <t>扬水管吊架</t>
  </si>
  <si>
    <t>3mm钢丝绳</t>
  </si>
  <si>
    <t>排气补气阀（DN80高速排气补气阀、PN=1.6Mpa）</t>
  </si>
  <si>
    <t>钢管（DN100，壁厚6mm，6m/根）</t>
  </si>
  <si>
    <t>根</t>
  </si>
  <si>
    <t>离心+网式过滤器（90m³/h，过滤精度100目 ）</t>
  </si>
  <si>
    <t>持压阀 （DN100、PN=1.6Mpa）</t>
  </si>
  <si>
    <t>DN100钢管 （DN100，壁厚6mm）</t>
  </si>
  <si>
    <t>管网工程</t>
  </si>
  <si>
    <t>破路施工</t>
  </si>
  <si>
    <t>2.2.1</t>
  </si>
  <si>
    <t>土方工程</t>
  </si>
  <si>
    <t>土方开挖</t>
  </si>
  <si>
    <r>
      <rPr>
        <sz val="12"/>
        <rFont val="宋体"/>
        <charset val="134"/>
      </rPr>
      <t>m</t>
    </r>
    <r>
      <rPr>
        <vertAlign val="superscript"/>
        <sz val="12"/>
        <rFont val="宋体"/>
        <charset val="134"/>
      </rPr>
      <t>3</t>
    </r>
  </si>
  <si>
    <t>土方回填</t>
  </si>
  <si>
    <t>管材费</t>
  </si>
  <si>
    <t>de160PE/1.0MPa</t>
  </si>
  <si>
    <t>de90PE/1.0MPa</t>
  </si>
  <si>
    <t>de63PE/0.6MPa</t>
  </si>
  <si>
    <t>de16PE（de16PE滴灌管，壁厚1.2mm，0.3mpa）</t>
  </si>
  <si>
    <t>配套建筑物</t>
  </si>
  <si>
    <t>座</t>
  </si>
  <si>
    <t>圆形闸阀井（井径1.5m、井深1.5m）</t>
  </si>
  <si>
    <t>圆形排气井（井径1.2m、井深1.5m）</t>
  </si>
  <si>
    <t>圆形放空井（井径1.2m、井深1.5m）</t>
  </si>
  <si>
    <t>镇墩</t>
  </si>
  <si>
    <t>m³</t>
  </si>
  <si>
    <t>2.2.2</t>
  </si>
  <si>
    <t>管网阀件工程</t>
  </si>
  <si>
    <t>取水栓(de63  PN1.0MPa)PE</t>
  </si>
  <si>
    <t>进排气阀（DN50  PN1.0MPa）</t>
  </si>
  <si>
    <t>闸阀（DN50 PN1.0MPa）</t>
  </si>
  <si>
    <t>涡轮蝶阀（DN150 PN1.0MPa）</t>
  </si>
  <si>
    <t>涡轮蝶阀（DN80 PN1.0MPa）</t>
  </si>
  <si>
    <t>泄水阀(de63 1.0MPa）PE</t>
  </si>
  <si>
    <t>电气工程</t>
  </si>
  <si>
    <t>AP配电箱</t>
  </si>
  <si>
    <t>防水防尘灯</t>
  </si>
  <si>
    <t>密闭双极开关</t>
  </si>
  <si>
    <t>安全型双联二三极暗装插座</t>
  </si>
  <si>
    <t>BV-3×4</t>
  </si>
  <si>
    <t>米</t>
  </si>
  <si>
    <t>BV-4x2.5</t>
  </si>
  <si>
    <t>KVV-4x1.5</t>
  </si>
  <si>
    <t>JHS-0.45/0.75kV-3x25+1x16</t>
  </si>
  <si>
    <t>YJV22-0.45/0.75kV-4x70</t>
  </si>
  <si>
    <t>SC20</t>
  </si>
  <si>
    <t>SC80</t>
  </si>
  <si>
    <t>SC50</t>
  </si>
  <si>
    <t>40X4镀锌扁钢</t>
  </si>
  <si>
    <t>40X4不锈钢扁钢</t>
  </si>
  <si>
    <t>总等电位端子箱</t>
  </si>
  <si>
    <t>设计费</t>
  </si>
  <si>
    <t>工程费*2.3%</t>
  </si>
  <si>
    <t>工程监理费</t>
  </si>
  <si>
    <t>工程费*1.4%</t>
  </si>
  <si>
    <t>编制清单及招标控制价</t>
  </si>
  <si>
    <t>工程费*0.3%</t>
  </si>
  <si>
    <t>工程结算审核费</t>
  </si>
  <si>
    <t>财务决算审计费</t>
  </si>
  <si>
    <t>工程费*0.2%</t>
  </si>
  <si>
    <t>招投标代理服务费</t>
  </si>
  <si>
    <t>发改价格【2015】299号文件</t>
  </si>
  <si>
    <t>专项评价费</t>
  </si>
  <si>
    <t>工程费*0.8%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</si>
</sst>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.0_ "/>
    <numFmt numFmtId="179" formatCode="0.0"/>
    <numFmt numFmtId="180" formatCode="0.0_);[Red]\(0.0\)"/>
    <numFmt numFmtId="181" formatCode="0_ "/>
  </numFmts>
  <fonts count="45">
    <font>
      <sz val="11"/>
      <color rgb="FF000000"/>
      <name val="Arial"/>
      <charset val="204"/>
    </font>
    <font>
      <sz val="12"/>
      <color rgb="FF000000"/>
      <name val="Arial"/>
      <charset val="204"/>
    </font>
    <font>
      <b/>
      <sz val="14"/>
      <name val="仿宋_GB2312"/>
      <charset val="134"/>
    </font>
    <font>
      <sz val="12"/>
      <name val="Arial"/>
      <charset val="204"/>
    </font>
    <font>
      <b/>
      <sz val="12"/>
      <name val="仿宋_GB2312"/>
      <charset val="134"/>
    </font>
    <font>
      <b/>
      <sz val="12"/>
      <name val="宋体"/>
      <charset val="134"/>
    </font>
    <font>
      <sz val="12"/>
      <name val="仿宋_GB2312"/>
      <charset val="134"/>
    </font>
    <font>
      <b/>
      <sz val="12"/>
      <color rgb="FF000000"/>
      <name val="宋体"/>
      <charset val="0"/>
    </font>
    <font>
      <sz val="12"/>
      <name val="Arial"/>
      <charset val="134"/>
    </font>
    <font>
      <sz val="12"/>
      <color rgb="FF000000"/>
      <name val="宋体"/>
      <charset val="0"/>
    </font>
    <font>
      <sz val="12"/>
      <name val="宋体"/>
      <charset val="204"/>
    </font>
    <font>
      <sz val="12"/>
      <color rgb="FFFF0000"/>
      <name val="Arial"/>
      <charset val="204"/>
    </font>
    <font>
      <sz val="12"/>
      <name val="宋体"/>
      <charset val="134"/>
    </font>
    <font>
      <sz val="12"/>
      <color rgb="FFFF0000"/>
      <name val="宋体"/>
      <charset val="204"/>
    </font>
    <font>
      <sz val="16"/>
      <name val="仿宋_GB2312"/>
      <charset val="134"/>
    </font>
    <font>
      <sz val="12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  <font>
      <vertAlign val="superscript"/>
      <sz val="12"/>
      <name val="宋体"/>
      <charset val="134"/>
    </font>
    <font>
      <sz val="16"/>
      <name val="宋体"/>
      <charset val="134"/>
    </font>
    <font>
      <sz val="12"/>
      <color rgb="FF000000"/>
      <name val="Times New Roman"/>
      <charset val="0"/>
    </font>
    <font>
      <sz val="12"/>
      <color theme="1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3" borderId="10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13" applyNumberFormat="0" applyAlignment="0" applyProtection="0">
      <alignment vertical="center"/>
    </xf>
    <xf numFmtId="0" fontId="30" fillId="5" borderId="14" applyNumberFormat="0" applyAlignment="0" applyProtection="0">
      <alignment vertical="center"/>
    </xf>
    <xf numFmtId="0" fontId="31" fillId="5" borderId="13" applyNumberFormat="0" applyAlignment="0" applyProtection="0">
      <alignment vertical="center"/>
    </xf>
    <xf numFmtId="0" fontId="32" fillId="6" borderId="15" applyNumberFormat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40" fillId="0" borderId="0"/>
  </cellStyleXfs>
  <cellXfs count="75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176" fontId="1" fillId="0" borderId="0" xfId="0" applyNumberFormat="1" applyFont="1" applyFill="1" applyBorder="1" applyAlignment="1">
      <alignment horizontal="left" vertical="top" wrapText="1"/>
    </xf>
    <xf numFmtId="0" fontId="2" fillId="0" borderId="0" xfId="49" applyFont="1" applyFill="1" applyAlignment="1">
      <alignment horizontal="center" vertical="center" wrapText="1"/>
    </xf>
    <xf numFmtId="176" fontId="2" fillId="0" borderId="0" xfId="49" applyNumberFormat="1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top" wrapText="1"/>
    </xf>
    <xf numFmtId="49" fontId="4" fillId="0" borderId="1" xfId="49" applyNumberFormat="1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177" fontId="4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horizontal="center" vertical="center" wrapText="1"/>
    </xf>
    <xf numFmtId="10" fontId="4" fillId="0" borderId="1" xfId="49" applyNumberFormat="1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177" fontId="6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0" fontId="6" fillId="0" borderId="1" xfId="49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179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1" xfId="49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178" fontId="6" fillId="0" borderId="1" xfId="49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178" fontId="4" fillId="0" borderId="1" xfId="49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80" fontId="6" fillId="0" borderId="1" xfId="49" applyNumberFormat="1" applyFont="1" applyFill="1" applyBorder="1" applyAlignment="1">
      <alignment horizontal="center" vertical="center" wrapText="1"/>
    </xf>
    <xf numFmtId="181" fontId="6" fillId="0" borderId="1" xfId="0" applyNumberFormat="1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0" fontId="12" fillId="0" borderId="1" xfId="5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2" fontId="14" fillId="0" borderId="1" xfId="0" applyNumberFormat="1" applyFont="1" applyFill="1" applyBorder="1" applyAlignment="1">
      <alignment horizontal="center" vertical="center" wrapText="1"/>
    </xf>
    <xf numFmtId="1" fontId="5" fillId="0" borderId="1" xfId="52" applyNumberFormat="1" applyFont="1" applyFill="1" applyBorder="1" applyAlignment="1">
      <alignment horizontal="left" vertical="center" wrapText="1"/>
    </xf>
    <xf numFmtId="2" fontId="12" fillId="0" borderId="1" xfId="0" applyNumberFormat="1" applyFont="1" applyFill="1" applyBorder="1" applyAlignment="1">
      <alignment horizontal="center" vertical="center" wrapText="1"/>
    </xf>
    <xf numFmtId="0" fontId="12" fillId="0" borderId="1" xfId="5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5" fillId="0" borderId="1" xfId="49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 wrapText="1"/>
    </xf>
    <xf numFmtId="10" fontId="1" fillId="0" borderId="0" xfId="0" applyNumberFormat="1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left" vertical="center"/>
    </xf>
    <xf numFmtId="0" fontId="18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177" fontId="18" fillId="0" borderId="2" xfId="0" applyNumberFormat="1" applyFont="1" applyFill="1" applyBorder="1" applyAlignment="1">
      <alignment horizontal="center" vertical="center"/>
    </xf>
    <xf numFmtId="2" fontId="18" fillId="0" borderId="2" xfId="0" applyNumberFormat="1" applyFont="1" applyFill="1" applyBorder="1" applyAlignment="1">
      <alignment horizontal="center" vertical="center"/>
    </xf>
    <xf numFmtId="177" fontId="18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投资估算表长城中路（正源街-通达街）1.15" xfId="49"/>
    <cellStyle name="常规 10" xfId="50"/>
    <cellStyle name="常规_宁夏中宁县规模化节水灌溉增效示范项目实施方案1（2012-2015年）估算11.10" xfId="51"/>
    <cellStyle name="常规_Sheet2" xfId="52"/>
    <cellStyle name="Normal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685800</xdr:colOff>
      <xdr:row>41</xdr:row>
      <xdr:rowOff>0</xdr:rowOff>
    </xdr:from>
    <xdr:to>
      <xdr:col>1</xdr:col>
      <xdr:colOff>2169795</xdr:colOff>
      <xdr:row>41</xdr:row>
      <xdr:rowOff>55880</xdr:rowOff>
    </xdr:to>
    <xdr:pic>
      <xdr:nvPicPr>
        <xdr:cNvPr id="2" name="Picture 2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0675" y="15748000"/>
          <a:ext cx="1483995" cy="55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685800</xdr:colOff>
      <xdr:row>41</xdr:row>
      <xdr:rowOff>0</xdr:rowOff>
    </xdr:from>
    <xdr:to>
      <xdr:col>1</xdr:col>
      <xdr:colOff>2169795</xdr:colOff>
      <xdr:row>41</xdr:row>
      <xdr:rowOff>55245</xdr:rowOff>
    </xdr:to>
    <xdr:pic>
      <xdr:nvPicPr>
        <xdr:cNvPr id="3" name="Picture 2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0675" y="15748000"/>
          <a:ext cx="1483995" cy="55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685800</xdr:colOff>
      <xdr:row>41</xdr:row>
      <xdr:rowOff>0</xdr:rowOff>
    </xdr:from>
    <xdr:to>
      <xdr:col>1</xdr:col>
      <xdr:colOff>2169795</xdr:colOff>
      <xdr:row>41</xdr:row>
      <xdr:rowOff>55880</xdr:rowOff>
    </xdr:to>
    <xdr:pic>
      <xdr:nvPicPr>
        <xdr:cNvPr id="4" name="Picture 2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0675" y="15748000"/>
          <a:ext cx="1483995" cy="55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685800</xdr:colOff>
      <xdr:row>41</xdr:row>
      <xdr:rowOff>0</xdr:rowOff>
    </xdr:from>
    <xdr:to>
      <xdr:col>1</xdr:col>
      <xdr:colOff>2169795</xdr:colOff>
      <xdr:row>41</xdr:row>
      <xdr:rowOff>55245</xdr:rowOff>
    </xdr:to>
    <xdr:pic>
      <xdr:nvPicPr>
        <xdr:cNvPr id="5" name="Picture 2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0675" y="15748000"/>
          <a:ext cx="1483995" cy="552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selection activeCell="A2" sqref="A2:H2"/>
    </sheetView>
  </sheetViews>
  <sheetFormatPr defaultColWidth="9" defaultRowHeight="14.25" outlineLevelCol="7"/>
  <cols>
    <col min="1" max="1" width="9.08333333333333" customWidth="1"/>
    <col min="2" max="2" width="13.625" customWidth="1"/>
  </cols>
  <sheetData>
    <row r="1" ht="22.5" spans="1:8">
      <c r="A1" s="58" t="s">
        <v>0</v>
      </c>
      <c r="B1" s="59"/>
      <c r="C1" s="59"/>
      <c r="D1" s="59"/>
      <c r="E1" s="59"/>
      <c r="F1" s="59"/>
      <c r="G1" s="59"/>
      <c r="H1" s="59"/>
    </row>
    <row r="2" ht="39" customHeight="1" spans="1:8">
      <c r="A2" s="60" t="s">
        <v>1</v>
      </c>
      <c r="B2" s="60"/>
      <c r="C2" s="60"/>
      <c r="D2" s="60"/>
      <c r="E2" s="60"/>
      <c r="F2" s="60"/>
      <c r="G2" s="60"/>
      <c r="H2" s="60"/>
    </row>
    <row r="3" ht="27" customHeight="1" spans="1:8">
      <c r="A3" s="61" t="s">
        <v>2</v>
      </c>
      <c r="B3" s="62" t="s">
        <v>3</v>
      </c>
      <c r="C3" s="63" t="s">
        <v>4</v>
      </c>
      <c r="D3" s="64"/>
      <c r="E3" s="64"/>
      <c r="F3" s="64"/>
      <c r="G3" s="65"/>
      <c r="H3" s="61" t="s">
        <v>5</v>
      </c>
    </row>
    <row r="4" ht="27" customHeight="1" spans="1:8">
      <c r="A4" s="66"/>
      <c r="B4" s="66"/>
      <c r="C4" s="67" t="s">
        <v>6</v>
      </c>
      <c r="D4" s="67" t="s">
        <v>7</v>
      </c>
      <c r="E4" s="67" t="s">
        <v>8</v>
      </c>
      <c r="F4" s="67" t="s">
        <v>9</v>
      </c>
      <c r="G4" s="68" t="s">
        <v>10</v>
      </c>
      <c r="H4" s="66"/>
    </row>
    <row r="5" ht="27" customHeight="1" spans="1:8">
      <c r="A5" s="67" t="s">
        <v>11</v>
      </c>
      <c r="B5" s="67" t="s">
        <v>12</v>
      </c>
      <c r="C5" s="69">
        <f>概算表!F5</f>
        <v>876.821887755</v>
      </c>
      <c r="D5" s="69"/>
      <c r="E5" s="69"/>
      <c r="F5" s="69"/>
      <c r="G5" s="69">
        <f>C5+D5+E5</f>
        <v>876.821887755</v>
      </c>
      <c r="H5" s="70">
        <f>G5/G20*100</f>
        <v>94.6073793755913</v>
      </c>
    </row>
    <row r="6" ht="27" customHeight="1" spans="1:8">
      <c r="A6" s="67" t="s">
        <v>13</v>
      </c>
      <c r="B6" s="67" t="s">
        <v>9</v>
      </c>
      <c r="C6" s="71"/>
      <c r="D6" s="71"/>
      <c r="E6" s="71"/>
      <c r="F6" s="71">
        <f>概算表!F81</f>
        <v>49.978847602035</v>
      </c>
      <c r="G6" s="69">
        <f>F6</f>
        <v>49.978847602035</v>
      </c>
      <c r="H6" s="70">
        <f>G6/G20*100</f>
        <v>5.3926206244087</v>
      </c>
    </row>
    <row r="7" ht="27" customHeight="1" spans="1:8">
      <c r="A7" s="67"/>
      <c r="B7" s="72"/>
      <c r="C7" s="71"/>
      <c r="D7" s="71"/>
      <c r="E7" s="71"/>
      <c r="F7" s="71"/>
      <c r="G7" s="69"/>
      <c r="H7" s="70"/>
    </row>
    <row r="8" ht="27" customHeight="1" spans="1:8">
      <c r="A8" s="67"/>
      <c r="B8" s="72"/>
      <c r="C8" s="71"/>
      <c r="D8" s="71"/>
      <c r="E8" s="71"/>
      <c r="F8" s="69"/>
      <c r="G8" s="69"/>
      <c r="H8" s="70"/>
    </row>
    <row r="9" ht="27" customHeight="1" spans="1:8">
      <c r="A9" s="67"/>
      <c r="B9" s="72"/>
      <c r="C9" s="71"/>
      <c r="D9" s="71"/>
      <c r="E9" s="71"/>
      <c r="F9" s="69"/>
      <c r="G9" s="69"/>
      <c r="H9" s="70"/>
    </row>
    <row r="10" ht="27" customHeight="1" spans="1:8">
      <c r="A10" s="67"/>
      <c r="B10" s="72"/>
      <c r="C10" s="71"/>
      <c r="D10" s="71"/>
      <c r="E10" s="71"/>
      <c r="F10" s="69"/>
      <c r="G10" s="69"/>
      <c r="H10" s="70"/>
    </row>
    <row r="11" ht="27" customHeight="1" spans="1:8">
      <c r="A11" s="67"/>
      <c r="B11" s="72"/>
      <c r="C11" s="71"/>
      <c r="D11" s="71"/>
      <c r="E11" s="71"/>
      <c r="F11" s="69"/>
      <c r="G11" s="69"/>
      <c r="H11" s="70"/>
    </row>
    <row r="12" ht="27" customHeight="1" spans="1:8">
      <c r="A12" s="67"/>
      <c r="B12" s="72"/>
      <c r="C12" s="71"/>
      <c r="D12" s="71"/>
      <c r="E12" s="71"/>
      <c r="F12" s="69"/>
      <c r="G12" s="69"/>
      <c r="H12" s="70"/>
    </row>
    <row r="13" ht="27" customHeight="1" spans="1:8">
      <c r="A13" s="67"/>
      <c r="B13" s="72"/>
      <c r="C13" s="71"/>
      <c r="D13" s="71"/>
      <c r="E13" s="71"/>
      <c r="F13" s="69"/>
      <c r="G13" s="69"/>
      <c r="H13" s="70"/>
    </row>
    <row r="14" ht="27" customHeight="1" spans="1:8">
      <c r="A14" s="67"/>
      <c r="B14" s="72"/>
      <c r="C14" s="71"/>
      <c r="D14" s="71"/>
      <c r="E14" s="71"/>
      <c r="F14" s="69"/>
      <c r="G14" s="69"/>
      <c r="H14" s="70"/>
    </row>
    <row r="15" ht="27" customHeight="1" spans="1:8">
      <c r="A15" s="67"/>
      <c r="B15" s="72"/>
      <c r="C15" s="71"/>
      <c r="D15" s="71"/>
      <c r="E15" s="71"/>
      <c r="F15" s="69"/>
      <c r="G15" s="69"/>
      <c r="H15" s="70"/>
    </row>
    <row r="16" ht="27" customHeight="1" spans="1:8">
      <c r="A16" s="67"/>
      <c r="B16" s="72"/>
      <c r="C16" s="71"/>
      <c r="D16" s="71"/>
      <c r="E16" s="71"/>
      <c r="F16" s="69"/>
      <c r="G16" s="69"/>
      <c r="H16" s="70"/>
    </row>
    <row r="17" ht="27" customHeight="1" spans="1:8">
      <c r="A17" s="67"/>
      <c r="B17" s="72"/>
      <c r="C17" s="71"/>
      <c r="D17" s="71"/>
      <c r="E17" s="71"/>
      <c r="F17" s="69"/>
      <c r="G17" s="69"/>
      <c r="H17" s="70"/>
    </row>
    <row r="18" ht="27" customHeight="1" spans="1:8">
      <c r="A18" s="67"/>
      <c r="B18" s="72"/>
      <c r="C18" s="71"/>
      <c r="D18" s="71"/>
      <c r="E18" s="71"/>
      <c r="F18" s="69"/>
      <c r="G18" s="69"/>
      <c r="H18" s="70"/>
    </row>
    <row r="19" ht="27" customHeight="1" spans="1:8">
      <c r="A19" s="67"/>
      <c r="B19" s="72"/>
      <c r="C19" s="71"/>
      <c r="D19" s="71"/>
      <c r="E19" s="71"/>
      <c r="F19" s="69"/>
      <c r="G19" s="69"/>
      <c r="H19" s="70"/>
    </row>
    <row r="20" ht="27" customHeight="1" spans="1:8">
      <c r="A20" s="73" t="s">
        <v>14</v>
      </c>
      <c r="B20" s="74"/>
      <c r="C20" s="71">
        <f t="shared" ref="C20:H20" si="0">C5+C6+C7</f>
        <v>876.821887755</v>
      </c>
      <c r="D20" s="71"/>
      <c r="E20" s="71">
        <f t="shared" si="0"/>
        <v>0</v>
      </c>
      <c r="F20" s="71">
        <f t="shared" si="0"/>
        <v>49.978847602035</v>
      </c>
      <c r="G20" s="71">
        <f t="shared" si="0"/>
        <v>926.800735357035</v>
      </c>
      <c r="H20" s="71">
        <f t="shared" si="0"/>
        <v>100</v>
      </c>
    </row>
  </sheetData>
  <mergeCells count="7">
    <mergeCell ref="A1:H1"/>
    <mergeCell ref="A2:H2"/>
    <mergeCell ref="C3:G3"/>
    <mergeCell ref="A20:B20"/>
    <mergeCell ref="A3:A4"/>
    <mergeCell ref="B3:B4"/>
    <mergeCell ref="H3:H4"/>
  </mergeCells>
  <pageMargins left="0.826388888888889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8"/>
  <sheetViews>
    <sheetView tabSelected="1" view="pageBreakPreview" zoomScaleNormal="100" workbookViewId="0">
      <pane ySplit="3" topLeftCell="A4" activePane="bottomLeft" state="frozen"/>
      <selection/>
      <selection pane="bottomLeft" activeCell="T73" sqref="T73"/>
    </sheetView>
  </sheetViews>
  <sheetFormatPr defaultColWidth="9" defaultRowHeight="12" customHeight="1"/>
  <cols>
    <col min="1" max="1" width="11.875" style="1" customWidth="1"/>
    <col min="2" max="2" width="55.85" style="1" customWidth="1"/>
    <col min="3" max="3" width="9.74166666666667" style="1" customWidth="1"/>
    <col min="4" max="4" width="9.20833333333333" style="1" customWidth="1"/>
    <col min="5" max="5" width="11.7333333333333" style="1" customWidth="1"/>
    <col min="6" max="6" width="24.4083333333333" style="1" customWidth="1"/>
    <col min="7" max="7" width="7.375" style="1" customWidth="1"/>
    <col min="8" max="8" width="12.675" style="1" customWidth="1"/>
    <col min="9" max="9" width="16.6166666666667" style="2" customWidth="1"/>
    <col min="10" max="10" width="14.9083333333333" style="1" customWidth="1"/>
    <col min="11" max="11" width="14.6416666666667" style="1" customWidth="1"/>
    <col min="12" max="12" width="14.7916666666667" style="1" customWidth="1"/>
    <col min="13" max="13" width="45.525" style="1" customWidth="1"/>
    <col min="14" max="14" width="14.375" style="1"/>
    <col min="15" max="15" width="17.375" style="1"/>
    <col min="16" max="16" width="9.25" style="1"/>
    <col min="17" max="17" width="9" style="1"/>
    <col min="18" max="18" width="12.625" style="1"/>
    <col min="19" max="16384" width="9" style="1"/>
  </cols>
  <sheetData>
    <row r="1" ht="30" customHeight="1" spans="1:15">
      <c r="A1" s="3" t="s">
        <v>15</v>
      </c>
      <c r="B1" s="3"/>
      <c r="C1" s="3"/>
      <c r="D1" s="3"/>
      <c r="E1" s="3"/>
      <c r="F1" s="3"/>
      <c r="G1" s="3"/>
      <c r="H1" s="3"/>
      <c r="I1" s="4"/>
      <c r="J1" s="3"/>
      <c r="K1" s="3"/>
      <c r="L1" s="3"/>
      <c r="M1" s="3"/>
      <c r="N1" s="5"/>
      <c r="O1" s="5"/>
    </row>
    <row r="2" s="1" customFormat="1" ht="28.3" customHeight="1" spans="1:15">
      <c r="A2" s="6" t="s">
        <v>2</v>
      </c>
      <c r="B2" s="6" t="s">
        <v>16</v>
      </c>
      <c r="C2" s="6" t="s">
        <v>17</v>
      </c>
      <c r="D2" s="6"/>
      <c r="E2" s="6"/>
      <c r="F2" s="6"/>
      <c r="G2" s="6" t="s">
        <v>18</v>
      </c>
      <c r="H2" s="6"/>
      <c r="I2" s="7"/>
      <c r="J2" s="6" t="s">
        <v>19</v>
      </c>
      <c r="K2" s="6"/>
      <c r="L2" s="6" t="s">
        <v>5</v>
      </c>
      <c r="M2" s="6" t="s">
        <v>20</v>
      </c>
      <c r="N2" s="5"/>
      <c r="O2" s="5"/>
    </row>
    <row r="3" s="1" customFormat="1" ht="28.3" customHeight="1" spans="1:15">
      <c r="A3" s="6"/>
      <c r="B3" s="6"/>
      <c r="C3" s="6" t="s">
        <v>6</v>
      </c>
      <c r="D3" s="6" t="s">
        <v>8</v>
      </c>
      <c r="E3" s="6" t="s">
        <v>9</v>
      </c>
      <c r="F3" s="6" t="s">
        <v>10</v>
      </c>
      <c r="G3" s="6" t="s">
        <v>21</v>
      </c>
      <c r="H3" s="6" t="s">
        <v>22</v>
      </c>
      <c r="I3" s="7" t="s">
        <v>23</v>
      </c>
      <c r="J3" s="6" t="s">
        <v>24</v>
      </c>
      <c r="K3" s="6" t="s">
        <v>25</v>
      </c>
      <c r="L3" s="6"/>
      <c r="M3" s="6"/>
      <c r="N3" s="5"/>
      <c r="O3" s="5"/>
    </row>
    <row r="4" ht="28.3" customHeight="1" spans="1:15">
      <c r="A4" s="6" t="s">
        <v>10</v>
      </c>
      <c r="B4" s="6"/>
      <c r="C4" s="6"/>
      <c r="D4" s="6"/>
      <c r="E4" s="6"/>
      <c r="F4" s="7">
        <f>F5+F81</f>
        <v>926.800735357035</v>
      </c>
      <c r="G4" s="6"/>
      <c r="H4" s="6"/>
      <c r="I4" s="7"/>
      <c r="J4" s="8">
        <v>776</v>
      </c>
      <c r="K4" s="8">
        <f>F4-J4</f>
        <v>150.800735357035</v>
      </c>
      <c r="L4" s="6"/>
      <c r="M4" s="9"/>
      <c r="N4" s="5"/>
      <c r="O4" s="5"/>
    </row>
    <row r="5" ht="28.3" customHeight="1" spans="1:15">
      <c r="A5" s="10" t="s">
        <v>11</v>
      </c>
      <c r="B5" s="11" t="s">
        <v>26</v>
      </c>
      <c r="C5" s="8"/>
      <c r="D5" s="8"/>
      <c r="E5" s="8"/>
      <c r="F5" s="8">
        <f>F6+F21</f>
        <v>876.821887755</v>
      </c>
      <c r="G5" s="12"/>
      <c r="H5" s="12"/>
      <c r="I5" s="7"/>
      <c r="J5" s="8"/>
      <c r="K5" s="8"/>
      <c r="L5" s="13">
        <f>F5/F4</f>
        <v>0.946073793755913</v>
      </c>
      <c r="M5" s="9"/>
      <c r="N5" s="5"/>
      <c r="O5" s="5"/>
    </row>
    <row r="6" ht="28.3" customHeight="1" spans="1:15">
      <c r="A6" s="14" t="s">
        <v>27</v>
      </c>
      <c r="B6" s="15" t="s">
        <v>28</v>
      </c>
      <c r="C6" s="8"/>
      <c r="D6" s="8"/>
      <c r="E6" s="8"/>
      <c r="F6" s="8">
        <f>F7+F17</f>
        <v>603.10072688</v>
      </c>
      <c r="G6" s="12"/>
      <c r="H6" s="16"/>
      <c r="I6" s="7">
        <f>F6/H7*10000</f>
        <v>5885.05783450429</v>
      </c>
      <c r="J6" s="8"/>
      <c r="K6" s="8"/>
      <c r="L6" s="13"/>
      <c r="M6" s="9"/>
      <c r="N6" s="5"/>
      <c r="O6" s="5"/>
    </row>
    <row r="7" ht="28.3" customHeight="1" spans="1:15">
      <c r="A7" s="12">
        <v>1</v>
      </c>
      <c r="B7" s="15" t="s">
        <v>29</v>
      </c>
      <c r="C7" s="17"/>
      <c r="D7" s="17"/>
      <c r="E7" s="17"/>
      <c r="F7" s="8">
        <f>F8+F11</f>
        <v>71.88472688</v>
      </c>
      <c r="G7" s="18" t="s">
        <v>30</v>
      </c>
      <c r="H7" s="16">
        <v>1024.8</v>
      </c>
      <c r="I7" s="19">
        <f>F7*10000/H7</f>
        <v>701.451277127244</v>
      </c>
      <c r="J7" s="20"/>
      <c r="K7" s="20"/>
      <c r="L7" s="21"/>
      <c r="M7" s="22"/>
      <c r="N7" s="5"/>
      <c r="O7" s="5"/>
    </row>
    <row r="8" ht="28.3" customHeight="1" spans="1:15">
      <c r="A8" s="10">
        <v>1.1</v>
      </c>
      <c r="B8" s="11" t="s">
        <v>31</v>
      </c>
      <c r="C8" s="8"/>
      <c r="D8" s="8"/>
      <c r="E8" s="8"/>
      <c r="F8" s="8">
        <f>SUM(F9:F10)</f>
        <v>50.445296</v>
      </c>
      <c r="G8" s="18" t="s">
        <v>30</v>
      </c>
      <c r="H8" s="16">
        <v>1024.8</v>
      </c>
      <c r="I8" s="19">
        <f>F8*10000/H8</f>
        <v>492.245277127244</v>
      </c>
      <c r="J8" s="20"/>
      <c r="K8" s="23"/>
      <c r="L8" s="21"/>
      <c r="M8" s="20"/>
      <c r="N8" s="5"/>
      <c r="O8" s="5"/>
    </row>
    <row r="9" ht="39" customHeight="1" spans="1:15">
      <c r="A9" s="12" t="s">
        <v>32</v>
      </c>
      <c r="B9" s="24" t="s">
        <v>33</v>
      </c>
      <c r="C9" s="8"/>
      <c r="D9" s="8"/>
      <c r="E9" s="8"/>
      <c r="F9" s="17">
        <f>H9*I9/10000</f>
        <v>25.222648</v>
      </c>
      <c r="G9" s="25" t="s">
        <v>34</v>
      </c>
      <c r="H9" s="26">
        <f>113872/2</f>
        <v>56936</v>
      </c>
      <c r="I9" s="27">
        <v>4.43</v>
      </c>
      <c r="J9" s="20"/>
      <c r="K9" s="23"/>
      <c r="L9" s="21"/>
      <c r="M9" s="20" t="s">
        <v>35</v>
      </c>
      <c r="N9" s="5"/>
      <c r="O9" s="5"/>
    </row>
    <row r="10" ht="32" customHeight="1" spans="1:15">
      <c r="A10" s="28" t="s">
        <v>36</v>
      </c>
      <c r="B10" s="24" t="s">
        <v>37</v>
      </c>
      <c r="C10" s="8"/>
      <c r="D10" s="8"/>
      <c r="E10" s="8"/>
      <c r="F10" s="17">
        <f>H10*I10/10000</f>
        <v>25.222648</v>
      </c>
      <c r="G10" s="25" t="s">
        <v>34</v>
      </c>
      <c r="H10" s="26">
        <f>H9</f>
        <v>56936</v>
      </c>
      <c r="I10" s="27">
        <v>4.43</v>
      </c>
      <c r="J10" s="20"/>
      <c r="K10" s="23"/>
      <c r="L10" s="21"/>
      <c r="M10" s="20" t="s">
        <v>35</v>
      </c>
      <c r="N10" s="5"/>
      <c r="O10" s="5"/>
    </row>
    <row r="11" ht="30" customHeight="1" spans="1:15">
      <c r="A11" s="10">
        <v>1.2</v>
      </c>
      <c r="B11" s="11" t="s">
        <v>38</v>
      </c>
      <c r="C11" s="8"/>
      <c r="D11" s="8"/>
      <c r="E11" s="8"/>
      <c r="F11" s="8">
        <f>SUM(F12:F16)</f>
        <v>21.43943088</v>
      </c>
      <c r="G11" s="18" t="s">
        <v>30</v>
      </c>
      <c r="H11" s="16">
        <v>1024.8</v>
      </c>
      <c r="I11" s="19">
        <f>F11*10000/H11</f>
        <v>209.206</v>
      </c>
      <c r="J11" s="20"/>
      <c r="K11" s="29"/>
      <c r="L11" s="21"/>
      <c r="M11" s="20" t="s">
        <v>39</v>
      </c>
      <c r="N11" s="5"/>
      <c r="O11" s="5"/>
    </row>
    <row r="12" ht="28.3" customHeight="1" spans="1:15">
      <c r="A12" s="12" t="s">
        <v>40</v>
      </c>
      <c r="B12" s="24" t="s">
        <v>41</v>
      </c>
      <c r="C12" s="8"/>
      <c r="D12" s="8"/>
      <c r="E12" s="8"/>
      <c r="F12" s="17">
        <f>H12*I12/10000</f>
        <v>3.98770176</v>
      </c>
      <c r="G12" s="25" t="s">
        <v>42</v>
      </c>
      <c r="H12" s="26">
        <f>2049.6*0.2</f>
        <v>409.92</v>
      </c>
      <c r="I12" s="27">
        <v>97.28</v>
      </c>
      <c r="J12" s="20"/>
      <c r="K12" s="23"/>
      <c r="L12" s="21"/>
      <c r="M12" s="25" t="s">
        <v>43</v>
      </c>
      <c r="N12" s="5"/>
      <c r="O12" s="5"/>
    </row>
    <row r="13" ht="28.3" customHeight="1" spans="1:15">
      <c r="A13" s="12" t="s">
        <v>44</v>
      </c>
      <c r="B13" s="24" t="s">
        <v>45</v>
      </c>
      <c r="C13" s="8"/>
      <c r="D13" s="8"/>
      <c r="E13" s="8"/>
      <c r="F13" s="17">
        <f>H13*I13/10000</f>
        <v>8.12789376</v>
      </c>
      <c r="G13" s="25" t="s">
        <v>42</v>
      </c>
      <c r="H13" s="30">
        <f>2049.6*0.4</f>
        <v>819.84</v>
      </c>
      <c r="I13" s="27">
        <v>99.14</v>
      </c>
      <c r="J13" s="29"/>
      <c r="K13" s="7"/>
      <c r="L13" s="13"/>
      <c r="M13" s="25" t="s">
        <v>46</v>
      </c>
      <c r="N13" s="31"/>
      <c r="O13" s="32"/>
    </row>
    <row r="14" ht="28.3" customHeight="1" spans="1:15">
      <c r="A14" s="12" t="s">
        <v>47</v>
      </c>
      <c r="B14" s="24" t="s">
        <v>48</v>
      </c>
      <c r="C14" s="8"/>
      <c r="D14" s="8"/>
      <c r="E14" s="8"/>
      <c r="F14" s="17">
        <f>H14*I14/10000</f>
        <v>4.06353696</v>
      </c>
      <c r="G14" s="25" t="s">
        <v>42</v>
      </c>
      <c r="H14" s="30">
        <f>2049.6*0.2</f>
        <v>409.92</v>
      </c>
      <c r="I14" s="27">
        <v>99.13</v>
      </c>
      <c r="J14" s="29"/>
      <c r="K14" s="7"/>
      <c r="L14" s="13"/>
      <c r="M14" s="25" t="s">
        <v>43</v>
      </c>
      <c r="N14" s="5"/>
      <c r="O14" s="5"/>
    </row>
    <row r="15" ht="28.3" customHeight="1" spans="1:15">
      <c r="A15" s="12" t="s">
        <v>49</v>
      </c>
      <c r="B15" s="24" t="s">
        <v>50</v>
      </c>
      <c r="C15" s="8"/>
      <c r="D15" s="8"/>
      <c r="E15" s="8"/>
      <c r="F15" s="17">
        <f>H15*I15/10000</f>
        <v>2.03176848</v>
      </c>
      <c r="G15" s="12" t="s">
        <v>42</v>
      </c>
      <c r="H15" s="30">
        <f>2049.6*0.1</f>
        <v>204.96</v>
      </c>
      <c r="I15" s="27">
        <v>99.13</v>
      </c>
      <c r="J15" s="29"/>
      <c r="K15" s="7"/>
      <c r="L15" s="13"/>
      <c r="M15" s="20" t="s">
        <v>51</v>
      </c>
      <c r="N15" s="5"/>
      <c r="O15" s="5"/>
    </row>
    <row r="16" ht="28.3" customHeight="1" spans="1:15">
      <c r="A16" s="12" t="s">
        <v>52</v>
      </c>
      <c r="B16" s="24" t="s">
        <v>53</v>
      </c>
      <c r="C16" s="8"/>
      <c r="D16" s="8"/>
      <c r="E16" s="8"/>
      <c r="F16" s="17">
        <f>H16*I16/10000</f>
        <v>3.22852992</v>
      </c>
      <c r="G16" s="12" t="s">
        <v>42</v>
      </c>
      <c r="H16" s="30">
        <f>2049.6*0.1</f>
        <v>204.96</v>
      </c>
      <c r="I16" s="27">
        <v>157.52</v>
      </c>
      <c r="J16" s="29"/>
      <c r="K16" s="7"/>
      <c r="L16" s="13"/>
      <c r="M16" s="20" t="s">
        <v>51</v>
      </c>
      <c r="N16" s="5"/>
      <c r="O16" s="5"/>
    </row>
    <row r="17" ht="28.3" customHeight="1" spans="1:16">
      <c r="A17" s="10">
        <v>2</v>
      </c>
      <c r="B17" s="11" t="s">
        <v>54</v>
      </c>
      <c r="C17" s="17"/>
      <c r="D17" s="17"/>
      <c r="E17" s="8"/>
      <c r="F17" s="19">
        <f>F18+F19+F20</f>
        <v>531.216</v>
      </c>
      <c r="G17" s="10" t="s">
        <v>55</v>
      </c>
      <c r="H17" s="33">
        <v>140</v>
      </c>
      <c r="I17" s="19">
        <f>F17*10000/H17</f>
        <v>37944</v>
      </c>
      <c r="J17" s="12"/>
      <c r="K17" s="34"/>
      <c r="L17" s="13"/>
      <c r="M17" s="9"/>
      <c r="N17" s="5"/>
      <c r="O17" s="5"/>
    </row>
    <row r="18" ht="28.3" customHeight="1" spans="1:16">
      <c r="A18" s="12">
        <v>2.1</v>
      </c>
      <c r="B18" s="24" t="s">
        <v>56</v>
      </c>
      <c r="C18" s="17"/>
      <c r="D18" s="17"/>
      <c r="E18" s="17"/>
      <c r="F18" s="27">
        <f>H18*I18/10000</f>
        <v>276.696</v>
      </c>
      <c r="G18" s="12" t="s">
        <v>57</v>
      </c>
      <c r="H18" s="30">
        <f>140000*0.1*3</f>
        <v>42000</v>
      </c>
      <c r="I18" s="28">
        <v>65.88</v>
      </c>
      <c r="J18" s="12"/>
      <c r="K18" s="34"/>
      <c r="L18" s="13"/>
      <c r="M18" s="25" t="s">
        <v>58</v>
      </c>
      <c r="N18" s="5"/>
      <c r="O18" s="5"/>
    </row>
    <row r="19" ht="28.3" customHeight="1" spans="1:16">
      <c r="A19" s="12">
        <v>2.2</v>
      </c>
      <c r="B19" s="24" t="s">
        <v>59</v>
      </c>
      <c r="C19" s="17"/>
      <c r="D19" s="17"/>
      <c r="E19" s="17"/>
      <c r="F19" s="27">
        <f>H19*I19/10000</f>
        <v>212.52</v>
      </c>
      <c r="G19" s="12" t="s">
        <v>57</v>
      </c>
      <c r="H19" s="30">
        <f>140000*0.3*4</f>
        <v>168000</v>
      </c>
      <c r="I19" s="28">
        <v>12.65</v>
      </c>
      <c r="J19" s="12"/>
      <c r="K19" s="34"/>
      <c r="L19" s="13"/>
      <c r="M19" s="20" t="s">
        <v>60</v>
      </c>
      <c r="N19" s="5"/>
      <c r="O19" s="5"/>
    </row>
    <row r="20" ht="33" customHeight="1" spans="1:16">
      <c r="A20" s="12">
        <v>2.3</v>
      </c>
      <c r="B20" s="24" t="s">
        <v>61</v>
      </c>
      <c r="C20" s="17"/>
      <c r="D20" s="17"/>
      <c r="E20" s="8"/>
      <c r="F20" s="8">
        <f>H20*I20/10000</f>
        <v>42</v>
      </c>
      <c r="G20" s="12" t="s">
        <v>62</v>
      </c>
      <c r="H20" s="30">
        <f>140*4*1000</f>
        <v>560000</v>
      </c>
      <c r="I20" s="28">
        <v>0.75</v>
      </c>
      <c r="J20" s="35"/>
      <c r="K20" s="7"/>
      <c r="L20" s="13"/>
      <c r="M20" s="20" t="s">
        <v>63</v>
      </c>
      <c r="N20" s="5"/>
      <c r="O20" s="5"/>
    </row>
    <row r="21" ht="28.3" customHeight="1" spans="1:16">
      <c r="A21" s="12" t="s">
        <v>64</v>
      </c>
      <c r="B21" s="11" t="s">
        <v>65</v>
      </c>
      <c r="C21" s="17"/>
      <c r="D21" s="17"/>
      <c r="E21" s="8"/>
      <c r="F21" s="8">
        <f>F22+F25</f>
        <v>273.721160875</v>
      </c>
      <c r="G21" s="10" t="s">
        <v>30</v>
      </c>
      <c r="H21" s="33">
        <v>530</v>
      </c>
      <c r="I21" s="7">
        <f>F21*10000/H21</f>
        <v>5164.55020518868</v>
      </c>
      <c r="J21" s="35"/>
      <c r="K21" s="7"/>
      <c r="L21" s="13"/>
      <c r="M21" s="9"/>
      <c r="N21" s="5"/>
      <c r="O21" s="5"/>
    </row>
    <row r="22" ht="28.3" customHeight="1" spans="1:16">
      <c r="A22" s="10">
        <v>1</v>
      </c>
      <c r="B22" s="15" t="s">
        <v>66</v>
      </c>
      <c r="C22" s="8"/>
      <c r="D22" s="8"/>
      <c r="E22" s="8"/>
      <c r="F22" s="8">
        <f>F23+F24</f>
        <v>171.273578</v>
      </c>
      <c r="G22" s="18" t="s">
        <v>34</v>
      </c>
      <c r="H22" s="16">
        <f>H23+H24</f>
        <v>22084</v>
      </c>
      <c r="I22" s="19">
        <f>F22*10000/H22</f>
        <v>77.5555053432349</v>
      </c>
      <c r="J22" s="20"/>
      <c r="K22" s="23"/>
      <c r="L22" s="21"/>
      <c r="M22" s="20"/>
      <c r="N22" s="5"/>
      <c r="O22" s="5"/>
    </row>
    <row r="23" ht="28.3" customHeight="1" spans="1:16">
      <c r="A23" s="12">
        <v>1.1</v>
      </c>
      <c r="B23" s="24" t="s">
        <v>67</v>
      </c>
      <c r="C23" s="8"/>
      <c r="D23" s="8"/>
      <c r="E23" s="8"/>
      <c r="F23" s="17">
        <f>H23*I23/10000</f>
        <v>13.07649</v>
      </c>
      <c r="G23" s="25" t="s">
        <v>34</v>
      </c>
      <c r="H23" s="36">
        <v>2190</v>
      </c>
      <c r="I23" s="27">
        <v>59.71</v>
      </c>
      <c r="J23" s="20"/>
      <c r="K23" s="23"/>
      <c r="L23" s="21"/>
      <c r="M23" s="20" t="s">
        <v>68</v>
      </c>
      <c r="N23" s="5"/>
      <c r="O23" s="5"/>
    </row>
    <row r="24" ht="28.3" customHeight="1" spans="1:16">
      <c r="A24" s="30">
        <v>1.2</v>
      </c>
      <c r="B24" s="24" t="s">
        <v>69</v>
      </c>
      <c r="C24" s="8"/>
      <c r="D24" s="8"/>
      <c r="E24" s="8"/>
      <c r="F24" s="17">
        <f>H24*I24/10000</f>
        <v>158.197088</v>
      </c>
      <c r="G24" s="25" t="s">
        <v>34</v>
      </c>
      <c r="H24" s="36">
        <v>19894</v>
      </c>
      <c r="I24" s="27">
        <v>79.52</v>
      </c>
      <c r="J24" s="20"/>
      <c r="K24" s="23"/>
      <c r="L24" s="21"/>
      <c r="M24" s="20" t="s">
        <v>70</v>
      </c>
      <c r="N24" s="5"/>
      <c r="O24" s="5"/>
    </row>
    <row r="25" ht="28.3" customHeight="1" spans="1:16">
      <c r="A25" s="37">
        <v>2</v>
      </c>
      <c r="B25" s="11" t="s">
        <v>71</v>
      </c>
      <c r="C25" s="38"/>
      <c r="D25" s="38"/>
      <c r="E25" s="12"/>
      <c r="F25" s="19">
        <f>F26+F43+F65</f>
        <v>102.447582875</v>
      </c>
      <c r="G25" s="10" t="s">
        <v>30</v>
      </c>
      <c r="H25" s="18">
        <v>530</v>
      </c>
      <c r="I25" s="7">
        <f>F25*10000/H25</f>
        <v>1932.97326179245</v>
      </c>
      <c r="J25" s="25"/>
      <c r="K25" s="25"/>
      <c r="L25" s="25"/>
      <c r="M25" s="12"/>
      <c r="N25" s="5"/>
      <c r="O25" s="5"/>
      <c r="P25" s="39"/>
    </row>
    <row r="26" ht="28.3" customHeight="1" spans="1:16">
      <c r="A26" s="37">
        <v>2.1</v>
      </c>
      <c r="B26" s="15" t="s">
        <v>72</v>
      </c>
      <c r="C26" s="38"/>
      <c r="D26" s="38"/>
      <c r="E26" s="12"/>
      <c r="F26" s="19">
        <f>SUM(F27:F42)</f>
        <v>24.573346</v>
      </c>
      <c r="G26" s="25"/>
      <c r="H26" s="18"/>
      <c r="I26" s="7"/>
      <c r="J26" s="25"/>
      <c r="K26" s="25"/>
      <c r="L26" s="25"/>
      <c r="M26" s="12"/>
      <c r="N26" s="5"/>
      <c r="O26" s="5"/>
    </row>
    <row r="27" ht="52" customHeight="1" spans="1:16">
      <c r="A27" s="38"/>
      <c r="B27" s="24" t="s">
        <v>73</v>
      </c>
      <c r="C27" s="40"/>
      <c r="D27" s="40"/>
      <c r="E27" s="12"/>
      <c r="F27" s="17">
        <f t="shared" ref="F26:F52" si="0">H27*I27/10000</f>
        <v>2.101302</v>
      </c>
      <c r="G27" s="29" t="s">
        <v>74</v>
      </c>
      <c r="H27" s="29">
        <f>3.5*4.5</f>
        <v>15.75</v>
      </c>
      <c r="I27" s="27">
        <v>1334.16</v>
      </c>
      <c r="J27" s="25"/>
      <c r="K27" s="25"/>
      <c r="L27" s="25"/>
      <c r="M27" s="12"/>
      <c r="N27" s="5"/>
      <c r="O27" s="5"/>
    </row>
    <row r="28" ht="37" customHeight="1" spans="1:16">
      <c r="A28" s="38"/>
      <c r="B28" s="24" t="s">
        <v>75</v>
      </c>
      <c r="C28" s="40"/>
      <c r="D28" s="40"/>
      <c r="E28" s="12"/>
      <c r="F28" s="17">
        <f t="shared" si="0"/>
        <v>15.63015</v>
      </c>
      <c r="G28" s="29" t="s">
        <v>76</v>
      </c>
      <c r="H28" s="29">
        <f>150</f>
        <v>150</v>
      </c>
      <c r="I28" s="27">
        <v>1042.01</v>
      </c>
      <c r="J28" s="25"/>
      <c r="K28" s="25"/>
      <c r="L28" s="25"/>
      <c r="M28" s="12"/>
      <c r="N28" s="5"/>
      <c r="O28" s="5"/>
    </row>
    <row r="29" ht="32" customHeight="1" spans="1:16">
      <c r="A29" s="38"/>
      <c r="B29" s="24" t="s">
        <v>77</v>
      </c>
      <c r="C29" s="40"/>
      <c r="D29" s="40"/>
      <c r="E29" s="12"/>
      <c r="F29" s="17">
        <f t="shared" si="0"/>
        <v>0.006104</v>
      </c>
      <c r="G29" s="41" t="s">
        <v>78</v>
      </c>
      <c r="H29" s="29">
        <f>0.04</f>
        <v>0.04</v>
      </c>
      <c r="I29" s="27">
        <v>1526</v>
      </c>
      <c r="J29" s="25"/>
      <c r="K29" s="25"/>
      <c r="L29" s="25"/>
      <c r="M29" s="12"/>
      <c r="N29" s="5"/>
      <c r="O29" s="5"/>
    </row>
    <row r="30" ht="36" customHeight="1" spans="1:16">
      <c r="A30" s="38"/>
      <c r="B30" s="24" t="s">
        <v>79</v>
      </c>
      <c r="C30" s="40"/>
      <c r="D30" s="40"/>
      <c r="E30" s="12"/>
      <c r="F30" s="17">
        <f t="shared" si="0"/>
        <v>0.551428</v>
      </c>
      <c r="G30" s="29" t="s">
        <v>80</v>
      </c>
      <c r="H30" s="29">
        <v>1</v>
      </c>
      <c r="I30" s="27">
        <v>5514.28</v>
      </c>
      <c r="J30" s="25"/>
      <c r="K30" s="25"/>
      <c r="L30" s="25"/>
      <c r="M30" s="12"/>
      <c r="N30" s="5"/>
      <c r="O30" s="5"/>
    </row>
    <row r="31" ht="28.3" customHeight="1" spans="1:16">
      <c r="A31" s="38"/>
      <c r="B31" s="24" t="s">
        <v>81</v>
      </c>
      <c r="C31" s="40"/>
      <c r="D31" s="40"/>
      <c r="E31" s="12"/>
      <c r="F31" s="17">
        <f t="shared" si="0"/>
        <v>2.558244</v>
      </c>
      <c r="G31" s="29" t="s">
        <v>80</v>
      </c>
      <c r="H31" s="29">
        <v>1</v>
      </c>
      <c r="I31" s="27">
        <v>25582.44</v>
      </c>
      <c r="J31" s="25"/>
      <c r="K31" s="25"/>
      <c r="L31" s="25"/>
      <c r="M31" s="12"/>
      <c r="N31" s="5"/>
      <c r="O31" s="5"/>
    </row>
    <row r="32" ht="28.3" customHeight="1" spans="1:16">
      <c r="A32" s="38"/>
      <c r="B32" s="24" t="s">
        <v>82</v>
      </c>
      <c r="C32" s="40"/>
      <c r="D32" s="40"/>
      <c r="E32" s="12"/>
      <c r="F32" s="17">
        <f t="shared" si="0"/>
        <v>0.063894</v>
      </c>
      <c r="G32" s="29" t="s">
        <v>83</v>
      </c>
      <c r="H32" s="29">
        <v>1</v>
      </c>
      <c r="I32" s="27">
        <v>638.94</v>
      </c>
      <c r="J32" s="25"/>
      <c r="K32" s="25"/>
      <c r="L32" s="25"/>
      <c r="M32" s="12"/>
      <c r="N32" s="5"/>
      <c r="O32" s="5"/>
    </row>
    <row r="33" ht="28.3" customHeight="1" spans="1:15">
      <c r="A33" s="38"/>
      <c r="B33" s="24" t="s">
        <v>84</v>
      </c>
      <c r="C33" s="40"/>
      <c r="D33" s="40"/>
      <c r="E33" s="12"/>
      <c r="F33" s="17">
        <f t="shared" si="0"/>
        <v>0.76496</v>
      </c>
      <c r="G33" s="29" t="s">
        <v>83</v>
      </c>
      <c r="H33" s="29">
        <f>120/6*H32</f>
        <v>20</v>
      </c>
      <c r="I33" s="27">
        <v>382.48</v>
      </c>
      <c r="J33" s="25"/>
      <c r="K33" s="25"/>
      <c r="L33" s="25"/>
      <c r="M33" s="12"/>
      <c r="N33" s="5"/>
      <c r="O33" s="5"/>
    </row>
    <row r="34" ht="28.3" customHeight="1" spans="1:15">
      <c r="A34" s="38"/>
      <c r="B34" s="24" t="s">
        <v>85</v>
      </c>
      <c r="C34" s="40"/>
      <c r="D34" s="40"/>
      <c r="E34" s="12"/>
      <c r="F34" s="17">
        <f t="shared" si="0"/>
        <v>0.2071</v>
      </c>
      <c r="G34" s="29" t="s">
        <v>86</v>
      </c>
      <c r="H34" s="29">
        <f>H32</f>
        <v>1</v>
      </c>
      <c r="I34" s="27">
        <v>2071</v>
      </c>
      <c r="J34" s="25"/>
      <c r="K34" s="25"/>
      <c r="L34" s="25"/>
      <c r="M34" s="12"/>
      <c r="N34" s="5"/>
      <c r="O34" s="5"/>
    </row>
    <row r="35" ht="28.3" customHeight="1" spans="1:15">
      <c r="A35" s="38"/>
      <c r="B35" s="24" t="s">
        <v>87</v>
      </c>
      <c r="C35" s="40"/>
      <c r="D35" s="40"/>
      <c r="E35" s="12"/>
      <c r="F35" s="17">
        <f t="shared" si="0"/>
        <v>0.16087</v>
      </c>
      <c r="G35" s="29" t="s">
        <v>86</v>
      </c>
      <c r="H35" s="29">
        <f>H34</f>
        <v>1</v>
      </c>
      <c r="I35" s="27">
        <v>1608.7</v>
      </c>
      <c r="J35" s="25"/>
      <c r="K35" s="25"/>
      <c r="L35" s="25"/>
      <c r="M35" s="12"/>
      <c r="N35" s="5"/>
      <c r="O35" s="5"/>
    </row>
    <row r="36" ht="28.3" customHeight="1" spans="1:15">
      <c r="A36" s="38"/>
      <c r="B36" s="24" t="s">
        <v>88</v>
      </c>
      <c r="C36" s="40"/>
      <c r="D36" s="40"/>
      <c r="E36" s="12"/>
      <c r="F36" s="17">
        <f t="shared" si="0"/>
        <v>0.0436</v>
      </c>
      <c r="G36" s="29" t="s">
        <v>86</v>
      </c>
      <c r="H36" s="29">
        <f>H35</f>
        <v>1</v>
      </c>
      <c r="I36" s="27">
        <v>436</v>
      </c>
      <c r="J36" s="25"/>
      <c r="K36" s="25"/>
      <c r="L36" s="25"/>
      <c r="M36" s="12"/>
      <c r="N36" s="5"/>
      <c r="O36" s="5"/>
    </row>
    <row r="37" ht="28.3" customHeight="1" spans="1:15">
      <c r="A37" s="38"/>
      <c r="B37" s="24" t="s">
        <v>89</v>
      </c>
      <c r="C37" s="40"/>
      <c r="D37" s="40"/>
      <c r="E37" s="12"/>
      <c r="F37" s="17">
        <f t="shared" si="0"/>
        <v>1.20336</v>
      </c>
      <c r="G37" s="29" t="s">
        <v>76</v>
      </c>
      <c r="H37" s="29">
        <f>92*2</f>
        <v>184</v>
      </c>
      <c r="I37" s="27">
        <v>65.4</v>
      </c>
      <c r="J37" s="25"/>
      <c r="K37" s="25"/>
      <c r="L37" s="25"/>
      <c r="M37" s="12"/>
      <c r="N37" s="5"/>
      <c r="O37" s="5"/>
    </row>
    <row r="38" ht="35" customHeight="1" spans="1:15">
      <c r="A38" s="38"/>
      <c r="B38" s="24" t="s">
        <v>90</v>
      </c>
      <c r="C38" s="40"/>
      <c r="D38" s="40"/>
      <c r="E38" s="12"/>
      <c r="F38" s="17">
        <f t="shared" si="0"/>
        <v>0.063946</v>
      </c>
      <c r="G38" s="29" t="s">
        <v>86</v>
      </c>
      <c r="H38" s="29">
        <f>H36</f>
        <v>1</v>
      </c>
      <c r="I38" s="27">
        <v>639.46</v>
      </c>
      <c r="J38" s="25"/>
      <c r="K38" s="25"/>
      <c r="L38" s="25"/>
      <c r="M38" s="12"/>
      <c r="N38" s="5"/>
      <c r="O38" s="5"/>
    </row>
    <row r="39" ht="28.3" customHeight="1" spans="1:15">
      <c r="A39" s="38"/>
      <c r="B39" s="24" t="s">
        <v>91</v>
      </c>
      <c r="C39" s="40"/>
      <c r="D39" s="40"/>
      <c r="E39" s="12"/>
      <c r="F39" s="17">
        <f t="shared" si="0"/>
        <v>1</v>
      </c>
      <c r="G39" s="29" t="s">
        <v>92</v>
      </c>
      <c r="H39" s="29">
        <f>120/6</f>
        <v>20</v>
      </c>
      <c r="I39" s="27">
        <v>500</v>
      </c>
      <c r="J39" s="25"/>
      <c r="K39" s="25"/>
      <c r="L39" s="25"/>
      <c r="M39" s="12"/>
      <c r="N39" s="5"/>
      <c r="O39" s="5"/>
    </row>
    <row r="40" ht="35" customHeight="1" spans="1:15">
      <c r="A40" s="38"/>
      <c r="B40" s="24" t="s">
        <v>93</v>
      </c>
      <c r="C40" s="40"/>
      <c r="D40" s="40"/>
      <c r="E40" s="12"/>
      <c r="F40" s="17">
        <f t="shared" si="0"/>
        <v>0.034222</v>
      </c>
      <c r="G40" s="29" t="s">
        <v>86</v>
      </c>
      <c r="H40" s="29">
        <f>H38</f>
        <v>1</v>
      </c>
      <c r="I40" s="27">
        <v>342.22</v>
      </c>
      <c r="J40" s="25"/>
      <c r="K40" s="25"/>
      <c r="L40" s="25"/>
      <c r="M40" s="12"/>
      <c r="N40" s="5"/>
      <c r="O40" s="5"/>
    </row>
    <row r="41" ht="28.3" customHeight="1" spans="1:15">
      <c r="A41" s="38"/>
      <c r="B41" s="24" t="s">
        <v>94</v>
      </c>
      <c r="C41" s="40"/>
      <c r="D41" s="40"/>
      <c r="E41" s="12"/>
      <c r="F41" s="17">
        <f t="shared" si="0"/>
        <v>0.064766</v>
      </c>
      <c r="G41" s="29" t="s">
        <v>83</v>
      </c>
      <c r="H41" s="29">
        <f>H40</f>
        <v>1</v>
      </c>
      <c r="I41" s="27">
        <v>647.66</v>
      </c>
      <c r="J41" s="25"/>
      <c r="K41" s="25"/>
      <c r="L41" s="25"/>
      <c r="M41" s="12"/>
      <c r="N41" s="5"/>
      <c r="O41" s="5"/>
    </row>
    <row r="42" ht="28.3" customHeight="1" spans="1:15">
      <c r="A42" s="38"/>
      <c r="B42" s="24" t="s">
        <v>95</v>
      </c>
      <c r="C42" s="40"/>
      <c r="D42" s="40"/>
      <c r="E42" s="12"/>
      <c r="F42" s="17">
        <f t="shared" si="0"/>
        <v>0.1194</v>
      </c>
      <c r="G42" s="29" t="s">
        <v>76</v>
      </c>
      <c r="H42" s="29">
        <f>15</f>
        <v>15</v>
      </c>
      <c r="I42" s="27">
        <v>79.6</v>
      </c>
      <c r="J42" s="25"/>
      <c r="K42" s="25"/>
      <c r="L42" s="25"/>
      <c r="M42" s="12"/>
      <c r="N42" s="5"/>
      <c r="O42" s="5"/>
    </row>
    <row r="43" ht="28.3" customHeight="1" spans="1:15">
      <c r="A43" s="37">
        <v>2.2</v>
      </c>
      <c r="B43" s="42" t="s">
        <v>96</v>
      </c>
      <c r="C43" s="40"/>
      <c r="D43" s="40"/>
      <c r="E43" s="12"/>
      <c r="F43" s="8">
        <f>F44+F58</f>
        <v>61.002344875</v>
      </c>
      <c r="G43" s="29"/>
      <c r="H43" s="29"/>
      <c r="I43" s="28"/>
      <c r="J43" s="25"/>
      <c r="K43" s="25"/>
      <c r="L43" s="25"/>
      <c r="M43" s="12" t="s">
        <v>97</v>
      </c>
      <c r="N43" s="5"/>
      <c r="O43" s="5"/>
    </row>
    <row r="44" ht="28.3" customHeight="1" spans="1:15">
      <c r="A44" s="37" t="s">
        <v>98</v>
      </c>
      <c r="B44" s="42" t="s">
        <v>96</v>
      </c>
      <c r="C44" s="40"/>
      <c r="D44" s="40"/>
      <c r="E44" s="12"/>
      <c r="F44" s="8">
        <f>F45+F48+F53</f>
        <v>58.475395875</v>
      </c>
      <c r="G44" s="29"/>
      <c r="H44" s="29"/>
      <c r="I44" s="28"/>
      <c r="J44" s="25"/>
      <c r="K44" s="25"/>
      <c r="L44" s="25"/>
      <c r="M44" s="12"/>
      <c r="N44" s="5"/>
      <c r="O44" s="5"/>
    </row>
    <row r="45" ht="28.3" customHeight="1" spans="1:15">
      <c r="A45" s="37"/>
      <c r="B45" s="42" t="s">
        <v>99</v>
      </c>
      <c r="C45" s="40"/>
      <c r="D45" s="40"/>
      <c r="E45" s="12"/>
      <c r="F45" s="8">
        <f>SUM(F46:F47)</f>
        <v>4.552449</v>
      </c>
      <c r="G45" s="29"/>
      <c r="H45" s="29"/>
      <c r="I45" s="28"/>
      <c r="J45" s="25"/>
      <c r="K45" s="25"/>
      <c r="L45" s="25"/>
      <c r="M45" s="12"/>
      <c r="N45" s="5"/>
      <c r="O45" s="5"/>
    </row>
    <row r="46" ht="28.3" customHeight="1" spans="1:15">
      <c r="A46" s="37"/>
      <c r="B46" s="24" t="s">
        <v>100</v>
      </c>
      <c r="C46" s="40"/>
      <c r="D46" s="40"/>
      <c r="E46" s="12"/>
      <c r="F46" s="17">
        <f t="shared" si="0"/>
        <v>1.355745</v>
      </c>
      <c r="G46" s="43" t="s">
        <v>101</v>
      </c>
      <c r="H46" s="29">
        <v>4757</v>
      </c>
      <c r="I46" s="27">
        <v>2.85</v>
      </c>
      <c r="J46" s="25"/>
      <c r="K46" s="25"/>
      <c r="L46" s="25"/>
      <c r="M46" s="12"/>
      <c r="N46" s="5"/>
      <c r="O46" s="5"/>
    </row>
    <row r="47" ht="28.3" customHeight="1" spans="1:15">
      <c r="A47" s="37"/>
      <c r="B47" s="24" t="s">
        <v>102</v>
      </c>
      <c r="C47" s="40"/>
      <c r="D47" s="40"/>
      <c r="E47" s="12"/>
      <c r="F47" s="17">
        <f t="shared" si="0"/>
        <v>3.196704</v>
      </c>
      <c r="G47" s="43" t="s">
        <v>101</v>
      </c>
      <c r="H47" s="29">
        <v>4757</v>
      </c>
      <c r="I47" s="27">
        <v>6.72</v>
      </c>
      <c r="J47" s="25"/>
      <c r="K47" s="25"/>
      <c r="L47" s="25"/>
      <c r="M47" s="12"/>
      <c r="N47" s="5"/>
      <c r="O47" s="5"/>
    </row>
    <row r="48" ht="28.3" customHeight="1" spans="1:15">
      <c r="A48" s="37"/>
      <c r="B48" s="42" t="s">
        <v>103</v>
      </c>
      <c r="C48" s="40"/>
      <c r="D48" s="40"/>
      <c r="E48" s="12"/>
      <c r="F48" s="8">
        <f>SUM(F49:F52)</f>
        <v>50.0013125</v>
      </c>
      <c r="G48" s="29"/>
      <c r="H48" s="29"/>
      <c r="I48" s="27"/>
      <c r="J48" s="25"/>
      <c r="K48" s="25"/>
      <c r="L48" s="25"/>
      <c r="M48" s="12"/>
      <c r="N48" s="5"/>
      <c r="O48" s="5"/>
    </row>
    <row r="49" ht="28.3" customHeight="1" spans="1:15">
      <c r="A49" s="37"/>
      <c r="B49" s="24" t="s">
        <v>104</v>
      </c>
      <c r="C49" s="40"/>
      <c r="D49" s="40"/>
      <c r="E49" s="12"/>
      <c r="F49" s="17">
        <f t="shared" si="0"/>
        <v>18.54056</v>
      </c>
      <c r="G49" s="29" t="s">
        <v>76</v>
      </c>
      <c r="H49" s="29">
        <v>1880</v>
      </c>
      <c r="I49" s="27">
        <v>98.62</v>
      </c>
      <c r="J49" s="25"/>
      <c r="K49" s="25"/>
      <c r="L49" s="25"/>
      <c r="M49" s="12"/>
      <c r="N49" s="5"/>
      <c r="O49" s="5"/>
    </row>
    <row r="50" ht="28.3" customHeight="1" spans="1:15">
      <c r="A50" s="37"/>
      <c r="B50" s="24" t="s">
        <v>105</v>
      </c>
      <c r="C50" s="40"/>
      <c r="D50" s="40"/>
      <c r="E50" s="12"/>
      <c r="F50" s="17">
        <f t="shared" si="0"/>
        <v>11.479875</v>
      </c>
      <c r="G50" s="29" t="s">
        <v>76</v>
      </c>
      <c r="H50" s="29">
        <f>2875</f>
        <v>2875</v>
      </c>
      <c r="I50" s="27">
        <v>39.93</v>
      </c>
      <c r="J50" s="25"/>
      <c r="K50" s="25"/>
      <c r="L50" s="25"/>
      <c r="M50" s="12"/>
      <c r="N50" s="5"/>
      <c r="O50" s="5"/>
    </row>
    <row r="51" ht="28.3" customHeight="1" spans="1:15">
      <c r="A51" s="37"/>
      <c r="B51" s="24" t="s">
        <v>106</v>
      </c>
      <c r="C51" s="40"/>
      <c r="D51" s="40"/>
      <c r="E51" s="12"/>
      <c r="F51" s="17">
        <f t="shared" si="0"/>
        <v>9.2872</v>
      </c>
      <c r="G51" s="29" t="s">
        <v>76</v>
      </c>
      <c r="H51" s="29">
        <f>3760</f>
        <v>3760</v>
      </c>
      <c r="I51" s="27">
        <v>24.7</v>
      </c>
      <c r="J51" s="25"/>
      <c r="K51" s="25"/>
      <c r="L51" s="25"/>
      <c r="M51" s="12"/>
      <c r="N51" s="5"/>
      <c r="O51" s="5"/>
    </row>
    <row r="52" ht="30" customHeight="1" spans="1:15">
      <c r="A52" s="37"/>
      <c r="B52" s="24" t="s">
        <v>107</v>
      </c>
      <c r="C52" s="40"/>
      <c r="D52" s="40"/>
      <c r="E52" s="12"/>
      <c r="F52" s="17">
        <f t="shared" si="0"/>
        <v>10.6936775</v>
      </c>
      <c r="G52" s="29" t="s">
        <v>76</v>
      </c>
      <c r="H52" s="29">
        <f>530*667/4</f>
        <v>88377.5</v>
      </c>
      <c r="I52" s="27">
        <v>1.21</v>
      </c>
      <c r="J52" s="25"/>
      <c r="K52" s="25"/>
      <c r="L52" s="25"/>
      <c r="M52" s="12"/>
      <c r="N52" s="5"/>
      <c r="O52" s="5"/>
    </row>
    <row r="53" ht="28.3" customHeight="1" spans="1:15">
      <c r="A53" s="37"/>
      <c r="B53" s="42" t="s">
        <v>108</v>
      </c>
      <c r="C53" s="40"/>
      <c r="D53" s="40"/>
      <c r="E53" s="12"/>
      <c r="F53" s="19">
        <f>SUM(F54:F57)</f>
        <v>3.921634375</v>
      </c>
      <c r="G53" s="29" t="s">
        <v>109</v>
      </c>
      <c r="H53" s="29">
        <f>H55+H56+H54</f>
        <v>17</v>
      </c>
      <c r="I53" s="27"/>
      <c r="J53" s="25"/>
      <c r="K53" s="25"/>
      <c r="L53" s="25"/>
      <c r="M53" s="12"/>
      <c r="N53" s="5"/>
      <c r="O53" s="5"/>
    </row>
    <row r="54" ht="28.3" customHeight="1" spans="1:15">
      <c r="A54" s="44"/>
      <c r="B54" s="24" t="s">
        <v>110</v>
      </c>
      <c r="C54" s="40"/>
      <c r="D54" s="40"/>
      <c r="E54" s="12"/>
      <c r="F54" s="17">
        <f>H54*I54/10000</f>
        <v>2.23464</v>
      </c>
      <c r="G54" s="29" t="s">
        <v>109</v>
      </c>
      <c r="H54" s="29">
        <v>10</v>
      </c>
      <c r="I54" s="27">
        <v>2234.64</v>
      </c>
      <c r="J54" s="25"/>
      <c r="K54" s="25"/>
      <c r="L54" s="25"/>
      <c r="M54" s="12"/>
      <c r="N54" s="5"/>
      <c r="O54" s="5"/>
    </row>
    <row r="55" ht="28.3" customHeight="1" spans="1:15">
      <c r="A55" s="44"/>
      <c r="B55" s="24" t="s">
        <v>111</v>
      </c>
      <c r="C55" s="40"/>
      <c r="D55" s="40"/>
      <c r="E55" s="12"/>
      <c r="F55" s="17">
        <f>H55*I55/10000</f>
        <v>0.893856</v>
      </c>
      <c r="G55" s="29" t="s">
        <v>109</v>
      </c>
      <c r="H55" s="29">
        <v>4</v>
      </c>
      <c r="I55" s="27">
        <v>2234.64</v>
      </c>
      <c r="J55" s="25"/>
      <c r="K55" s="25"/>
      <c r="L55" s="25"/>
      <c r="M55" s="12"/>
      <c r="N55" s="5"/>
      <c r="O55" s="5"/>
    </row>
    <row r="56" ht="28.3" customHeight="1" spans="1:15">
      <c r="A56" s="37"/>
      <c r="B56" s="24" t="s">
        <v>112</v>
      </c>
      <c r="C56" s="40"/>
      <c r="D56" s="40"/>
      <c r="E56" s="12"/>
      <c r="F56" s="27">
        <f>H56*I56/10000</f>
        <v>0.670392</v>
      </c>
      <c r="G56" s="29" t="s">
        <v>109</v>
      </c>
      <c r="H56" s="29">
        <v>3</v>
      </c>
      <c r="I56" s="27">
        <v>2234.64</v>
      </c>
      <c r="J56" s="25"/>
      <c r="K56" s="25"/>
      <c r="L56" s="25"/>
      <c r="M56" s="12"/>
      <c r="N56" s="5"/>
      <c r="O56" s="5"/>
    </row>
    <row r="57" ht="28.3" customHeight="1" spans="1:15">
      <c r="A57" s="44"/>
      <c r="B57" s="45" t="s">
        <v>113</v>
      </c>
      <c r="C57" s="40"/>
      <c r="D57" s="40"/>
      <c r="E57" s="12"/>
      <c r="F57" s="17">
        <f t="shared" ref="F57:F64" si="1">H57*I57/10000</f>
        <v>0.122746375</v>
      </c>
      <c r="G57" s="29" t="s">
        <v>114</v>
      </c>
      <c r="H57" s="29">
        <f>0.125*(H53)</f>
        <v>2.125</v>
      </c>
      <c r="I57" s="27">
        <v>577.63</v>
      </c>
      <c r="J57" s="25"/>
      <c r="K57" s="25"/>
      <c r="L57" s="25"/>
      <c r="M57" s="12"/>
      <c r="N57" s="5"/>
      <c r="O57" s="5"/>
    </row>
    <row r="58" ht="28.3" customHeight="1" spans="1:15">
      <c r="A58" s="37" t="s">
        <v>115</v>
      </c>
      <c r="B58" s="42" t="s">
        <v>116</v>
      </c>
      <c r="C58" s="40"/>
      <c r="D58" s="40"/>
      <c r="E58" s="12"/>
      <c r="F58" s="8">
        <f>SUM(F59:F64)</f>
        <v>2.526949</v>
      </c>
      <c r="G58" s="29"/>
      <c r="H58" s="29"/>
      <c r="I58" s="27"/>
      <c r="J58" s="25"/>
      <c r="K58" s="25"/>
      <c r="L58" s="25"/>
      <c r="M58" s="12"/>
      <c r="N58" s="5"/>
      <c r="O58" s="5"/>
    </row>
    <row r="59" ht="28.3" customHeight="1" spans="1:15">
      <c r="A59" s="44"/>
      <c r="B59" s="24" t="s">
        <v>117</v>
      </c>
      <c r="C59" s="40"/>
      <c r="D59" s="40"/>
      <c r="E59" s="12"/>
      <c r="F59" s="17">
        <f t="shared" si="1"/>
        <v>0.459369</v>
      </c>
      <c r="G59" s="29" t="s">
        <v>86</v>
      </c>
      <c r="H59" s="29">
        <v>43</v>
      </c>
      <c r="I59" s="27">
        <v>106.83</v>
      </c>
      <c r="J59" s="25"/>
      <c r="K59" s="25"/>
      <c r="L59" s="25"/>
      <c r="M59" s="12"/>
      <c r="N59" s="5"/>
      <c r="O59" s="5"/>
    </row>
    <row r="60" ht="45" customHeight="1" spans="1:15">
      <c r="A60" s="44"/>
      <c r="B60" s="24" t="s">
        <v>118</v>
      </c>
      <c r="C60" s="40"/>
      <c r="D60" s="40"/>
      <c r="E60" s="12"/>
      <c r="F60" s="17">
        <f t="shared" si="1"/>
        <v>0.127312</v>
      </c>
      <c r="G60" s="29" t="s">
        <v>83</v>
      </c>
      <c r="H60" s="29">
        <f>H55</f>
        <v>4</v>
      </c>
      <c r="I60" s="27">
        <v>318.28</v>
      </c>
      <c r="J60" s="25"/>
      <c r="K60" s="25"/>
      <c r="L60" s="25"/>
      <c r="M60" s="12"/>
      <c r="N60" s="5"/>
      <c r="O60" s="5"/>
    </row>
    <row r="61" ht="28.3" customHeight="1" spans="1:15">
      <c r="A61" s="37"/>
      <c r="B61" s="24" t="s">
        <v>119</v>
      </c>
      <c r="C61" s="40"/>
      <c r="D61" s="40"/>
      <c r="E61" s="12"/>
      <c r="F61" s="17">
        <f t="shared" si="1"/>
        <v>0.06566</v>
      </c>
      <c r="G61" s="29" t="s">
        <v>83</v>
      </c>
      <c r="H61" s="29">
        <f>H60</f>
        <v>4</v>
      </c>
      <c r="I61" s="27">
        <v>164.15</v>
      </c>
      <c r="J61" s="25"/>
      <c r="K61" s="25"/>
      <c r="L61" s="25"/>
      <c r="M61" s="12"/>
      <c r="N61" s="5"/>
      <c r="O61" s="5"/>
    </row>
    <row r="62" ht="28.3" customHeight="1" spans="1:15">
      <c r="A62" s="37"/>
      <c r="B62" s="24" t="s">
        <v>120</v>
      </c>
      <c r="C62" s="40"/>
      <c r="D62" s="40"/>
      <c r="E62" s="12"/>
      <c r="F62" s="17">
        <f t="shared" si="1"/>
        <v>0.492152</v>
      </c>
      <c r="G62" s="29" t="s">
        <v>83</v>
      </c>
      <c r="H62" s="29">
        <v>8</v>
      </c>
      <c r="I62" s="27">
        <v>615.19</v>
      </c>
      <c r="J62" s="25"/>
      <c r="K62" s="25"/>
      <c r="L62" s="25"/>
      <c r="M62" s="12"/>
      <c r="N62" s="5"/>
      <c r="O62" s="5"/>
    </row>
    <row r="63" ht="36" customHeight="1" spans="1:15">
      <c r="A63" s="44"/>
      <c r="B63" s="24" t="s">
        <v>121</v>
      </c>
      <c r="C63" s="40"/>
      <c r="D63" s="40"/>
      <c r="E63" s="12"/>
      <c r="F63" s="17">
        <f t="shared" si="1"/>
        <v>1.033326</v>
      </c>
      <c r="G63" s="29" t="s">
        <v>83</v>
      </c>
      <c r="H63" s="29">
        <v>21</v>
      </c>
      <c r="I63" s="27">
        <v>492.06</v>
      </c>
      <c r="J63" s="25"/>
      <c r="K63" s="25"/>
      <c r="L63" s="25"/>
      <c r="M63" s="12"/>
      <c r="N63" s="5"/>
      <c r="O63" s="5"/>
    </row>
    <row r="64" ht="28.3" customHeight="1" spans="1:15">
      <c r="A64" s="44"/>
      <c r="B64" s="24" t="s">
        <v>122</v>
      </c>
      <c r="C64" s="40"/>
      <c r="D64" s="40"/>
      <c r="E64" s="12"/>
      <c r="F64" s="17">
        <f t="shared" si="1"/>
        <v>0.34913</v>
      </c>
      <c r="G64" s="29" t="s">
        <v>83</v>
      </c>
      <c r="H64" s="29">
        <f>H54</f>
        <v>10</v>
      </c>
      <c r="I64" s="27">
        <v>349.13</v>
      </c>
      <c r="J64" s="25"/>
      <c r="K64" s="25"/>
      <c r="L64" s="25"/>
      <c r="M64" s="12"/>
      <c r="N64" s="5"/>
      <c r="O64" s="5"/>
    </row>
    <row r="65" ht="28.3" customHeight="1" spans="1:15">
      <c r="A65" s="46">
        <v>2.3</v>
      </c>
      <c r="B65" s="47" t="s">
        <v>123</v>
      </c>
      <c r="C65" s="8"/>
      <c r="D65" s="8"/>
      <c r="E65" s="8"/>
      <c r="F65" s="8">
        <f>SUM(F66:F80)</f>
        <v>16.871892</v>
      </c>
      <c r="G65" s="18"/>
      <c r="H65" s="16"/>
      <c r="I65" s="19"/>
      <c r="J65" s="48"/>
      <c r="K65" s="49"/>
      <c r="L65" s="13"/>
      <c r="M65" s="48"/>
      <c r="N65" s="5"/>
      <c r="O65" s="5"/>
    </row>
    <row r="66" s="1" customFormat="1" ht="28.3" customHeight="1" spans="1:15">
      <c r="A66" s="50"/>
      <c r="B66" s="24" t="s">
        <v>124</v>
      </c>
      <c r="C66" s="24"/>
      <c r="D66" s="24"/>
      <c r="E66" s="24"/>
      <c r="F66" s="17">
        <f>H66*I66/10000</f>
        <v>0.244238</v>
      </c>
      <c r="G66" s="17" t="s">
        <v>83</v>
      </c>
      <c r="H66" s="17">
        <v>1</v>
      </c>
      <c r="I66" s="17">
        <v>2442.38</v>
      </c>
      <c r="J66" s="20"/>
      <c r="K66" s="23"/>
      <c r="L66" s="21"/>
      <c r="M66" s="20"/>
      <c r="N66" s="5"/>
      <c r="O66" s="5"/>
    </row>
    <row r="67" ht="28.3" customHeight="1" spans="1:15">
      <c r="A67" s="46"/>
      <c r="B67" s="24" t="s">
        <v>125</v>
      </c>
      <c r="C67" s="24"/>
      <c r="D67" s="24"/>
      <c r="E67" s="24"/>
      <c r="F67" s="17">
        <f t="shared" ref="F67:F80" si="2">H67*I67/10000</f>
        <v>0.028044</v>
      </c>
      <c r="G67" s="17" t="s">
        <v>83</v>
      </c>
      <c r="H67" s="17">
        <v>3</v>
      </c>
      <c r="I67" s="17">
        <v>93.48</v>
      </c>
      <c r="J67" s="48"/>
      <c r="K67" s="49"/>
      <c r="L67" s="13"/>
      <c r="M67" s="48"/>
      <c r="N67" s="5"/>
      <c r="O67" s="5"/>
    </row>
    <row r="68" ht="28.3" customHeight="1" spans="1:15">
      <c r="A68" s="46"/>
      <c r="B68" s="24" t="s">
        <v>126</v>
      </c>
      <c r="C68" s="24"/>
      <c r="D68" s="24"/>
      <c r="E68" s="24"/>
      <c r="F68" s="17">
        <f t="shared" si="2"/>
        <v>0.005804</v>
      </c>
      <c r="G68" s="17" t="s">
        <v>83</v>
      </c>
      <c r="H68" s="17">
        <v>2</v>
      </c>
      <c r="I68" s="17">
        <v>29.02</v>
      </c>
      <c r="J68" s="48"/>
      <c r="K68" s="49"/>
      <c r="L68" s="13"/>
      <c r="M68" s="48"/>
      <c r="N68" s="5"/>
      <c r="O68" s="5"/>
    </row>
    <row r="69" ht="28.3" customHeight="1" spans="1:15">
      <c r="A69" s="46"/>
      <c r="B69" s="24" t="s">
        <v>127</v>
      </c>
      <c r="C69" s="24"/>
      <c r="D69" s="24"/>
      <c r="E69" s="24"/>
      <c r="F69" s="17">
        <f t="shared" si="2"/>
        <v>0.01308</v>
      </c>
      <c r="G69" s="17" t="s">
        <v>83</v>
      </c>
      <c r="H69" s="17">
        <v>4</v>
      </c>
      <c r="I69" s="17">
        <v>32.7</v>
      </c>
      <c r="J69" s="48"/>
      <c r="K69" s="49"/>
      <c r="L69" s="13"/>
      <c r="M69" s="48"/>
      <c r="N69" s="5"/>
      <c r="O69" s="5"/>
    </row>
    <row r="70" ht="28.3" customHeight="1" spans="1:15">
      <c r="A70" s="46"/>
      <c r="B70" s="24" t="s">
        <v>128</v>
      </c>
      <c r="C70" s="24"/>
      <c r="D70" s="24"/>
      <c r="E70" s="24"/>
      <c r="F70" s="17">
        <f t="shared" si="2"/>
        <v>0.02183</v>
      </c>
      <c r="G70" s="17" t="s">
        <v>129</v>
      </c>
      <c r="H70" s="17">
        <v>5</v>
      </c>
      <c r="I70" s="17">
        <v>43.66</v>
      </c>
      <c r="J70" s="48"/>
      <c r="K70" s="49"/>
      <c r="L70" s="13"/>
      <c r="M70" s="48"/>
      <c r="N70" s="5"/>
      <c r="O70" s="5"/>
    </row>
    <row r="71" ht="28.3" customHeight="1" spans="1:15">
      <c r="A71" s="46"/>
      <c r="B71" s="24" t="s">
        <v>130</v>
      </c>
      <c r="C71" s="24"/>
      <c r="D71" s="24"/>
      <c r="E71" s="24"/>
      <c r="F71" s="17">
        <f t="shared" si="2"/>
        <v>0.0192</v>
      </c>
      <c r="G71" s="17" t="s">
        <v>129</v>
      </c>
      <c r="H71" s="17">
        <v>12</v>
      </c>
      <c r="I71" s="17">
        <v>16</v>
      </c>
      <c r="J71" s="48"/>
      <c r="K71" s="49"/>
      <c r="L71" s="13"/>
      <c r="M71" s="48"/>
      <c r="N71" s="5"/>
      <c r="O71" s="5"/>
    </row>
    <row r="72" ht="28.3" customHeight="1" spans="1:15">
      <c r="A72" s="46"/>
      <c r="B72" s="24" t="s">
        <v>131</v>
      </c>
      <c r="C72" s="24"/>
      <c r="D72" s="24"/>
      <c r="E72" s="24"/>
      <c r="F72" s="17">
        <f t="shared" si="2"/>
        <v>0.0372</v>
      </c>
      <c r="G72" s="17" t="s">
        <v>129</v>
      </c>
      <c r="H72" s="17">
        <v>25</v>
      </c>
      <c r="I72" s="17">
        <v>14.88</v>
      </c>
      <c r="J72" s="48"/>
      <c r="K72" s="49"/>
      <c r="L72" s="13"/>
      <c r="M72" s="48"/>
      <c r="N72" s="5"/>
      <c r="O72" s="5"/>
    </row>
    <row r="73" ht="28.3" customHeight="1" spans="1:15">
      <c r="A73" s="46"/>
      <c r="B73" s="24" t="s">
        <v>132</v>
      </c>
      <c r="C73" s="24"/>
      <c r="D73" s="24"/>
      <c r="E73" s="24"/>
      <c r="F73" s="17">
        <f t="shared" si="2"/>
        <v>0.48312</v>
      </c>
      <c r="G73" s="17" t="s">
        <v>129</v>
      </c>
      <c r="H73" s="17">
        <v>60</v>
      </c>
      <c r="I73" s="17">
        <v>80.52</v>
      </c>
      <c r="J73" s="48"/>
      <c r="K73" s="49"/>
      <c r="L73" s="13"/>
      <c r="M73" s="48"/>
      <c r="N73" s="5"/>
      <c r="O73" s="5"/>
    </row>
    <row r="74" ht="28.3" customHeight="1" spans="1:15">
      <c r="A74" s="46"/>
      <c r="B74" s="24" t="s">
        <v>133</v>
      </c>
      <c r="C74" s="24"/>
      <c r="D74" s="24"/>
      <c r="E74" s="24"/>
      <c r="F74" s="17">
        <f t="shared" si="2"/>
        <v>15.037</v>
      </c>
      <c r="G74" s="17" t="s">
        <v>129</v>
      </c>
      <c r="H74" s="17">
        <v>550</v>
      </c>
      <c r="I74" s="17">
        <v>273.4</v>
      </c>
      <c r="J74" s="48"/>
      <c r="K74" s="49"/>
      <c r="L74" s="13"/>
      <c r="M74" s="48"/>
      <c r="N74" s="5"/>
      <c r="O74" s="5"/>
    </row>
    <row r="75" ht="28.3" customHeight="1" spans="1:15">
      <c r="A75" s="46"/>
      <c r="B75" s="24" t="s">
        <v>134</v>
      </c>
      <c r="C75" s="24"/>
      <c r="D75" s="24"/>
      <c r="E75" s="24"/>
      <c r="F75" s="17">
        <f t="shared" si="2"/>
        <v>0.114912</v>
      </c>
      <c r="G75" s="17" t="s">
        <v>129</v>
      </c>
      <c r="H75" s="17">
        <v>42</v>
      </c>
      <c r="I75" s="17">
        <v>27.36</v>
      </c>
      <c r="J75" s="48"/>
      <c r="K75" s="49"/>
      <c r="L75" s="13"/>
      <c r="M75" s="48"/>
      <c r="N75" s="5"/>
      <c r="O75" s="5"/>
    </row>
    <row r="76" ht="28.3" customHeight="1" spans="1:15">
      <c r="A76" s="46"/>
      <c r="B76" s="24" t="s">
        <v>135</v>
      </c>
      <c r="C76" s="24"/>
      <c r="D76" s="24"/>
      <c r="E76" s="24"/>
      <c r="F76" s="17">
        <f t="shared" si="2"/>
        <v>0.239246</v>
      </c>
      <c r="G76" s="17" t="s">
        <v>129</v>
      </c>
      <c r="H76" s="17">
        <v>23</v>
      </c>
      <c r="I76" s="17">
        <v>104.02</v>
      </c>
      <c r="J76" s="48"/>
      <c r="K76" s="49"/>
      <c r="L76" s="13"/>
      <c r="M76" s="48"/>
      <c r="N76" s="5"/>
      <c r="O76" s="5"/>
    </row>
    <row r="77" ht="28.3" customHeight="1" spans="1:15">
      <c r="A77" s="46"/>
      <c r="B77" s="24" t="s">
        <v>136</v>
      </c>
      <c r="C77" s="24"/>
      <c r="D77" s="24"/>
      <c r="E77" s="24"/>
      <c r="F77" s="17">
        <f t="shared" si="2"/>
        <v>0.32604</v>
      </c>
      <c r="G77" s="17" t="s">
        <v>129</v>
      </c>
      <c r="H77" s="17">
        <v>60</v>
      </c>
      <c r="I77" s="17">
        <v>54.34</v>
      </c>
      <c r="J77" s="48"/>
      <c r="K77" s="49"/>
      <c r="L77" s="13"/>
      <c r="M77" s="48"/>
      <c r="N77" s="5"/>
      <c r="O77" s="5"/>
    </row>
    <row r="78" ht="28.3" customHeight="1" spans="1:15">
      <c r="A78" s="46"/>
      <c r="B78" s="24" t="s">
        <v>137</v>
      </c>
      <c r="C78" s="24"/>
      <c r="D78" s="24"/>
      <c r="E78" s="24"/>
      <c r="F78" s="17">
        <f t="shared" si="2"/>
        <v>0.1439</v>
      </c>
      <c r="G78" s="17" t="s">
        <v>129</v>
      </c>
      <c r="H78" s="17">
        <v>25</v>
      </c>
      <c r="I78" s="17">
        <v>57.56</v>
      </c>
      <c r="J78" s="48"/>
      <c r="K78" s="49"/>
      <c r="L78" s="13"/>
      <c r="M78" s="48"/>
      <c r="N78" s="5"/>
      <c r="O78" s="5"/>
    </row>
    <row r="79" ht="28.3" customHeight="1" spans="1:15">
      <c r="A79" s="46"/>
      <c r="B79" s="24" t="s">
        <v>138</v>
      </c>
      <c r="C79" s="24"/>
      <c r="D79" s="24"/>
      <c r="E79" s="24"/>
      <c r="F79" s="17">
        <f t="shared" si="2"/>
        <v>0.152875</v>
      </c>
      <c r="G79" s="17" t="s">
        <v>129</v>
      </c>
      <c r="H79" s="17">
        <v>25</v>
      </c>
      <c r="I79" s="17">
        <v>61.15</v>
      </c>
      <c r="J79" s="48"/>
      <c r="K79" s="49"/>
      <c r="L79" s="13"/>
      <c r="M79" s="48"/>
      <c r="N79" s="5"/>
      <c r="O79" s="5"/>
    </row>
    <row r="80" ht="28.3" customHeight="1" spans="1:15">
      <c r="A80" s="46"/>
      <c r="B80" s="24" t="s">
        <v>139</v>
      </c>
      <c r="C80" s="24"/>
      <c r="D80" s="24"/>
      <c r="E80" s="24"/>
      <c r="F80" s="17">
        <f t="shared" si="2"/>
        <v>0.005403</v>
      </c>
      <c r="G80" s="17" t="s">
        <v>83</v>
      </c>
      <c r="H80" s="17">
        <v>1</v>
      </c>
      <c r="I80" s="17">
        <v>54.03</v>
      </c>
      <c r="J80" s="48"/>
      <c r="K80" s="49"/>
      <c r="L80" s="13"/>
      <c r="M80" s="48"/>
      <c r="N80" s="5"/>
      <c r="O80" s="5"/>
    </row>
    <row r="81" ht="28.3" customHeight="1" spans="1:16">
      <c r="A81" s="46" t="s">
        <v>13</v>
      </c>
      <c r="B81" s="47" t="s">
        <v>9</v>
      </c>
      <c r="C81" s="8"/>
      <c r="D81" s="8"/>
      <c r="E81" s="8"/>
      <c r="F81" s="8">
        <f>SUM(F82:F88)</f>
        <v>49.978847602035</v>
      </c>
      <c r="G81" s="18"/>
      <c r="H81" s="16"/>
      <c r="I81" s="19"/>
      <c r="J81" s="48"/>
      <c r="K81" s="49"/>
      <c r="L81" s="13">
        <f>F81/F4</f>
        <v>0.053926206244087</v>
      </c>
      <c r="M81" s="48"/>
      <c r="N81" s="5"/>
      <c r="O81" s="5"/>
    </row>
    <row r="82" ht="28.3" customHeight="1" spans="1:16">
      <c r="A82" s="51">
        <v>1</v>
      </c>
      <c r="B82" s="45" t="s">
        <v>140</v>
      </c>
      <c r="C82" s="52" t="s">
        <v>141</v>
      </c>
      <c r="D82" s="52"/>
      <c r="E82" s="52"/>
      <c r="F82" s="17">
        <f>F5*2.3%</f>
        <v>20.166903418365</v>
      </c>
      <c r="G82" s="53"/>
      <c r="H82" s="12"/>
      <c r="I82" s="28"/>
      <c r="J82" s="12"/>
      <c r="K82" s="29"/>
      <c r="L82" s="13"/>
      <c r="M82" s="54"/>
      <c r="N82" s="5"/>
      <c r="O82" s="5"/>
      <c r="P82" s="55"/>
    </row>
    <row r="83" ht="28.3" customHeight="1" spans="1:16">
      <c r="A83" s="51">
        <v>2</v>
      </c>
      <c r="B83" s="45" t="s">
        <v>142</v>
      </c>
      <c r="C83" s="52" t="s">
        <v>143</v>
      </c>
      <c r="D83" s="52"/>
      <c r="E83" s="52"/>
      <c r="F83" s="17">
        <f>F5*1.4%</f>
        <v>12.27550642857</v>
      </c>
      <c r="G83" s="12"/>
      <c r="H83" s="12"/>
      <c r="I83" s="28"/>
      <c r="J83" s="12"/>
      <c r="K83" s="29"/>
      <c r="L83" s="13"/>
      <c r="M83" s="54"/>
      <c r="N83" s="5"/>
      <c r="O83" s="5"/>
    </row>
    <row r="84" ht="28.3" customHeight="1" spans="1:16">
      <c r="A84" s="51">
        <v>3</v>
      </c>
      <c r="B84" s="45" t="s">
        <v>144</v>
      </c>
      <c r="C84" s="52" t="s">
        <v>145</v>
      </c>
      <c r="D84" s="52"/>
      <c r="E84" s="52"/>
      <c r="F84" s="17">
        <f>F5*0.3%</f>
        <v>2.630465663265</v>
      </c>
      <c r="G84" s="12"/>
      <c r="H84" s="12"/>
      <c r="I84" s="28"/>
      <c r="J84" s="12"/>
      <c r="K84" s="29"/>
      <c r="L84" s="13"/>
      <c r="M84" s="54"/>
      <c r="N84" s="5"/>
      <c r="O84" s="5"/>
    </row>
    <row r="85" ht="28.3" customHeight="1" spans="1:16">
      <c r="A85" s="51">
        <v>4</v>
      </c>
      <c r="B85" s="45" t="s">
        <v>146</v>
      </c>
      <c r="C85" s="52" t="s">
        <v>145</v>
      </c>
      <c r="D85" s="52"/>
      <c r="E85" s="52"/>
      <c r="F85" s="17">
        <f>F5*0.3%</f>
        <v>2.630465663265</v>
      </c>
      <c r="G85" s="12"/>
      <c r="H85" s="12"/>
      <c r="I85" s="28"/>
      <c r="J85" s="12"/>
      <c r="K85" s="29"/>
      <c r="L85" s="13"/>
      <c r="M85" s="54"/>
      <c r="N85" s="5"/>
      <c r="O85" s="5"/>
    </row>
    <row r="86" ht="28.3" customHeight="1" spans="1:16">
      <c r="A86" s="51">
        <v>5</v>
      </c>
      <c r="B86" s="56" t="s">
        <v>147</v>
      </c>
      <c r="C86" s="52" t="s">
        <v>148</v>
      </c>
      <c r="D86" s="52"/>
      <c r="E86" s="52"/>
      <c r="F86" s="17">
        <f>F5*0.2%</f>
        <v>1.75364377551</v>
      </c>
      <c r="G86" s="12"/>
      <c r="H86" s="12"/>
      <c r="I86" s="28"/>
      <c r="J86" s="12"/>
      <c r="K86" s="29"/>
      <c r="L86" s="13"/>
      <c r="M86" s="54"/>
      <c r="N86" s="5"/>
      <c r="O86" s="5"/>
      <c r="P86" s="55"/>
    </row>
    <row r="87" ht="28.3" customHeight="1" spans="1:16">
      <c r="A87" s="51">
        <v>6</v>
      </c>
      <c r="B87" s="45" t="s">
        <v>149</v>
      </c>
      <c r="C87" s="52" t="s">
        <v>150</v>
      </c>
      <c r="D87" s="52"/>
      <c r="E87" s="52"/>
      <c r="F87" s="17">
        <f>F5*0.4%</f>
        <v>3.50728755102</v>
      </c>
      <c r="G87" s="53"/>
      <c r="H87" s="12"/>
      <c r="I87" s="28"/>
      <c r="J87" s="12"/>
      <c r="K87" s="29"/>
      <c r="L87" s="13"/>
      <c r="M87" s="54"/>
      <c r="N87" s="5"/>
      <c r="O87" s="5"/>
    </row>
    <row r="88" ht="28.3" customHeight="1" spans="1:16">
      <c r="A88" s="51">
        <v>7</v>
      </c>
      <c r="B88" s="45" t="s">
        <v>151</v>
      </c>
      <c r="C88" s="52" t="s">
        <v>152</v>
      </c>
      <c r="D88" s="52"/>
      <c r="E88" s="52"/>
      <c r="F88" s="17">
        <f>F5*0.8%</f>
        <v>7.01457510204</v>
      </c>
      <c r="G88" s="9"/>
      <c r="H88" s="9"/>
      <c r="I88" s="57"/>
      <c r="J88" s="9"/>
      <c r="K88" s="9"/>
      <c r="L88" s="13"/>
      <c r="M88" s="20"/>
      <c r="N88" s="5"/>
      <c r="O88" s="5"/>
    </row>
  </sheetData>
  <mergeCells count="16">
    <mergeCell ref="A1:M1"/>
    <mergeCell ref="C2:F2"/>
    <mergeCell ref="G2:I2"/>
    <mergeCell ref="J2:K2"/>
    <mergeCell ref="A4:E4"/>
    <mergeCell ref="C82:E82"/>
    <mergeCell ref="C83:E83"/>
    <mergeCell ref="C84:E84"/>
    <mergeCell ref="C85:E85"/>
    <mergeCell ref="C86:E86"/>
    <mergeCell ref="C87:E87"/>
    <mergeCell ref="C88:E88"/>
    <mergeCell ref="A2:A3"/>
    <mergeCell ref="B2:B3"/>
    <mergeCell ref="L2:L3"/>
    <mergeCell ref="M2:M3"/>
  </mergeCells>
  <pageMargins left="0.708333333333333" right="0.550694444444444" top="0.629861111111111" bottom="0.550694444444444" header="0.31496062992126" footer="0.550694444444444"/>
  <pageSetup paperSize="9" scale="49" orientation="landscape"/>
  <headerFooter/>
  <rowBreaks count="4" manualBreakCount="4">
    <brk id="35" max="12" man="1"/>
    <brk id="67" max="12" man="1"/>
    <brk id="88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概算表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故事里有个你</cp:lastModifiedBy>
  <dcterms:created xsi:type="dcterms:W3CDTF">2024-09-26T16:23:00Z</dcterms:created>
  <cp:lastPrinted>2024-10-09T10:00:00Z</cp:lastPrinted>
  <dcterms:modified xsi:type="dcterms:W3CDTF">2025-12-08T07:04:55Z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2024-09-26T08:23:18Z</vt:filetime>
  </property>
  <property fmtid="{D5CDD505-2E9C-101B-9397-08002B2CF9AE}" pid="4" name="ICV">
    <vt:lpwstr>B4ED44FD1A904CFB85C2AECE1E24D00F_13</vt:lpwstr>
  </property>
  <property fmtid="{D5CDD505-2E9C-101B-9397-08002B2CF9AE}" pid="5" name="KSOProductBuildVer">
    <vt:lpwstr>2052-12.1.0.23542</vt:lpwstr>
  </property>
  <property fmtid="{D5CDD505-2E9C-101B-9397-08002B2CF9AE}" pid="6" name="CalculationRule">
    <vt:i4>0</vt:i4>
  </property>
</Properties>
</file>