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tabRatio="807" activeTab="1"/>
  </bookViews>
  <sheets>
    <sheet name="总估算表" sheetId="32" r:id="rId1"/>
    <sheet name="估算表" sheetId="31" r:id="rId2"/>
  </sheets>
  <externalReferences>
    <externalReference r:id="rId3"/>
  </externalReferences>
  <definedNames>
    <definedName name="_xlnm._FilterDatabase" localSheetId="1" hidden="1">估算表!$A$1:$J$43</definedName>
    <definedName name="_xlnm.Print_Titles" localSheetId="1">估算表!$1:$3</definedName>
    <definedName name="_xlnm.Print_Area" localSheetId="1">估算表!$A$1:$J$43</definedName>
    <definedName name="heji" localSheetId="1">估算表!#REF!</definedName>
    <definedName name="hej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<sst xmlns="http://schemas.openxmlformats.org/spreadsheetml/2006/main" count="189" uniqueCount="161">
  <si>
    <t>总估算表</t>
  </si>
  <si>
    <r>
      <rPr>
        <sz val="12"/>
        <rFont val="宋体"/>
        <charset val="134"/>
      </rPr>
      <t>表</t>
    </r>
    <r>
      <rPr>
        <sz val="12"/>
        <rFont val="Times New Roman"/>
        <charset val="0"/>
      </rPr>
      <t>1</t>
    </r>
  </si>
  <si>
    <t>序
号</t>
  </si>
  <si>
    <t>项目名称</t>
  </si>
  <si>
    <t>估算价值（万元）</t>
  </si>
  <si>
    <t>技术经济指标（元）</t>
  </si>
  <si>
    <r>
      <rPr>
        <sz val="12"/>
        <rFont val="宋体"/>
        <charset val="134"/>
      </rPr>
      <t>占投
资额（</t>
    </r>
    <r>
      <rPr>
        <sz val="12"/>
        <rFont val="Times New Roman"/>
        <charset val="0"/>
      </rPr>
      <t>%</t>
    </r>
    <r>
      <rPr>
        <sz val="12"/>
        <rFont val="宋体"/>
        <charset val="134"/>
      </rPr>
      <t>）</t>
    </r>
  </si>
  <si>
    <t>建筑工程</t>
  </si>
  <si>
    <t>安装工程</t>
  </si>
  <si>
    <t>其他费用</t>
  </si>
  <si>
    <t>合计</t>
  </si>
  <si>
    <t>单位</t>
  </si>
  <si>
    <t>数量</t>
  </si>
  <si>
    <t>单位价值</t>
  </si>
  <si>
    <t>平罗县鼓楼东西街老旧街区改造项目估算表</t>
  </si>
  <si>
    <t>序号</t>
  </si>
  <si>
    <t>工程或费用名称</t>
  </si>
  <si>
    <t>估  算  价  值（万元）</t>
  </si>
  <si>
    <t>建筑工程费</t>
  </si>
  <si>
    <t>安装工程费</t>
  </si>
  <si>
    <t>设备购置费</t>
  </si>
  <si>
    <t>其它费用</t>
  </si>
  <si>
    <t>指标</t>
  </si>
  <si>
    <t>一</t>
  </si>
  <si>
    <t>工程费用</t>
  </si>
  <si>
    <t>（一）</t>
  </si>
  <si>
    <t>翰林大街立面提升</t>
  </si>
  <si>
    <t>翰林大街沿街商铺台阶及立面改造</t>
  </si>
  <si>
    <t>m</t>
  </si>
  <si>
    <t>翰林大街沿街人行道路（面包砖）</t>
  </si>
  <si>
    <t>㎡</t>
  </si>
  <si>
    <t>翰林大街沿街绿化改造</t>
  </si>
  <si>
    <t>飞线整治</t>
  </si>
  <si>
    <t>套</t>
  </si>
  <si>
    <t>（二）</t>
  </si>
  <si>
    <t>唐徕渠沿岸提升</t>
  </si>
  <si>
    <t>沿唐徕渠旁围墙内院落改绿化林带</t>
  </si>
  <si>
    <t>翰林大街西侧，唐徕渠北侧</t>
  </si>
  <si>
    <t>翰林大街东侧，唐徕渠南侧</t>
  </si>
  <si>
    <t>鼓楼南街西侧，唐徕渠南侧</t>
  </si>
  <si>
    <t>沿唐徕渠破旧慢行步道改造修复</t>
  </si>
  <si>
    <t>鼓楼南街东侧唐徕渠桥头至东苑街，唐徕渠北侧</t>
  </si>
  <si>
    <t>鼓楼东街北侧唐徕渠桥头至团结东路，唐徕渠两侧</t>
  </si>
  <si>
    <t>沿唐徕渠破旧慢行步道改造修复（含灌木绿化）</t>
  </si>
  <si>
    <t>东苑街东侧唐徕渠桥头至鼓楼东街，唐徕渠两侧</t>
  </si>
  <si>
    <t>团结东路北侧唐徕渠桥头至玉龚路，唐徕渠西侧</t>
  </si>
  <si>
    <t>（三）</t>
  </si>
  <si>
    <t>鼓楼街区周边主次干道沿街商铺</t>
  </si>
  <si>
    <t>沿街商铺前台阶破损</t>
  </si>
  <si>
    <t>处</t>
  </si>
  <si>
    <t>黑色路面破损</t>
  </si>
  <si>
    <t>道牙石</t>
  </si>
  <si>
    <t>人行道</t>
  </si>
  <si>
    <t>树框</t>
  </si>
  <si>
    <t>个</t>
  </si>
  <si>
    <t>二</t>
  </si>
  <si>
    <t>工程建设其它费用</t>
  </si>
  <si>
    <t>建设单位管理费</t>
  </si>
  <si>
    <t>万元</t>
  </si>
  <si>
    <t>地质勘察测量费</t>
  </si>
  <si>
    <t>设计费</t>
  </si>
  <si>
    <t>BIM模型、审查</t>
  </si>
  <si>
    <t>施工图设计审查费</t>
  </si>
  <si>
    <t>清单及招标控制价编制</t>
  </si>
  <si>
    <t>财务决算编制、审核</t>
  </si>
  <si>
    <t>竣工结算审核</t>
  </si>
  <si>
    <t>工程招标服务费</t>
  </si>
  <si>
    <t>工程监理费</t>
  </si>
  <si>
    <t>可研编制评估费</t>
  </si>
  <si>
    <t>环境影响咨询评价</t>
  </si>
  <si>
    <t>建设工程质量检测试验费</t>
  </si>
  <si>
    <t>三</t>
  </si>
  <si>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预备费</t>
    </r>
    <r>
      <rPr>
        <b/>
        <sz val="12"/>
        <rFont val="Times New Roman"/>
        <charset val="134"/>
      </rPr>
      <t>6%</t>
    </r>
  </si>
  <si>
    <t>四</t>
  </si>
  <si>
    <t>项目总投资</t>
  </si>
  <si>
    <t>五</t>
  </si>
  <si>
    <t>投资比(%)</t>
  </si>
  <si>
    <t>混凝土道路破坏及恢复（恢复为沥青路面）</t>
  </si>
  <si>
    <t>地砖道路破坏及恢复（恢复为面包砖）</t>
  </si>
  <si>
    <t>四分类垃圾箱（小）</t>
  </si>
  <si>
    <t>聚乙烯PE100管 De110（主管道）</t>
  </si>
  <si>
    <t>混凝土道路破坏及恢复（恢复为面包砖）</t>
  </si>
  <si>
    <t>四分类垃圾箱（大）</t>
  </si>
  <si>
    <t>聚乙烯PE100管 De110（预埋管）</t>
  </si>
  <si>
    <t>地砖道路破坏及恢复（恢复为沥青路面）</t>
  </si>
  <si>
    <t>太阳能路灯</t>
  </si>
  <si>
    <t>聚乙烯PE100管 De160（主管道）</t>
  </si>
  <si>
    <t>绿化破坏及恢复（原状恢复）</t>
  </si>
  <si>
    <t>微型消防站</t>
  </si>
  <si>
    <t>聚乙烯PE100管 De160（预埋管）</t>
  </si>
  <si>
    <t>面包砖破坏及恢复（恢复为面包砖）</t>
  </si>
  <si>
    <t>围栏更换（铁制格栅围栏）</t>
  </si>
  <si>
    <t>聚乙烯PE100管 De75（主管道）</t>
  </si>
  <si>
    <t>混凝土路破坏及恢复（恢复为沥青路面）</t>
  </si>
  <si>
    <t>阳光车棚地面整平及车棚搭建</t>
  </si>
  <si>
    <t>聚乙烯PE100管 De63   (主管道)</t>
  </si>
  <si>
    <t>绿化工程</t>
  </si>
  <si>
    <t>聚乙烯PE100管 De63（预埋管）</t>
  </si>
  <si>
    <t>预制保温塑料管 dn250（管材PE-RT Ⅱ,管系列为S5/SDR11）</t>
  </si>
  <si>
    <t>门房拆除</t>
  </si>
  <si>
    <t>聚乙烯PE100管 De32(预埋管)</t>
  </si>
  <si>
    <t>预制保温塑料管 dn200（管材PE-RT Ⅱ,管系列为S5/SDR11）</t>
  </si>
  <si>
    <t>门房拆除及新建</t>
  </si>
  <si>
    <t>矩形钢筋混凝土阀门井 1800×1600</t>
  </si>
  <si>
    <t>预制保温塑料管 dn160（管材PE-RT Ⅱ,管系列为S5/SDR11）</t>
  </si>
  <si>
    <t>门房拆除及整平</t>
  </si>
  <si>
    <t>矩形钢筋混凝土绿化井 1800×1600</t>
  </si>
  <si>
    <t>预制保温塑料管 dn125（管材PE-RT Ⅱ,管系列为S5/SDR11）</t>
  </si>
  <si>
    <t>门房车棚拆除整平</t>
  </si>
  <si>
    <t>矩形钢筋混凝土水表井 2000×1600</t>
  </si>
  <si>
    <t>预制保温塑料管 dn110（管材PE-RT Ⅱ,管系列为S5/SDR11）</t>
  </si>
  <si>
    <t>门房及车库拆除</t>
  </si>
  <si>
    <t>矩形钢筋混凝土消火栓井 2000×1600</t>
  </si>
  <si>
    <t>预制保温塑料管 dn90（管材PE-RT Ⅱ,管系列为S5/SDR11）</t>
  </si>
  <si>
    <t>门房通暖</t>
  </si>
  <si>
    <t>超声波水表 DN100</t>
  </si>
  <si>
    <t>预制保温塑料管 dn75（管材PE-RT Ⅱ,管系列为S5/SDR11）</t>
  </si>
  <si>
    <t>南苑更换大门3.04米（大套小）</t>
  </si>
  <si>
    <t>超声波水表 DN150</t>
  </si>
  <si>
    <t>预制保温塑料管 dn63（管材PE-RT Ⅱ,管系列为S5/SDR11）</t>
  </si>
  <si>
    <t>社区服务中心拆除及新建</t>
  </si>
  <si>
    <t>超声波水表 DN63</t>
  </si>
  <si>
    <t>预制保温塑料管 dn75（楼道立管）</t>
  </si>
  <si>
    <t>树池破坏及恢复1.5x1.5m（花岗岩树框）</t>
  </si>
  <si>
    <t>SA100-1.0式消火栓 DN100</t>
  </si>
  <si>
    <t>预制保温塑料管 dn32</t>
  </si>
  <si>
    <t>现状管拆除（给水-室外）</t>
  </si>
  <si>
    <t>钢筋混凝土进户井 2X2X1.8m（钢制整体通径软密封闸阀*3，自力式流量平衡阀*1，旁通阀*1，过滤器*1）</t>
  </si>
  <si>
    <t>现状井拆除（给水-室外）</t>
  </si>
  <si>
    <t>钢筋混凝土分支井 2X2X1.8m（钢制整体通径软密封闸阀*3，自力式流量平衡阀*1，旁通阀*1，过滤器*1）</t>
  </si>
  <si>
    <t>楼道地面破坏及恢复</t>
  </si>
  <si>
    <t>Ⅱ级钢筋混凝土管 d300（主管道）</t>
  </si>
  <si>
    <t>现状管拆除（供热-室外）</t>
  </si>
  <si>
    <t>Ⅱ级钢筋混凝土管 d300（预埋管）</t>
  </si>
  <si>
    <t>现状管拆除（楼道内）</t>
  </si>
  <si>
    <t>Ⅱ级钢筋混凝土管 d300（连接管）</t>
  </si>
  <si>
    <t>现状井拆除（供热-室外）</t>
  </si>
  <si>
    <t>Ⅱ级钢筋混凝土管 d400（主管道）</t>
  </si>
  <si>
    <t>过路保护套管过路保护套管 D426×7</t>
  </si>
  <si>
    <t>Ⅱ级钢筋混凝土管 d400（预埋管）</t>
  </si>
  <si>
    <t>球形锁闭阀 DN25</t>
  </si>
  <si>
    <t>HDPE高密度聚乙烯双壁波纹管 De315</t>
  </si>
  <si>
    <t>过滤器 DN25</t>
  </si>
  <si>
    <t>圆形混凝土污水检查井 ∅1000</t>
  </si>
  <si>
    <t>玻璃钢化粪池 (2m³)</t>
  </si>
  <si>
    <t>玻璃钢化粪池 (6m³)</t>
  </si>
  <si>
    <t>玻璃钢化粪池 (9m³)</t>
  </si>
  <si>
    <t>玻璃钢化粪池 (12m³)</t>
  </si>
  <si>
    <t>玻璃钢化粪池 (16m³)</t>
  </si>
  <si>
    <t>玻璃钢化粪池 (20m³)</t>
  </si>
  <si>
    <t>玻璃钢化粪池 (25m³)</t>
  </si>
  <si>
    <t>玻璃钢化粪池 (30m³)</t>
  </si>
  <si>
    <t>玻璃钢化粪池 (40m³)</t>
  </si>
  <si>
    <t>玻璃钢化粪池 (50m³)</t>
  </si>
  <si>
    <t>现状管拆除（污水-室外）</t>
  </si>
  <si>
    <t>现状井拆除（污水-室外）</t>
  </si>
  <si>
    <t>管线保护</t>
  </si>
  <si>
    <t>单箅雨水口</t>
  </si>
  <si>
    <t>现状化粪池拆除</t>
  </si>
  <si>
    <t>圆形混凝土雨水检查井 ∅1000</t>
  </si>
  <si>
    <t>隔油池 GY-1F (1.5m³)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</si>
</sst>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  <numFmt numFmtId="179" formatCode="0.0_);[Red]\(0.0\)"/>
  </numFmts>
  <fonts count="33">
    <font>
      <sz val="11"/>
      <color indexed="8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SimSun"/>
      <charset val="134"/>
    </font>
    <font>
      <b/>
      <sz val="12"/>
      <name val="Times New Roman"/>
      <charset val="134"/>
    </font>
    <font>
      <sz val="14"/>
      <name val="等线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theme="1"/>
      <name val="等线"/>
      <charset val="134"/>
      <scheme val="minor"/>
    </font>
    <font>
      <sz val="12"/>
      <name val="Times New Roman"/>
      <charset val="0"/>
    </font>
  </fonts>
  <fills count="36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8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 applyBorder="0"/>
  </cellStyleXfs>
  <cellXfs count="56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4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left" vertical="center"/>
    </xf>
    <xf numFmtId="176" fontId="5" fillId="0" borderId="3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left"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left" vertical="center"/>
    </xf>
    <xf numFmtId="177" fontId="5" fillId="0" borderId="3" xfId="0" applyNumberFormat="1" applyFont="1" applyFill="1" applyBorder="1" applyAlignment="1">
      <alignment horizontal="left" vertical="center" wrapText="1"/>
    </xf>
    <xf numFmtId="177" fontId="6" fillId="0" borderId="3" xfId="0" applyNumberFormat="1" applyFont="1" applyFill="1" applyBorder="1" applyAlignment="1">
      <alignment horizontal="left" vertical="center" wrapText="1"/>
    </xf>
    <xf numFmtId="177" fontId="7" fillId="0" borderId="3" xfId="0" applyNumberFormat="1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left" vertical="center"/>
    </xf>
    <xf numFmtId="178" fontId="4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2" fillId="3" borderId="0" xfId="0" applyFont="1" applyFill="1" applyBorder="1">
      <alignment vertical="center"/>
    </xf>
    <xf numFmtId="0" fontId="1" fillId="4" borderId="0" xfId="0" applyFont="1" applyFill="1" applyBorder="1">
      <alignment vertical="center"/>
    </xf>
    <xf numFmtId="10" fontId="5" fillId="0" borderId="3" xfId="0" applyNumberFormat="1" applyFont="1" applyFill="1" applyBorder="1" applyAlignment="1">
      <alignment horizontal="center" vertical="center"/>
    </xf>
    <xf numFmtId="10" fontId="4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0" fillId="0" borderId="4" xfId="0" applyFont="1" applyFill="1" applyBorder="1" applyAlignment="1">
      <alignment horizontal="centerContinuous" vertical="center"/>
    </xf>
    <xf numFmtId="0" fontId="10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177" fontId="5" fillId="0" borderId="0" xfId="0" applyNumberFormat="1" applyFont="1" applyFill="1" applyAlignment="1"/>
    <xf numFmtId="0" fontId="9" fillId="0" borderId="0" xfId="0" applyFont="1" applyFill="1" applyAlignment="1"/>
    <xf numFmtId="0" fontId="5" fillId="0" borderId="4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right" vertical="center"/>
    </xf>
    <xf numFmtId="179" fontId="5" fillId="0" borderId="3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2531;&#23384;\WeChat%20Files\wxid_gkpt2j4xj22f22\FileStorage\File\2025-04\&#27004;&#26412;&#20307;&#25913;&#36896;&#20272;&#31639;&#34920;2025.3.3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估算表"/>
      <sheetName val="综合估算表"/>
      <sheetName val="Sheet1"/>
    </sheetNames>
    <sheetDataSet>
      <sheetData sheetId="0"/>
      <sheetData sheetId="1">
        <row r="4">
          <cell r="E4" t="str">
            <v>设备购置</v>
          </cell>
        </row>
        <row r="5">
          <cell r="A5" t="str">
            <v>一</v>
          </cell>
          <cell r="B5" t="str">
            <v>工程费用</v>
          </cell>
        </row>
        <row r="237">
          <cell r="A237" t="str">
            <v>二</v>
          </cell>
          <cell r="B237" t="str">
            <v>其他费用</v>
          </cell>
        </row>
        <row r="249">
          <cell r="A249" t="str">
            <v>三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8"/>
  <sheetViews>
    <sheetView workbookViewId="0">
      <selection activeCell="K12" sqref="A3:K12"/>
    </sheetView>
  </sheetViews>
  <sheetFormatPr defaultColWidth="8.70833333333333" defaultRowHeight="14.25"/>
  <cols>
    <col min="1" max="1" width="4.625" style="39" customWidth="1"/>
    <col min="2" max="2" width="11.375" style="38" customWidth="1"/>
    <col min="3" max="3" width="9.5" style="38" customWidth="1"/>
    <col min="4" max="5" width="9.25" style="38" customWidth="1"/>
    <col min="6" max="6" width="8.5" style="38" customWidth="1"/>
    <col min="7" max="7" width="9.25" style="38" customWidth="1"/>
    <col min="8" max="8" width="5.875" style="38" customWidth="1"/>
    <col min="9" max="9" width="6.625" style="38" customWidth="1"/>
    <col min="10" max="10" width="9" style="38" customWidth="1"/>
    <col min="11" max="11" width="7" style="38" customWidth="1"/>
    <col min="12" max="16384" width="8.75" style="38"/>
  </cols>
  <sheetData>
    <row r="1" s="38" customFormat="1" ht="38.25" customHeight="1" spans="1:11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9"/>
    </row>
    <row r="2" s="38" customFormat="1" ht="19.9" customHeight="1" spans="1:11">
      <c r="A2" s="42"/>
      <c r="B2" s="43"/>
      <c r="C2" s="43"/>
      <c r="D2" s="44"/>
      <c r="E2" s="44"/>
      <c r="F2" s="44"/>
      <c r="G2" s="44"/>
      <c r="H2" s="44"/>
      <c r="I2" s="44"/>
      <c r="J2" s="50" t="s">
        <v>1</v>
      </c>
      <c r="K2" s="50"/>
    </row>
    <row r="3" s="38" customFormat="1" ht="19.9" customHeight="1" spans="1:11">
      <c r="A3" s="45" t="s">
        <v>2</v>
      </c>
      <c r="B3" s="45" t="s">
        <v>3</v>
      </c>
      <c r="C3" s="46" t="s">
        <v>4</v>
      </c>
      <c r="D3" s="46"/>
      <c r="E3" s="46"/>
      <c r="F3" s="46"/>
      <c r="G3" s="46"/>
      <c r="H3" s="46" t="s">
        <v>5</v>
      </c>
      <c r="I3" s="46"/>
      <c r="J3" s="46"/>
      <c r="K3" s="51" t="s">
        <v>6</v>
      </c>
    </row>
    <row r="4" s="38" customFormat="1" ht="24.75" customHeight="1" spans="1:11">
      <c r="A4" s="46"/>
      <c r="B4" s="46"/>
      <c r="C4" s="46" t="s">
        <v>7</v>
      </c>
      <c r="D4" s="46" t="s">
        <v>8</v>
      </c>
      <c r="E4" s="46" t="str">
        <f>[1]综合估算表!E4</f>
        <v>设备购置</v>
      </c>
      <c r="F4" s="46" t="s">
        <v>9</v>
      </c>
      <c r="G4" s="46" t="s">
        <v>10</v>
      </c>
      <c r="H4" s="46" t="s">
        <v>11</v>
      </c>
      <c r="I4" s="46" t="s">
        <v>12</v>
      </c>
      <c r="J4" s="46" t="s">
        <v>13</v>
      </c>
      <c r="K4" s="52"/>
    </row>
    <row r="5" s="38" customFormat="1" ht="19.9" customHeight="1" spans="1:11">
      <c r="A5" s="46"/>
      <c r="B5" s="46"/>
      <c r="C5" s="46"/>
      <c r="D5" s="46"/>
      <c r="E5" s="46"/>
      <c r="F5" s="46"/>
      <c r="G5" s="46"/>
      <c r="H5" s="46"/>
      <c r="I5" s="46"/>
      <c r="J5" s="46"/>
      <c r="K5" s="52"/>
    </row>
    <row r="6" s="38" customFormat="1" ht="19.9" customHeight="1" spans="1:11">
      <c r="A6" s="46" t="str">
        <f>[1]综合估算表!A5</f>
        <v>一</v>
      </c>
      <c r="B6" s="46" t="str">
        <f>[1]综合估算表!B5</f>
        <v>工程费用</v>
      </c>
      <c r="C6" s="19">
        <f>估算表!C4</f>
        <v>3977.822</v>
      </c>
      <c r="D6" s="19">
        <f>估算表!D4</f>
        <v>0</v>
      </c>
      <c r="E6" s="19">
        <f>估算表!E4</f>
        <v>0</v>
      </c>
      <c r="F6" s="19">
        <f>估算表!F4</f>
        <v>0</v>
      </c>
      <c r="G6" s="19">
        <f>估算表!G4</f>
        <v>3977.822</v>
      </c>
      <c r="H6" s="19"/>
      <c r="I6" s="19"/>
      <c r="J6" s="19"/>
      <c r="K6" s="53">
        <f>估算表!C43</f>
        <v>86.0762980305743</v>
      </c>
    </row>
    <row r="7" s="38" customFormat="1" ht="19.9" customHeight="1" spans="1:11">
      <c r="A7" s="46"/>
      <c r="B7" s="46"/>
      <c r="C7" s="19"/>
      <c r="D7" s="19"/>
      <c r="E7" s="19"/>
      <c r="F7" s="19"/>
      <c r="G7" s="19"/>
      <c r="H7" s="19"/>
      <c r="I7" s="19"/>
      <c r="J7" s="19"/>
      <c r="K7" s="53"/>
    </row>
    <row r="8" s="38" customFormat="1" ht="19.9" customHeight="1" spans="1:11">
      <c r="A8" s="46" t="str">
        <f>[1]综合估算表!A237</f>
        <v>二</v>
      </c>
      <c r="B8" s="46" t="str">
        <f>[1]综合估算表!B237</f>
        <v>其他费用</v>
      </c>
      <c r="C8" s="19"/>
      <c r="D8" s="19"/>
      <c r="E8" s="19"/>
      <c r="F8" s="19">
        <f>估算表!F27</f>
        <v>381.870912</v>
      </c>
      <c r="G8" s="19">
        <f>估算表!G27</f>
        <v>381.870912</v>
      </c>
      <c r="H8" s="19"/>
      <c r="I8" s="19"/>
      <c r="J8" s="19"/>
      <c r="K8" s="53">
        <f>G8/G12*100</f>
        <v>8.26332461093513</v>
      </c>
    </row>
    <row r="9" s="38" customFormat="1" ht="19.9" customHeight="1" spans="1:11">
      <c r="A9" s="46"/>
      <c r="B9" s="46"/>
      <c r="C9" s="19"/>
      <c r="D9" s="19"/>
      <c r="E9" s="19"/>
      <c r="F9" s="19"/>
      <c r="G9" s="19"/>
      <c r="H9" s="19"/>
      <c r="I9" s="19"/>
      <c r="J9" s="19"/>
      <c r="K9" s="53"/>
    </row>
    <row r="10" s="38" customFormat="1" ht="19.9" customHeight="1" spans="1:11">
      <c r="A10" s="46" t="str">
        <f>[1]综合估算表!A249</f>
        <v>三</v>
      </c>
      <c r="B10" s="46" t="str">
        <f>估算表!B41</f>
        <v> 预备费6%</v>
      </c>
      <c r="C10" s="19"/>
      <c r="D10" s="19"/>
      <c r="E10" s="19"/>
      <c r="F10" s="19">
        <f>估算表!F41</f>
        <v>261.58157472</v>
      </c>
      <c r="G10" s="19">
        <f>估算表!G41</f>
        <v>261.58157472</v>
      </c>
      <c r="H10" s="19"/>
      <c r="I10" s="19"/>
      <c r="J10" s="19"/>
      <c r="K10" s="53">
        <f>G10/G12*100</f>
        <v>5.66037735849056</v>
      </c>
    </row>
    <row r="11" s="38" customFormat="1" ht="19.9" customHeight="1" spans="1:11">
      <c r="A11" s="47"/>
      <c r="B11" s="46"/>
      <c r="C11" s="19"/>
      <c r="D11" s="19"/>
      <c r="E11" s="19"/>
      <c r="F11" s="19"/>
      <c r="G11" s="19"/>
      <c r="H11" s="19"/>
      <c r="I11" s="19"/>
      <c r="J11" s="19"/>
      <c r="K11" s="54"/>
    </row>
    <row r="12" s="38" customFormat="1" ht="19.9" customHeight="1" spans="1:11">
      <c r="A12" s="46" t="str">
        <f>估算表!A42</f>
        <v>四</v>
      </c>
      <c r="B12" s="46" t="str">
        <f>估算表!B42</f>
        <v>项目总投资</v>
      </c>
      <c r="C12" s="19">
        <f>C6</f>
        <v>3977.822</v>
      </c>
      <c r="D12" s="19">
        <f>D6</f>
        <v>0</v>
      </c>
      <c r="E12" s="19">
        <f>E6</f>
        <v>0</v>
      </c>
      <c r="F12" s="19">
        <f>F8+F10</f>
        <v>643.45248672</v>
      </c>
      <c r="G12" s="19">
        <f>G6+G8+G10</f>
        <v>4621.27448672</v>
      </c>
      <c r="H12" s="19"/>
      <c r="I12" s="19"/>
      <c r="J12" s="19"/>
      <c r="K12" s="54">
        <f>估算表!G43</f>
        <v>100</v>
      </c>
    </row>
    <row r="13" s="38" customFormat="1" spans="1:11">
      <c r="A13" s="39"/>
      <c r="C13" s="48"/>
      <c r="D13" s="48"/>
      <c r="E13" s="48"/>
      <c r="F13" s="48"/>
      <c r="G13" s="48"/>
      <c r="H13" s="48"/>
      <c r="I13" s="48"/>
      <c r="J13" s="48"/>
      <c r="K13" s="55"/>
    </row>
    <row r="14" s="38" customFormat="1" spans="1:11">
      <c r="A14" s="39"/>
      <c r="C14" s="48"/>
      <c r="D14" s="48"/>
      <c r="E14" s="48"/>
      <c r="F14" s="48"/>
      <c r="G14" s="48">
        <f>G12*0.6</f>
        <v>2772.764692032</v>
      </c>
      <c r="H14" s="48"/>
      <c r="I14" s="48"/>
      <c r="J14" s="48"/>
      <c r="K14" s="55"/>
    </row>
    <row r="15" s="38" customFormat="1" spans="1:10">
      <c r="A15" s="39"/>
      <c r="C15" s="48"/>
      <c r="D15" s="48"/>
      <c r="E15" s="48"/>
      <c r="F15" s="48"/>
      <c r="G15" s="48"/>
      <c r="H15" s="48"/>
      <c r="I15" s="48"/>
      <c r="J15" s="48"/>
    </row>
    <row r="16" s="38" customFormat="1" spans="1:10">
      <c r="A16" s="39"/>
      <c r="C16" s="48"/>
      <c r="D16" s="48"/>
      <c r="E16" s="48"/>
      <c r="F16" s="48"/>
      <c r="G16" s="48">
        <f>G12-G14</f>
        <v>1848.509794688</v>
      </c>
      <c r="H16" s="48"/>
      <c r="I16" s="48"/>
      <c r="J16" s="48"/>
    </row>
    <row r="17" s="38" customFormat="1" spans="1:10">
      <c r="A17" s="39"/>
      <c r="C17" s="48"/>
      <c r="D17" s="48"/>
      <c r="E17" s="48"/>
      <c r="F17" s="48"/>
      <c r="G17" s="48"/>
      <c r="H17" s="48"/>
      <c r="I17" s="48"/>
      <c r="J17" s="48"/>
    </row>
    <row r="18" s="38" customFormat="1" spans="1:10">
      <c r="A18" s="39"/>
      <c r="C18" s="48"/>
      <c r="D18" s="48"/>
      <c r="E18" s="48"/>
      <c r="F18" s="48"/>
      <c r="G18" s="48"/>
      <c r="H18" s="48"/>
      <c r="I18" s="48"/>
      <c r="J18" s="48"/>
    </row>
    <row r="19" s="38" customFormat="1" spans="1:10">
      <c r="A19" s="39"/>
      <c r="C19" s="48"/>
      <c r="D19" s="48"/>
      <c r="E19" s="48"/>
      <c r="F19" s="48"/>
      <c r="G19" s="48"/>
      <c r="H19" s="48"/>
      <c r="I19" s="48"/>
      <c r="J19" s="48"/>
    </row>
    <row r="20" s="38" customFormat="1" spans="1:10">
      <c r="A20" s="39"/>
      <c r="C20" s="48"/>
      <c r="D20" s="48"/>
      <c r="E20" s="48"/>
      <c r="F20" s="48"/>
      <c r="G20" s="48"/>
      <c r="H20" s="48"/>
      <c r="I20" s="48"/>
      <c r="J20" s="48"/>
    </row>
    <row r="21" s="38" customFormat="1" spans="1:10">
      <c r="A21" s="39"/>
      <c r="C21" s="48"/>
      <c r="D21" s="48"/>
      <c r="E21" s="48"/>
      <c r="F21" s="48"/>
      <c r="G21" s="48"/>
      <c r="H21" s="48"/>
      <c r="I21" s="48"/>
      <c r="J21" s="48"/>
    </row>
    <row r="22" s="38" customFormat="1" spans="1:10">
      <c r="A22" s="39"/>
      <c r="C22" s="48"/>
      <c r="D22" s="48"/>
      <c r="E22" s="48"/>
      <c r="F22" s="48"/>
      <c r="G22" s="48"/>
      <c r="H22" s="48"/>
      <c r="I22" s="48"/>
      <c r="J22" s="48"/>
    </row>
    <row r="23" s="38" customFormat="1" spans="1:10">
      <c r="A23" s="39"/>
      <c r="C23" s="48"/>
      <c r="D23" s="48"/>
      <c r="E23" s="48"/>
      <c r="F23" s="48"/>
      <c r="G23" s="48"/>
      <c r="H23" s="48"/>
      <c r="I23" s="48"/>
      <c r="J23" s="48"/>
    </row>
    <row r="24" s="38" customFormat="1" spans="1:10">
      <c r="A24" s="39"/>
      <c r="C24" s="48"/>
      <c r="D24" s="48"/>
      <c r="E24" s="48"/>
      <c r="F24" s="48"/>
      <c r="G24" s="48"/>
      <c r="H24" s="48"/>
      <c r="I24" s="48"/>
      <c r="J24" s="48"/>
    </row>
    <row r="25" s="38" customFormat="1" spans="1:10">
      <c r="A25" s="39"/>
      <c r="C25" s="48"/>
      <c r="D25" s="48"/>
      <c r="E25" s="48"/>
      <c r="F25" s="48"/>
      <c r="G25" s="48"/>
      <c r="H25" s="48"/>
      <c r="I25" s="48"/>
      <c r="J25" s="48"/>
    </row>
    <row r="26" s="38" customFormat="1" spans="1:10">
      <c r="A26" s="39"/>
      <c r="C26" s="48"/>
      <c r="D26" s="48"/>
      <c r="E26" s="48"/>
      <c r="F26" s="48"/>
      <c r="G26" s="48"/>
      <c r="H26" s="48"/>
      <c r="I26" s="48"/>
      <c r="J26" s="48"/>
    </row>
    <row r="27" s="38" customFormat="1" spans="1:10">
      <c r="A27" s="39"/>
      <c r="C27" s="48"/>
      <c r="D27" s="48"/>
      <c r="E27" s="48"/>
      <c r="F27" s="48"/>
      <c r="G27" s="48"/>
      <c r="H27" s="48"/>
      <c r="I27" s="48"/>
      <c r="J27" s="48"/>
    </row>
    <row r="28" s="38" customFormat="1" spans="1:10">
      <c r="A28" s="39"/>
      <c r="C28" s="48"/>
      <c r="D28" s="48"/>
      <c r="E28" s="48"/>
      <c r="F28" s="48"/>
      <c r="G28" s="48"/>
      <c r="H28" s="48"/>
      <c r="I28" s="48"/>
      <c r="J28" s="48"/>
    </row>
    <row r="29" s="38" customFormat="1" spans="1:10">
      <c r="A29" s="39"/>
      <c r="C29" s="48"/>
      <c r="D29" s="48"/>
      <c r="E29" s="48"/>
      <c r="F29" s="48"/>
      <c r="G29" s="48"/>
      <c r="H29" s="48"/>
      <c r="I29" s="48"/>
      <c r="J29" s="48"/>
    </row>
    <row r="30" s="38" customFormat="1" spans="1:10">
      <c r="A30" s="39"/>
      <c r="C30" s="48"/>
      <c r="D30" s="48"/>
      <c r="E30" s="48"/>
      <c r="F30" s="48"/>
      <c r="G30" s="48"/>
      <c r="H30" s="48"/>
      <c r="I30" s="48"/>
      <c r="J30" s="48"/>
    </row>
    <row r="31" s="38" customFormat="1" spans="1:10">
      <c r="A31" s="39"/>
      <c r="C31" s="48"/>
      <c r="D31" s="48"/>
      <c r="E31" s="48"/>
      <c r="F31" s="48"/>
      <c r="G31" s="48"/>
      <c r="H31" s="48"/>
      <c r="I31" s="48"/>
      <c r="J31" s="48"/>
    </row>
    <row r="32" s="38" customFormat="1" spans="1:10">
      <c r="A32" s="39"/>
      <c r="C32" s="48"/>
      <c r="D32" s="48"/>
      <c r="E32" s="48"/>
      <c r="F32" s="48"/>
      <c r="G32" s="48"/>
      <c r="H32" s="48"/>
      <c r="I32" s="48"/>
      <c r="J32" s="48"/>
    </row>
    <row r="33" s="38" customFormat="1" spans="1:10">
      <c r="A33" s="39"/>
      <c r="C33" s="48"/>
      <c r="D33" s="48"/>
      <c r="E33" s="48"/>
      <c r="F33" s="48"/>
      <c r="G33" s="48"/>
      <c r="H33" s="48"/>
      <c r="I33" s="48"/>
      <c r="J33" s="48"/>
    </row>
    <row r="34" s="38" customFormat="1" spans="1:10">
      <c r="A34" s="39"/>
      <c r="C34" s="48"/>
      <c r="D34" s="48"/>
      <c r="E34" s="48"/>
      <c r="F34" s="48"/>
      <c r="G34" s="48"/>
      <c r="H34" s="48"/>
      <c r="I34" s="48"/>
      <c r="J34" s="48"/>
    </row>
    <row r="35" s="38" customFormat="1" spans="1:10">
      <c r="A35" s="39"/>
      <c r="C35" s="48"/>
      <c r="D35" s="48"/>
      <c r="E35" s="48"/>
      <c r="F35" s="48"/>
      <c r="G35" s="48"/>
      <c r="H35" s="48"/>
      <c r="I35" s="48"/>
      <c r="J35" s="48"/>
    </row>
    <row r="36" s="38" customFormat="1" spans="1:10">
      <c r="A36" s="39"/>
      <c r="C36" s="48"/>
      <c r="D36" s="48"/>
      <c r="E36" s="48"/>
      <c r="F36" s="48"/>
      <c r="G36" s="48"/>
      <c r="H36" s="48"/>
      <c r="I36" s="48"/>
      <c r="J36" s="48"/>
    </row>
    <row r="37" s="38" customFormat="1" spans="1:10">
      <c r="A37" s="39"/>
      <c r="C37" s="48"/>
      <c r="D37" s="48"/>
      <c r="E37" s="48"/>
      <c r="F37" s="48"/>
      <c r="G37" s="48"/>
      <c r="H37" s="48"/>
      <c r="I37" s="48"/>
      <c r="J37" s="48"/>
    </row>
    <row r="38" s="38" customFormat="1" spans="1:10">
      <c r="A38" s="39"/>
      <c r="C38" s="48"/>
      <c r="D38" s="48"/>
      <c r="E38" s="48"/>
      <c r="F38" s="48"/>
      <c r="G38" s="48"/>
      <c r="H38" s="48"/>
      <c r="I38" s="48"/>
      <c r="J38" s="48"/>
    </row>
    <row r="39" s="38" customFormat="1" spans="1:10">
      <c r="A39" s="39"/>
      <c r="C39" s="48"/>
      <c r="D39" s="48"/>
      <c r="E39" s="48"/>
      <c r="F39" s="48"/>
      <c r="G39" s="48"/>
      <c r="H39" s="48"/>
      <c r="I39" s="48"/>
      <c r="J39" s="48"/>
    </row>
    <row r="40" s="38" customFormat="1" spans="1:10">
      <c r="A40" s="39"/>
      <c r="C40" s="48"/>
      <c r="D40" s="48"/>
      <c r="E40" s="48"/>
      <c r="F40" s="48"/>
      <c r="G40" s="48"/>
      <c r="H40" s="48"/>
      <c r="I40" s="48"/>
      <c r="J40" s="48"/>
    </row>
    <row r="41" s="38" customFormat="1" spans="1:10">
      <c r="A41" s="39"/>
      <c r="C41" s="48"/>
      <c r="D41" s="48"/>
      <c r="E41" s="48"/>
      <c r="F41" s="48"/>
      <c r="G41" s="48"/>
      <c r="H41" s="48"/>
      <c r="I41" s="48"/>
      <c r="J41" s="48"/>
    </row>
    <row r="42" s="38" customFormat="1" spans="1:10">
      <c r="A42" s="39"/>
      <c r="C42" s="48"/>
      <c r="D42" s="48"/>
      <c r="E42" s="48"/>
      <c r="F42" s="48"/>
      <c r="G42" s="48"/>
      <c r="H42" s="48"/>
      <c r="I42" s="48"/>
      <c r="J42" s="48"/>
    </row>
    <row r="43" s="38" customFormat="1" spans="1:10">
      <c r="A43" s="39"/>
      <c r="C43" s="48"/>
      <c r="D43" s="48"/>
      <c r="E43" s="48"/>
      <c r="F43" s="48"/>
      <c r="G43" s="48"/>
      <c r="H43" s="48"/>
      <c r="I43" s="48"/>
      <c r="J43" s="48"/>
    </row>
    <row r="44" s="38" customFormat="1" spans="1:10">
      <c r="A44" s="39"/>
      <c r="C44" s="48"/>
      <c r="D44" s="48"/>
      <c r="E44" s="48"/>
      <c r="F44" s="48"/>
      <c r="G44" s="48"/>
      <c r="H44" s="48"/>
      <c r="I44" s="48"/>
      <c r="J44" s="48"/>
    </row>
    <row r="45" s="38" customFormat="1" spans="1:10">
      <c r="A45" s="39"/>
      <c r="C45" s="48"/>
      <c r="D45" s="48"/>
      <c r="E45" s="48"/>
      <c r="F45" s="48"/>
      <c r="G45" s="48"/>
      <c r="H45" s="48"/>
      <c r="I45" s="48"/>
      <c r="J45" s="48"/>
    </row>
    <row r="46" s="38" customFormat="1" spans="1:10">
      <c r="A46" s="39"/>
      <c r="C46" s="48"/>
      <c r="D46" s="48"/>
      <c r="E46" s="48"/>
      <c r="F46" s="48"/>
      <c r="G46" s="48"/>
      <c r="H46" s="48"/>
      <c r="I46" s="48"/>
      <c r="J46" s="48"/>
    </row>
    <row r="47" s="38" customFormat="1" spans="1:10">
      <c r="A47" s="39"/>
      <c r="C47" s="48"/>
      <c r="D47" s="48"/>
      <c r="E47" s="48"/>
      <c r="F47" s="48"/>
      <c r="G47" s="48"/>
      <c r="H47" s="48"/>
      <c r="I47" s="48"/>
      <c r="J47" s="48"/>
    </row>
    <row r="48" s="38" customFormat="1" spans="1:10">
      <c r="A48" s="39"/>
      <c r="C48" s="48"/>
      <c r="D48" s="48"/>
      <c r="E48" s="48"/>
      <c r="F48" s="48"/>
      <c r="G48" s="48"/>
      <c r="H48" s="48"/>
      <c r="I48" s="48"/>
      <c r="J48" s="48"/>
    </row>
    <row r="49" s="38" customFormat="1" spans="1:10">
      <c r="A49" s="39"/>
      <c r="C49" s="48"/>
      <c r="D49" s="48"/>
      <c r="E49" s="48"/>
      <c r="F49" s="48"/>
      <c r="G49" s="48"/>
      <c r="H49" s="48"/>
      <c r="I49" s="48"/>
      <c r="J49" s="48"/>
    </row>
    <row r="50" s="38" customFormat="1" spans="1:10">
      <c r="A50" s="39"/>
      <c r="C50" s="48"/>
      <c r="D50" s="48"/>
      <c r="E50" s="48"/>
      <c r="F50" s="48"/>
      <c r="G50" s="48"/>
      <c r="H50" s="48"/>
      <c r="I50" s="48"/>
      <c r="J50" s="48"/>
    </row>
    <row r="51" s="38" customFormat="1" spans="1:10">
      <c r="A51" s="39"/>
      <c r="C51" s="48"/>
      <c r="D51" s="48"/>
      <c r="E51" s="48"/>
      <c r="F51" s="48"/>
      <c r="G51" s="48"/>
      <c r="H51" s="48"/>
      <c r="I51" s="48"/>
      <c r="J51" s="48"/>
    </row>
    <row r="52" s="38" customFormat="1" spans="1:10">
      <c r="A52" s="39"/>
      <c r="C52" s="48"/>
      <c r="D52" s="48"/>
      <c r="E52" s="48"/>
      <c r="F52" s="48"/>
      <c r="G52" s="48"/>
      <c r="H52" s="48"/>
      <c r="I52" s="48"/>
      <c r="J52" s="48"/>
    </row>
    <row r="53" s="38" customFormat="1" spans="1:10">
      <c r="A53" s="39"/>
      <c r="C53" s="48"/>
      <c r="D53" s="48"/>
      <c r="E53" s="48"/>
      <c r="F53" s="48"/>
      <c r="G53" s="48"/>
      <c r="H53" s="48"/>
      <c r="I53" s="48"/>
      <c r="J53" s="48"/>
    </row>
    <row r="54" s="38" customFormat="1" spans="1:10">
      <c r="A54" s="39"/>
      <c r="C54" s="48"/>
      <c r="D54" s="48"/>
      <c r="E54" s="48"/>
      <c r="F54" s="48"/>
      <c r="G54" s="48"/>
      <c r="H54" s="48"/>
      <c r="I54" s="48"/>
      <c r="J54" s="48"/>
    </row>
    <row r="55" s="38" customFormat="1" spans="1:10">
      <c r="A55" s="39"/>
      <c r="C55" s="48"/>
      <c r="D55" s="48"/>
      <c r="E55" s="48"/>
      <c r="F55" s="48"/>
      <c r="G55" s="48"/>
      <c r="H55" s="48"/>
      <c r="I55" s="48"/>
      <c r="J55" s="48"/>
    </row>
    <row r="56" s="38" customFormat="1" spans="1:10">
      <c r="A56" s="39"/>
      <c r="C56" s="48"/>
      <c r="D56" s="48"/>
      <c r="E56" s="48"/>
      <c r="F56" s="48"/>
      <c r="G56" s="48"/>
      <c r="H56" s="48"/>
      <c r="I56" s="48"/>
      <c r="J56" s="48"/>
    </row>
    <row r="57" s="38" customFormat="1" spans="1:10">
      <c r="A57" s="39"/>
      <c r="C57" s="48"/>
      <c r="D57" s="48"/>
      <c r="E57" s="48"/>
      <c r="F57" s="48"/>
      <c r="G57" s="48"/>
      <c r="H57" s="48"/>
      <c r="I57" s="48"/>
      <c r="J57" s="48"/>
    </row>
    <row r="58" s="38" customFormat="1" spans="1:10">
      <c r="A58" s="39"/>
      <c r="C58" s="48"/>
      <c r="D58" s="48"/>
      <c r="E58" s="48"/>
      <c r="F58" s="48"/>
      <c r="G58" s="48"/>
      <c r="H58" s="48"/>
      <c r="I58" s="48"/>
      <c r="J58" s="48"/>
    </row>
    <row r="59" s="38" customFormat="1" spans="1:10">
      <c r="A59" s="39"/>
      <c r="C59" s="48"/>
      <c r="D59" s="48"/>
      <c r="E59" s="48"/>
      <c r="F59" s="48"/>
      <c r="G59" s="48"/>
      <c r="H59" s="48"/>
      <c r="I59" s="48"/>
      <c r="J59" s="48"/>
    </row>
    <row r="60" s="38" customFormat="1" spans="1:10">
      <c r="A60" s="39"/>
      <c r="C60" s="48"/>
      <c r="D60" s="48"/>
      <c r="E60" s="48"/>
      <c r="F60" s="48"/>
      <c r="G60" s="48"/>
      <c r="H60" s="48"/>
      <c r="I60" s="48"/>
      <c r="J60" s="48"/>
    </row>
    <row r="61" s="38" customFormat="1" spans="1:10">
      <c r="A61" s="39"/>
      <c r="C61" s="48"/>
      <c r="D61" s="48"/>
      <c r="E61" s="48"/>
      <c r="F61" s="48"/>
      <c r="G61" s="48"/>
      <c r="H61" s="48"/>
      <c r="I61" s="48"/>
      <c r="J61" s="48"/>
    </row>
    <row r="62" s="38" customFormat="1" spans="1:10">
      <c r="A62" s="39"/>
      <c r="C62" s="48"/>
      <c r="D62" s="48"/>
      <c r="E62" s="48"/>
      <c r="F62" s="48"/>
      <c r="G62" s="48"/>
      <c r="H62" s="48"/>
      <c r="I62" s="48"/>
      <c r="J62" s="48"/>
    </row>
    <row r="63" s="38" customFormat="1" spans="1:10">
      <c r="A63" s="39"/>
      <c r="C63" s="48"/>
      <c r="D63" s="48"/>
      <c r="E63" s="48"/>
      <c r="F63" s="48"/>
      <c r="G63" s="48"/>
      <c r="H63" s="48"/>
      <c r="I63" s="48"/>
      <c r="J63" s="48"/>
    </row>
    <row r="64" s="38" customFormat="1" spans="1:10">
      <c r="A64" s="39"/>
      <c r="C64" s="48"/>
      <c r="D64" s="48"/>
      <c r="E64" s="48"/>
      <c r="F64" s="48"/>
      <c r="G64" s="48"/>
      <c r="H64" s="48"/>
      <c r="I64" s="48"/>
      <c r="J64" s="48"/>
    </row>
    <row r="65" s="38" customFormat="1" spans="1:10">
      <c r="A65" s="39"/>
      <c r="C65" s="48"/>
      <c r="D65" s="48"/>
      <c r="E65" s="48"/>
      <c r="F65" s="48"/>
      <c r="G65" s="48"/>
      <c r="H65" s="48"/>
      <c r="I65" s="48"/>
      <c r="J65" s="48"/>
    </row>
    <row r="66" s="38" customFormat="1" spans="1:10">
      <c r="A66" s="39"/>
      <c r="C66" s="48"/>
      <c r="D66" s="48"/>
      <c r="E66" s="48"/>
      <c r="F66" s="48"/>
      <c r="G66" s="48"/>
      <c r="H66" s="48"/>
      <c r="I66" s="48"/>
      <c r="J66" s="48"/>
    </row>
    <row r="67" s="38" customFormat="1" spans="1:10">
      <c r="A67" s="39"/>
      <c r="C67" s="48"/>
      <c r="D67" s="48"/>
      <c r="E67" s="48"/>
      <c r="F67" s="48"/>
      <c r="G67" s="48"/>
      <c r="H67" s="48"/>
      <c r="I67" s="48"/>
      <c r="J67" s="48"/>
    </row>
    <row r="68" s="38" customFormat="1" spans="1:10">
      <c r="A68" s="39"/>
      <c r="C68" s="48"/>
      <c r="D68" s="48"/>
      <c r="E68" s="48"/>
      <c r="F68" s="48"/>
      <c r="G68" s="48"/>
      <c r="H68" s="48"/>
      <c r="I68" s="48"/>
      <c r="J68" s="48"/>
    </row>
    <row r="69" s="38" customFormat="1" spans="1:10">
      <c r="A69" s="39"/>
      <c r="C69" s="48"/>
      <c r="D69" s="48"/>
      <c r="E69" s="48"/>
      <c r="F69" s="48"/>
      <c r="G69" s="48"/>
      <c r="H69" s="48"/>
      <c r="I69" s="48"/>
      <c r="J69" s="48"/>
    </row>
    <row r="70" s="38" customFormat="1" spans="1:10">
      <c r="A70" s="39"/>
      <c r="C70" s="48"/>
      <c r="D70" s="48"/>
      <c r="E70" s="48"/>
      <c r="F70" s="48"/>
      <c r="G70" s="48"/>
      <c r="H70" s="48"/>
      <c r="I70" s="48"/>
      <c r="J70" s="48"/>
    </row>
    <row r="71" s="38" customFormat="1" spans="1:10">
      <c r="A71" s="39"/>
      <c r="C71" s="48"/>
      <c r="D71" s="48"/>
      <c r="E71" s="48"/>
      <c r="F71" s="48"/>
      <c r="G71" s="48"/>
      <c r="H71" s="48"/>
      <c r="I71" s="48"/>
      <c r="J71" s="48"/>
    </row>
    <row r="72" s="38" customFormat="1" spans="1:10">
      <c r="A72" s="39"/>
      <c r="C72" s="48"/>
      <c r="D72" s="48"/>
      <c r="E72" s="48"/>
      <c r="F72" s="48"/>
      <c r="G72" s="48"/>
      <c r="H72" s="48"/>
      <c r="I72" s="48"/>
      <c r="J72" s="48"/>
    </row>
    <row r="73" s="38" customFormat="1" spans="1:10">
      <c r="A73" s="39"/>
      <c r="C73" s="48"/>
      <c r="D73" s="48"/>
      <c r="E73" s="48"/>
      <c r="F73" s="48"/>
      <c r="G73" s="48"/>
      <c r="H73" s="48"/>
      <c r="I73" s="48"/>
      <c r="J73" s="48"/>
    </row>
    <row r="74" s="38" customFormat="1" spans="1:10">
      <c r="A74" s="39"/>
      <c r="C74" s="48"/>
      <c r="D74" s="48"/>
      <c r="E74" s="48"/>
      <c r="F74" s="48"/>
      <c r="G74" s="48"/>
      <c r="H74" s="48"/>
      <c r="I74" s="48"/>
      <c r="J74" s="48"/>
    </row>
    <row r="75" s="38" customFormat="1" spans="1:10">
      <c r="A75" s="39"/>
      <c r="C75" s="48"/>
      <c r="D75" s="48"/>
      <c r="E75" s="48"/>
      <c r="F75" s="48"/>
      <c r="G75" s="48"/>
      <c r="H75" s="48"/>
      <c r="I75" s="48"/>
      <c r="J75" s="48"/>
    </row>
    <row r="76" s="38" customFormat="1" spans="1:10">
      <c r="A76" s="39"/>
      <c r="C76" s="48"/>
      <c r="D76" s="48"/>
      <c r="E76" s="48"/>
      <c r="F76" s="48"/>
      <c r="G76" s="48"/>
      <c r="H76" s="48"/>
      <c r="I76" s="48"/>
      <c r="J76" s="48"/>
    </row>
    <row r="77" s="38" customFormat="1" spans="1:10">
      <c r="A77" s="39"/>
      <c r="C77" s="48"/>
      <c r="D77" s="48"/>
      <c r="E77" s="48"/>
      <c r="F77" s="48"/>
      <c r="G77" s="48"/>
      <c r="H77" s="48"/>
      <c r="I77" s="48"/>
      <c r="J77" s="48"/>
    </row>
    <row r="78" s="38" customFormat="1" spans="1:10">
      <c r="A78" s="39"/>
      <c r="C78" s="48"/>
      <c r="D78" s="48"/>
      <c r="E78" s="48"/>
      <c r="F78" s="48"/>
      <c r="G78" s="48"/>
      <c r="H78" s="48"/>
      <c r="I78" s="48"/>
      <c r="J78" s="48"/>
    </row>
    <row r="79" s="38" customFormat="1" spans="1:10">
      <c r="A79" s="39"/>
      <c r="C79" s="48"/>
      <c r="D79" s="48"/>
      <c r="E79" s="48"/>
      <c r="F79" s="48"/>
      <c r="G79" s="48"/>
      <c r="H79" s="48"/>
      <c r="I79" s="48"/>
      <c r="J79" s="48"/>
    </row>
    <row r="80" s="38" customFormat="1" spans="1:10">
      <c r="A80" s="39"/>
      <c r="C80" s="48"/>
      <c r="D80" s="48"/>
      <c r="E80" s="48"/>
      <c r="F80" s="48"/>
      <c r="G80" s="48"/>
      <c r="H80" s="48"/>
      <c r="I80" s="48"/>
      <c r="J80" s="48"/>
    </row>
    <row r="81" s="38" customFormat="1" spans="1:10">
      <c r="A81" s="39"/>
      <c r="C81" s="48"/>
      <c r="D81" s="48"/>
      <c r="E81" s="48"/>
      <c r="F81" s="48"/>
      <c r="G81" s="48"/>
      <c r="H81" s="48"/>
      <c r="I81" s="48"/>
      <c r="J81" s="48"/>
    </row>
    <row r="82" s="38" customFormat="1" spans="1:10">
      <c r="A82" s="39"/>
      <c r="C82" s="48"/>
      <c r="D82" s="48"/>
      <c r="E82" s="48"/>
      <c r="F82" s="48"/>
      <c r="G82" s="48"/>
      <c r="H82" s="48"/>
      <c r="I82" s="48"/>
      <c r="J82" s="48"/>
    </row>
    <row r="83" s="38" customFormat="1" spans="1:10">
      <c r="A83" s="39"/>
      <c r="C83" s="48"/>
      <c r="D83" s="48"/>
      <c r="E83" s="48"/>
      <c r="F83" s="48"/>
      <c r="G83" s="48"/>
      <c r="H83" s="48"/>
      <c r="I83" s="48"/>
      <c r="J83" s="48"/>
    </row>
    <row r="84" s="38" customFormat="1" spans="1:10">
      <c r="A84" s="39"/>
      <c r="C84" s="48"/>
      <c r="D84" s="48"/>
      <c r="E84" s="48"/>
      <c r="F84" s="48"/>
      <c r="G84" s="48"/>
      <c r="H84" s="48"/>
      <c r="I84" s="48"/>
      <c r="J84" s="48"/>
    </row>
    <row r="85" s="38" customFormat="1" spans="1:10">
      <c r="A85" s="39"/>
      <c r="C85" s="48"/>
      <c r="D85" s="48"/>
      <c r="E85" s="48"/>
      <c r="F85" s="48"/>
      <c r="G85" s="48"/>
      <c r="H85" s="48"/>
      <c r="I85" s="48"/>
      <c r="J85" s="48"/>
    </row>
    <row r="86" s="38" customFormat="1" spans="1:10">
      <c r="A86" s="39"/>
      <c r="C86" s="48"/>
      <c r="D86" s="48"/>
      <c r="E86" s="48"/>
      <c r="F86" s="48"/>
      <c r="G86" s="48"/>
      <c r="H86" s="48"/>
      <c r="I86" s="48"/>
      <c r="J86" s="48"/>
    </row>
    <row r="87" s="38" customFormat="1" spans="1:10">
      <c r="A87" s="39"/>
      <c r="C87" s="48"/>
      <c r="D87" s="48"/>
      <c r="E87" s="48"/>
      <c r="F87" s="48"/>
      <c r="G87" s="48"/>
      <c r="H87" s="48"/>
      <c r="I87" s="48"/>
      <c r="J87" s="48"/>
    </row>
    <row r="88" s="38" customFormat="1" spans="1:10">
      <c r="A88" s="39"/>
      <c r="C88" s="48"/>
      <c r="D88" s="48"/>
      <c r="E88" s="48"/>
      <c r="F88" s="48"/>
      <c r="G88" s="48"/>
      <c r="H88" s="48"/>
      <c r="I88" s="48"/>
      <c r="J88" s="48"/>
    </row>
    <row r="89" s="38" customFormat="1" spans="1:10">
      <c r="A89" s="39"/>
      <c r="C89" s="48"/>
      <c r="D89" s="48"/>
      <c r="E89" s="48"/>
      <c r="F89" s="48"/>
      <c r="G89" s="48"/>
      <c r="H89" s="48"/>
      <c r="I89" s="48"/>
      <c r="J89" s="48"/>
    </row>
    <row r="90" s="38" customFormat="1" spans="1:10">
      <c r="A90" s="39"/>
      <c r="C90" s="48"/>
      <c r="D90" s="48"/>
      <c r="E90" s="48"/>
      <c r="F90" s="48"/>
      <c r="G90" s="48"/>
      <c r="H90" s="48"/>
      <c r="I90" s="48"/>
      <c r="J90" s="48"/>
    </row>
    <row r="91" s="38" customFormat="1" spans="1:10">
      <c r="A91" s="39"/>
      <c r="C91" s="48"/>
      <c r="D91" s="48"/>
      <c r="E91" s="48"/>
      <c r="F91" s="48"/>
      <c r="G91" s="48"/>
      <c r="H91" s="48"/>
      <c r="I91" s="48"/>
      <c r="J91" s="48"/>
    </row>
    <row r="92" s="38" customFormat="1" spans="1:10">
      <c r="A92" s="39"/>
      <c r="C92" s="48"/>
      <c r="D92" s="48"/>
      <c r="E92" s="48"/>
      <c r="F92" s="48"/>
      <c r="G92" s="48"/>
      <c r="H92" s="48"/>
      <c r="I92" s="48"/>
      <c r="J92" s="48"/>
    </row>
    <row r="93" s="38" customFormat="1" spans="1:10">
      <c r="A93" s="39"/>
      <c r="C93" s="48"/>
      <c r="D93" s="48"/>
      <c r="E93" s="48"/>
      <c r="F93" s="48"/>
      <c r="G93" s="48"/>
      <c r="H93" s="48"/>
      <c r="I93" s="48"/>
      <c r="J93" s="48"/>
    </row>
    <row r="94" s="38" customFormat="1" spans="1:10">
      <c r="A94" s="39"/>
      <c r="C94" s="48"/>
      <c r="D94" s="48"/>
      <c r="E94" s="48"/>
      <c r="F94" s="48"/>
      <c r="G94" s="48"/>
      <c r="H94" s="48"/>
      <c r="I94" s="48"/>
      <c r="J94" s="48"/>
    </row>
    <row r="95" s="38" customFormat="1" spans="1:10">
      <c r="A95" s="39"/>
      <c r="C95" s="48"/>
      <c r="D95" s="48"/>
      <c r="E95" s="48"/>
      <c r="F95" s="48"/>
      <c r="G95" s="48"/>
      <c r="H95" s="48"/>
      <c r="I95" s="48"/>
      <c r="J95" s="48"/>
    </row>
    <row r="96" s="38" customFormat="1" spans="1:10">
      <c r="A96" s="39"/>
      <c r="C96" s="48"/>
      <c r="D96" s="48"/>
      <c r="E96" s="48"/>
      <c r="F96" s="48"/>
      <c r="G96" s="48"/>
      <c r="H96" s="48"/>
      <c r="I96" s="48"/>
      <c r="J96" s="48"/>
    </row>
    <row r="97" s="38" customFormat="1" spans="1:10">
      <c r="A97" s="39"/>
      <c r="C97" s="48"/>
      <c r="D97" s="48"/>
      <c r="E97" s="48"/>
      <c r="F97" s="48"/>
      <c r="G97" s="48"/>
      <c r="H97" s="48"/>
      <c r="I97" s="48"/>
      <c r="J97" s="48"/>
    </row>
    <row r="98" s="38" customFormat="1" spans="1:10">
      <c r="A98" s="39"/>
      <c r="C98" s="48"/>
      <c r="D98" s="48"/>
      <c r="E98" s="48"/>
      <c r="F98" s="48"/>
      <c r="G98" s="48"/>
      <c r="H98" s="48"/>
      <c r="I98" s="48"/>
      <c r="J98" s="48"/>
    </row>
    <row r="99" s="38" customFormat="1" spans="1:10">
      <c r="A99" s="39"/>
      <c r="C99" s="48"/>
      <c r="D99" s="48"/>
      <c r="E99" s="48"/>
      <c r="F99" s="48"/>
      <c r="G99" s="48"/>
      <c r="H99" s="48"/>
      <c r="I99" s="48"/>
      <c r="J99" s="48"/>
    </row>
    <row r="100" s="38" customFormat="1" spans="1:10">
      <c r="A100" s="39"/>
      <c r="C100" s="48"/>
      <c r="D100" s="48"/>
      <c r="E100" s="48"/>
      <c r="F100" s="48"/>
      <c r="G100" s="48"/>
      <c r="H100" s="48"/>
      <c r="I100" s="48"/>
      <c r="J100" s="48"/>
    </row>
    <row r="101" s="38" customFormat="1" spans="1:10">
      <c r="A101" s="39"/>
      <c r="C101" s="48"/>
      <c r="D101" s="48"/>
      <c r="E101" s="48"/>
      <c r="F101" s="48"/>
      <c r="G101" s="48"/>
      <c r="H101" s="48"/>
      <c r="I101" s="48"/>
      <c r="J101" s="48"/>
    </row>
    <row r="102" s="38" customFormat="1" spans="1:10">
      <c r="A102" s="39"/>
      <c r="C102" s="48"/>
      <c r="D102" s="48"/>
      <c r="E102" s="48"/>
      <c r="F102" s="48"/>
      <c r="G102" s="48"/>
      <c r="H102" s="48"/>
      <c r="I102" s="48"/>
      <c r="J102" s="48"/>
    </row>
    <row r="103" s="38" customFormat="1" spans="1:10">
      <c r="A103" s="39"/>
      <c r="C103" s="48"/>
      <c r="D103" s="48"/>
      <c r="E103" s="48"/>
      <c r="F103" s="48"/>
      <c r="G103" s="48"/>
      <c r="H103" s="48"/>
      <c r="I103" s="48"/>
      <c r="J103" s="48"/>
    </row>
    <row r="104" s="38" customFormat="1" spans="1:10">
      <c r="A104" s="39"/>
      <c r="C104" s="48"/>
      <c r="D104" s="48"/>
      <c r="E104" s="48"/>
      <c r="F104" s="48"/>
      <c r="G104" s="48"/>
      <c r="H104" s="48"/>
      <c r="I104" s="48"/>
      <c r="J104" s="48"/>
    </row>
    <row r="105" s="38" customFormat="1" spans="1:10">
      <c r="A105" s="39"/>
      <c r="C105" s="48"/>
      <c r="D105" s="48"/>
      <c r="E105" s="48"/>
      <c r="F105" s="48"/>
      <c r="G105" s="48"/>
      <c r="H105" s="48"/>
      <c r="I105" s="48"/>
      <c r="J105" s="48"/>
    </row>
    <row r="106" s="38" customFormat="1" spans="1:10">
      <c r="A106" s="39"/>
      <c r="C106" s="48"/>
      <c r="D106" s="48"/>
      <c r="E106" s="48"/>
      <c r="F106" s="48"/>
      <c r="G106" s="48"/>
      <c r="H106" s="48"/>
      <c r="I106" s="48"/>
      <c r="J106" s="48"/>
    </row>
    <row r="107" s="38" customFormat="1" spans="1:10">
      <c r="A107" s="39"/>
      <c r="C107" s="48"/>
      <c r="D107" s="48"/>
      <c r="E107" s="48"/>
      <c r="F107" s="48"/>
      <c r="G107" s="48"/>
      <c r="H107" s="48"/>
      <c r="I107" s="48"/>
      <c r="J107" s="48"/>
    </row>
    <row r="108" s="38" customFormat="1" spans="1:10">
      <c r="A108" s="39"/>
      <c r="C108" s="48"/>
      <c r="D108" s="48"/>
      <c r="E108" s="48"/>
      <c r="F108" s="48"/>
      <c r="G108" s="48"/>
      <c r="H108" s="48"/>
      <c r="I108" s="48"/>
      <c r="J108" s="48"/>
    </row>
  </sheetData>
  <mergeCells count="7">
    <mergeCell ref="A1:K1"/>
    <mergeCell ref="J2:K2"/>
    <mergeCell ref="C3:G3"/>
    <mergeCell ref="H3:J3"/>
    <mergeCell ref="A3:A4"/>
    <mergeCell ref="B3:B4"/>
    <mergeCell ref="K3:K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99"/>
  <sheetViews>
    <sheetView tabSelected="1" view="pageBreakPreview" zoomScale="85" zoomScaleNormal="85" topLeftCell="A35" workbookViewId="0">
      <selection activeCell="A2" sqref="A2:J43"/>
    </sheetView>
  </sheetViews>
  <sheetFormatPr defaultColWidth="8.70833333333333" defaultRowHeight="14.25"/>
  <cols>
    <col min="1" max="1" width="10" style="4" customWidth="1"/>
    <col min="2" max="2" width="40.2833333333333" style="4" customWidth="1"/>
    <col min="3" max="3" width="14.525" style="6" customWidth="1"/>
    <col min="4" max="6" width="11.8916666666667" style="6" customWidth="1"/>
    <col min="7" max="7" width="13.3333333333333" style="6" customWidth="1"/>
    <col min="8" max="8" width="7" style="6" customWidth="1"/>
    <col min="9" max="9" width="12.1833333333333" style="6" customWidth="1"/>
    <col min="10" max="10" width="12.275" style="6" customWidth="1"/>
    <col min="11" max="11" width="14.1083333333333" style="7" customWidth="1"/>
    <col min="12" max="16375" width="10" style="4"/>
    <col min="16376" max="16384" width="8.70833333333333" style="4"/>
  </cols>
  <sheetData>
    <row r="1" s="1" customFormat="1" ht="55" customHeight="1" spans="1:11">
      <c r="A1" s="8" t="s">
        <v>14</v>
      </c>
      <c r="B1" s="8"/>
      <c r="C1" s="8"/>
      <c r="D1" s="8"/>
      <c r="E1" s="8"/>
      <c r="F1" s="8"/>
      <c r="G1" s="8"/>
      <c r="H1" s="9"/>
      <c r="I1" s="9"/>
      <c r="J1" s="8"/>
      <c r="K1" s="30"/>
    </row>
    <row r="2" s="2" customFormat="1" ht="29.25" customHeight="1" spans="1:11">
      <c r="A2" s="10" t="s">
        <v>15</v>
      </c>
      <c r="B2" s="11" t="s">
        <v>16</v>
      </c>
      <c r="C2" s="12" t="s">
        <v>17</v>
      </c>
      <c r="D2" s="12"/>
      <c r="E2" s="12"/>
      <c r="F2" s="12"/>
      <c r="G2" s="12"/>
      <c r="H2" s="12" t="s">
        <v>5</v>
      </c>
      <c r="I2" s="12"/>
      <c r="J2" s="12"/>
      <c r="K2" s="31"/>
    </row>
    <row r="3" s="2" customFormat="1" ht="29.25" customHeight="1" spans="1:11">
      <c r="A3" s="13"/>
      <c r="B3" s="14"/>
      <c r="C3" s="15" t="s">
        <v>18</v>
      </c>
      <c r="D3" s="15" t="s">
        <v>19</v>
      </c>
      <c r="E3" s="15" t="s">
        <v>20</v>
      </c>
      <c r="F3" s="15" t="s">
        <v>21</v>
      </c>
      <c r="G3" s="15" t="s">
        <v>10</v>
      </c>
      <c r="H3" s="15" t="s">
        <v>11</v>
      </c>
      <c r="I3" s="15" t="s">
        <v>12</v>
      </c>
      <c r="J3" s="15" t="s">
        <v>22</v>
      </c>
      <c r="K3" s="31"/>
    </row>
    <row r="4" s="2" customFormat="1" ht="27" customHeight="1" spans="1:11">
      <c r="A4" s="13" t="s">
        <v>23</v>
      </c>
      <c r="B4" s="16" t="s">
        <v>24</v>
      </c>
      <c r="C4" s="14">
        <f>C10+C21+C5</f>
        <v>3977.822</v>
      </c>
      <c r="D4" s="14">
        <f>D10+D21+D5</f>
        <v>0</v>
      </c>
      <c r="E4" s="14">
        <f>E10+E21+E5</f>
        <v>0</v>
      </c>
      <c r="F4" s="14">
        <f>F10+F21+F5</f>
        <v>0</v>
      </c>
      <c r="G4" s="14">
        <f t="shared" ref="G4:G9" si="0">SUM(C4:F4)</f>
        <v>3977.822</v>
      </c>
      <c r="H4" s="14"/>
      <c r="I4" s="14"/>
      <c r="J4" s="14"/>
      <c r="K4" s="31"/>
    </row>
    <row r="5" s="3" customFormat="1" ht="27" customHeight="1" spans="1:11">
      <c r="A5" s="17" t="s">
        <v>25</v>
      </c>
      <c r="B5" s="18" t="s">
        <v>26</v>
      </c>
      <c r="C5" s="19">
        <f>SUM(C6:C9)</f>
        <v>2249</v>
      </c>
      <c r="D5" s="19">
        <f>SUM(D6:D9)</f>
        <v>0</v>
      </c>
      <c r="E5" s="19">
        <f>SUM(E6:E9)</f>
        <v>0</v>
      </c>
      <c r="F5" s="19">
        <f>SUM(F6:F9)</f>
        <v>0</v>
      </c>
      <c r="G5" s="19">
        <f t="shared" si="0"/>
        <v>2249</v>
      </c>
      <c r="H5" s="19"/>
      <c r="I5" s="19"/>
      <c r="J5" s="19"/>
      <c r="K5" s="32"/>
    </row>
    <row r="6" s="4" customFormat="1" ht="27" customHeight="1" spans="1:12">
      <c r="A6" s="20">
        <v>1</v>
      </c>
      <c r="B6" s="18" t="s">
        <v>27</v>
      </c>
      <c r="C6" s="19">
        <f>I6*J6/10000</f>
        <v>1330</v>
      </c>
      <c r="D6" s="21"/>
      <c r="E6" s="21"/>
      <c r="F6" s="19"/>
      <c r="G6" s="19">
        <f t="shared" si="0"/>
        <v>1330</v>
      </c>
      <c r="H6" s="19" t="s">
        <v>28</v>
      </c>
      <c r="I6" s="19">
        <v>3800</v>
      </c>
      <c r="J6" s="19">
        <v>3500</v>
      </c>
      <c r="K6" s="7">
        <f>3040*1.8*600+760*6000</f>
        <v>7843200</v>
      </c>
      <c r="L6" s="4">
        <f>K6/I6</f>
        <v>2064</v>
      </c>
    </row>
    <row r="7" s="4" customFormat="1" ht="27" customHeight="1" spans="1:11">
      <c r="A7" s="20">
        <v>2</v>
      </c>
      <c r="B7" s="18" t="s">
        <v>29</v>
      </c>
      <c r="C7" s="19">
        <f>I7*J7/10000</f>
        <v>662.4</v>
      </c>
      <c r="D7" s="21"/>
      <c r="E7" s="21"/>
      <c r="F7" s="19"/>
      <c r="G7" s="19">
        <f t="shared" si="0"/>
        <v>662.4</v>
      </c>
      <c r="H7" s="19" t="s">
        <v>30</v>
      </c>
      <c r="I7" s="19">
        <f>4600*6</f>
        <v>27600</v>
      </c>
      <c r="J7" s="19">
        <v>240</v>
      </c>
      <c r="K7" s="7"/>
    </row>
    <row r="8" s="4" customFormat="1" ht="27" customHeight="1" spans="1:11">
      <c r="A8" s="20">
        <v>3</v>
      </c>
      <c r="B8" s="18" t="s">
        <v>31</v>
      </c>
      <c r="C8" s="19">
        <f>I8*J8/10000</f>
        <v>96.6</v>
      </c>
      <c r="D8" s="21"/>
      <c r="E8" s="21"/>
      <c r="F8" s="19"/>
      <c r="G8" s="19">
        <f t="shared" si="0"/>
        <v>96.6</v>
      </c>
      <c r="H8" s="19" t="s">
        <v>30</v>
      </c>
      <c r="I8" s="19">
        <f>3220*2</f>
        <v>6440</v>
      </c>
      <c r="J8" s="19">
        <v>150</v>
      </c>
      <c r="K8" s="7"/>
    </row>
    <row r="9" s="4" customFormat="1" ht="27" customHeight="1" spans="1:11">
      <c r="A9" s="20">
        <v>4</v>
      </c>
      <c r="B9" s="18" t="s">
        <v>32</v>
      </c>
      <c r="C9" s="19">
        <f>I9*J9/10000</f>
        <v>160</v>
      </c>
      <c r="D9" s="21"/>
      <c r="E9" s="21"/>
      <c r="F9" s="19"/>
      <c r="G9" s="19">
        <f t="shared" si="0"/>
        <v>160</v>
      </c>
      <c r="H9" s="19" t="s">
        <v>33</v>
      </c>
      <c r="I9" s="19">
        <v>80</v>
      </c>
      <c r="J9" s="19">
        <v>20000</v>
      </c>
      <c r="K9" s="7"/>
    </row>
    <row r="10" s="3" customFormat="1" ht="27" customHeight="1" spans="1:11">
      <c r="A10" s="17" t="s">
        <v>34</v>
      </c>
      <c r="B10" s="18" t="s">
        <v>35</v>
      </c>
      <c r="C10" s="19">
        <f>C11+C15+C18</f>
        <v>1395.06</v>
      </c>
      <c r="D10" s="19">
        <f>D11+D15+D18</f>
        <v>0</v>
      </c>
      <c r="E10" s="19">
        <f>E11+E15+E18</f>
        <v>0</v>
      </c>
      <c r="F10" s="19">
        <f>F11+F15+F18</f>
        <v>0</v>
      </c>
      <c r="G10" s="19">
        <f t="shared" ref="G10:G26" si="1">SUM(C10:F10)</f>
        <v>1395.06</v>
      </c>
      <c r="H10" s="19"/>
      <c r="I10" s="19"/>
      <c r="J10" s="19"/>
      <c r="K10" s="32"/>
    </row>
    <row r="11" s="4" customFormat="1" ht="27" customHeight="1" spans="1:11">
      <c r="A11" s="20">
        <v>1</v>
      </c>
      <c r="B11" s="22" t="s">
        <v>36</v>
      </c>
      <c r="C11" s="19">
        <f>SUM(C12:C14)</f>
        <v>1128.9</v>
      </c>
      <c r="D11" s="19">
        <f>SUM(D12:D14)</f>
        <v>0</v>
      </c>
      <c r="E11" s="19">
        <f>SUM(E12:E14)</f>
        <v>0</v>
      </c>
      <c r="F11" s="19">
        <f>SUM(F12:F14)</f>
        <v>0</v>
      </c>
      <c r="G11" s="19">
        <f t="shared" si="1"/>
        <v>1128.9</v>
      </c>
      <c r="H11" s="19"/>
      <c r="I11" s="19"/>
      <c r="J11" s="19"/>
      <c r="K11" s="7"/>
    </row>
    <row r="12" s="4" customFormat="1" ht="27" customHeight="1" spans="1:11">
      <c r="A12" s="20"/>
      <c r="B12" s="18" t="s">
        <v>37</v>
      </c>
      <c r="C12" s="19">
        <f>I12*J12/10000</f>
        <v>202.8</v>
      </c>
      <c r="D12" s="21"/>
      <c r="E12" s="21"/>
      <c r="F12" s="19"/>
      <c r="G12" s="19">
        <f t="shared" si="1"/>
        <v>202.8</v>
      </c>
      <c r="H12" s="19" t="s">
        <v>30</v>
      </c>
      <c r="I12" s="19">
        <f>676*20</f>
        <v>13520</v>
      </c>
      <c r="J12" s="19">
        <v>150</v>
      </c>
      <c r="K12" s="7"/>
    </row>
    <row r="13" s="4" customFormat="1" ht="27" customHeight="1" spans="1:11">
      <c r="A13" s="20"/>
      <c r="B13" s="18" t="s">
        <v>38</v>
      </c>
      <c r="C13" s="19">
        <f>I13*J13/10000</f>
        <v>593.1</v>
      </c>
      <c r="D13" s="21"/>
      <c r="E13" s="21"/>
      <c r="F13" s="19"/>
      <c r="G13" s="19">
        <f t="shared" si="1"/>
        <v>593.1</v>
      </c>
      <c r="H13" s="19" t="s">
        <v>30</v>
      </c>
      <c r="I13" s="19">
        <f>1977*20</f>
        <v>39540</v>
      </c>
      <c r="J13" s="19">
        <v>150</v>
      </c>
      <c r="K13" s="7"/>
    </row>
    <row r="14" s="4" customFormat="1" ht="27" customHeight="1" spans="1:11">
      <c r="A14" s="20"/>
      <c r="B14" s="18" t="s">
        <v>39</v>
      </c>
      <c r="C14" s="19">
        <f t="shared" ref="C14:C20" si="2">I14*J14/10000</f>
        <v>333</v>
      </c>
      <c r="D14" s="21"/>
      <c r="E14" s="21"/>
      <c r="F14" s="19"/>
      <c r="G14" s="19">
        <f t="shared" si="1"/>
        <v>333</v>
      </c>
      <c r="H14" s="19" t="s">
        <v>30</v>
      </c>
      <c r="I14" s="19">
        <f>1110*20</f>
        <v>22200</v>
      </c>
      <c r="J14" s="19">
        <v>150</v>
      </c>
      <c r="K14" s="7"/>
    </row>
    <row r="15" s="4" customFormat="1" ht="27" customHeight="1" spans="1:11">
      <c r="A15" s="20">
        <v>2</v>
      </c>
      <c r="B15" s="22" t="s">
        <v>40</v>
      </c>
      <c r="C15" s="19">
        <f>SUM(C16:C17)</f>
        <v>76.41</v>
      </c>
      <c r="D15" s="19">
        <f>SUM(D16:D17)</f>
        <v>0</v>
      </c>
      <c r="E15" s="19">
        <f>SUM(E16:E17)</f>
        <v>0</v>
      </c>
      <c r="F15" s="19">
        <f>SUM(F16:F17)</f>
        <v>0</v>
      </c>
      <c r="G15" s="19">
        <f t="shared" si="1"/>
        <v>76.41</v>
      </c>
      <c r="H15" s="19"/>
      <c r="I15" s="19"/>
      <c r="J15" s="19"/>
      <c r="K15" s="7"/>
    </row>
    <row r="16" s="4" customFormat="1" ht="32" customHeight="1" spans="1:11">
      <c r="A16" s="20"/>
      <c r="B16" s="23" t="s">
        <v>41</v>
      </c>
      <c r="C16" s="19">
        <f t="shared" si="2"/>
        <v>25.245</v>
      </c>
      <c r="D16" s="21"/>
      <c r="E16" s="21"/>
      <c r="F16" s="19"/>
      <c r="G16" s="19">
        <f t="shared" si="1"/>
        <v>25.245</v>
      </c>
      <c r="H16" s="19" t="s">
        <v>30</v>
      </c>
      <c r="I16" s="19">
        <f>374*1.5</f>
        <v>561</v>
      </c>
      <c r="J16" s="19">
        <v>450</v>
      </c>
      <c r="K16" s="7"/>
    </row>
    <row r="17" s="4" customFormat="1" ht="33" customHeight="1" spans="1:11">
      <c r="A17" s="20"/>
      <c r="B17" s="23" t="s">
        <v>42</v>
      </c>
      <c r="C17" s="19">
        <f t="shared" si="2"/>
        <v>51.165</v>
      </c>
      <c r="D17" s="21"/>
      <c r="E17" s="21"/>
      <c r="F17" s="19"/>
      <c r="G17" s="19">
        <f t="shared" si="1"/>
        <v>51.165</v>
      </c>
      <c r="H17" s="19" t="s">
        <v>30</v>
      </c>
      <c r="I17" s="19">
        <f>758*1.5</f>
        <v>1137</v>
      </c>
      <c r="J17" s="19">
        <v>450</v>
      </c>
      <c r="K17" s="7"/>
    </row>
    <row r="18" s="4" customFormat="1" ht="35" customHeight="1" spans="1:11">
      <c r="A18" s="20">
        <v>3</v>
      </c>
      <c r="B18" s="24" t="s">
        <v>43</v>
      </c>
      <c r="C18" s="19">
        <f>SUM(C19:C20)</f>
        <v>189.75</v>
      </c>
      <c r="D18" s="19">
        <f t="shared" ref="C18:F18" si="3">SUM(D19:D20)</f>
        <v>0</v>
      </c>
      <c r="E18" s="19">
        <f t="shared" si="3"/>
        <v>0</v>
      </c>
      <c r="F18" s="19">
        <f t="shared" si="3"/>
        <v>0</v>
      </c>
      <c r="G18" s="19">
        <f t="shared" si="1"/>
        <v>189.75</v>
      </c>
      <c r="H18" s="19"/>
      <c r="I18" s="19"/>
      <c r="J18" s="19"/>
      <c r="K18" s="7"/>
    </row>
    <row r="19" s="4" customFormat="1" ht="32" customHeight="1" spans="1:11">
      <c r="A19" s="20"/>
      <c r="B19" s="23" t="s">
        <v>44</v>
      </c>
      <c r="C19" s="19">
        <f t="shared" si="2"/>
        <v>132</v>
      </c>
      <c r="D19" s="21"/>
      <c r="E19" s="21"/>
      <c r="F19" s="19"/>
      <c r="G19" s="19">
        <f t="shared" si="1"/>
        <v>132</v>
      </c>
      <c r="H19" s="19" t="s">
        <v>30</v>
      </c>
      <c r="I19" s="19">
        <f>1200*2</f>
        <v>2400</v>
      </c>
      <c r="J19" s="19">
        <v>550</v>
      </c>
      <c r="K19" s="7"/>
    </row>
    <row r="20" s="4" customFormat="1" ht="33" customHeight="1" spans="1:11">
      <c r="A20" s="20"/>
      <c r="B20" s="23" t="s">
        <v>45</v>
      </c>
      <c r="C20" s="19">
        <f t="shared" si="2"/>
        <v>57.75</v>
      </c>
      <c r="D20" s="21"/>
      <c r="E20" s="21"/>
      <c r="F20" s="19"/>
      <c r="G20" s="19">
        <f t="shared" si="1"/>
        <v>57.75</v>
      </c>
      <c r="H20" s="19" t="s">
        <v>30</v>
      </c>
      <c r="I20" s="19">
        <f>525*2</f>
        <v>1050</v>
      </c>
      <c r="J20" s="19">
        <v>550</v>
      </c>
      <c r="K20" s="7"/>
    </row>
    <row r="21" s="3" customFormat="1" ht="27" customHeight="1" spans="1:11">
      <c r="A21" s="17" t="s">
        <v>46</v>
      </c>
      <c r="B21" s="18" t="s">
        <v>47</v>
      </c>
      <c r="C21" s="19">
        <f>SUM(C22:C26)</f>
        <v>333.762</v>
      </c>
      <c r="D21" s="19">
        <f>SUM(D22:D26)</f>
        <v>0</v>
      </c>
      <c r="E21" s="19">
        <f>SUM(E22:E26)</f>
        <v>0</v>
      </c>
      <c r="F21" s="19">
        <f>SUM(F22:F26)</f>
        <v>0</v>
      </c>
      <c r="G21" s="19">
        <f t="shared" si="1"/>
        <v>333.762</v>
      </c>
      <c r="H21" s="19"/>
      <c r="I21" s="19"/>
      <c r="J21" s="19"/>
      <c r="K21" s="32"/>
    </row>
    <row r="22" s="4" customFormat="1" ht="27" customHeight="1" spans="1:11">
      <c r="A22" s="20">
        <v>1</v>
      </c>
      <c r="B22" s="18" t="s">
        <v>48</v>
      </c>
      <c r="C22" s="19">
        <f>I22*J22/10000</f>
        <v>73.5</v>
      </c>
      <c r="D22" s="21"/>
      <c r="E22" s="21"/>
      <c r="F22" s="19"/>
      <c r="G22" s="19">
        <f t="shared" si="1"/>
        <v>73.5</v>
      </c>
      <c r="H22" s="19" t="s">
        <v>49</v>
      </c>
      <c r="I22" s="19">
        <v>21</v>
      </c>
      <c r="J22" s="19">
        <v>35000</v>
      </c>
      <c r="K22" s="7"/>
    </row>
    <row r="23" s="4" customFormat="1" ht="27" customHeight="1" spans="1:11">
      <c r="A23" s="20">
        <v>2</v>
      </c>
      <c r="B23" s="18" t="s">
        <v>50</v>
      </c>
      <c r="C23" s="19">
        <f>I23*J23/10000</f>
        <v>25.974</v>
      </c>
      <c r="D23" s="21"/>
      <c r="E23" s="21"/>
      <c r="F23" s="19"/>
      <c r="G23" s="19">
        <f t="shared" si="1"/>
        <v>25.974</v>
      </c>
      <c r="H23" s="19" t="s">
        <v>30</v>
      </c>
      <c r="I23" s="19">
        <v>649.35</v>
      </c>
      <c r="J23" s="19">
        <v>400</v>
      </c>
      <c r="K23" s="7"/>
    </row>
    <row r="24" s="4" customFormat="1" ht="27" customHeight="1" spans="1:11">
      <c r="A24" s="20">
        <v>3</v>
      </c>
      <c r="B24" s="18" t="s">
        <v>51</v>
      </c>
      <c r="C24" s="19">
        <f>I24*J24/10000</f>
        <v>18.416</v>
      </c>
      <c r="D24" s="21"/>
      <c r="E24" s="21"/>
      <c r="F24" s="19"/>
      <c r="G24" s="19">
        <f t="shared" si="1"/>
        <v>18.416</v>
      </c>
      <c r="H24" s="19" t="s">
        <v>28</v>
      </c>
      <c r="I24" s="19">
        <v>1151</v>
      </c>
      <c r="J24" s="19">
        <v>160</v>
      </c>
      <c r="K24" s="7"/>
    </row>
    <row r="25" s="4" customFormat="1" ht="27" customHeight="1" spans="1:11">
      <c r="A25" s="20">
        <v>4</v>
      </c>
      <c r="B25" s="18" t="s">
        <v>52</v>
      </c>
      <c r="C25" s="19">
        <f>I25*J25/10000</f>
        <v>210.672</v>
      </c>
      <c r="D25" s="21"/>
      <c r="E25" s="21"/>
      <c r="F25" s="19"/>
      <c r="G25" s="19">
        <f t="shared" si="1"/>
        <v>210.672</v>
      </c>
      <c r="H25" s="19" t="s">
        <v>30</v>
      </c>
      <c r="I25" s="19">
        <v>8778</v>
      </c>
      <c r="J25" s="19">
        <v>240</v>
      </c>
      <c r="K25" s="7"/>
    </row>
    <row r="26" s="4" customFormat="1" ht="27" customHeight="1" spans="1:11">
      <c r="A26" s="20">
        <v>5</v>
      </c>
      <c r="B26" s="18" t="s">
        <v>53</v>
      </c>
      <c r="C26" s="19">
        <f>I26*J26/10000</f>
        <v>5.2</v>
      </c>
      <c r="D26" s="21"/>
      <c r="E26" s="21"/>
      <c r="F26" s="19"/>
      <c r="G26" s="19">
        <f t="shared" si="1"/>
        <v>5.2</v>
      </c>
      <c r="H26" s="19" t="s">
        <v>54</v>
      </c>
      <c r="I26" s="19">
        <v>260</v>
      </c>
      <c r="J26" s="19">
        <v>200</v>
      </c>
      <c r="K26" s="7"/>
    </row>
    <row r="27" s="5" customFormat="1" ht="27" customHeight="1" spans="1:11">
      <c r="A27" s="15" t="s">
        <v>55</v>
      </c>
      <c r="B27" s="16" t="s">
        <v>56</v>
      </c>
      <c r="C27" s="14"/>
      <c r="D27" s="14"/>
      <c r="E27" s="14"/>
      <c r="F27" s="14">
        <f>SUM(F28:F40)</f>
        <v>381.870912</v>
      </c>
      <c r="G27" s="14">
        <f>F27</f>
        <v>381.870912</v>
      </c>
      <c r="H27" s="14"/>
      <c r="I27" s="14"/>
      <c r="J27" s="14"/>
      <c r="K27" s="33"/>
    </row>
    <row r="28" s="4" customFormat="1" ht="27" customHeight="1" spans="1:11">
      <c r="A28" s="20">
        <v>1</v>
      </c>
      <c r="B28" s="18" t="s">
        <v>57</v>
      </c>
      <c r="C28" s="19"/>
      <c r="D28" s="19"/>
      <c r="E28" s="19"/>
      <c r="F28" s="19">
        <f>I28*J28</f>
        <v>47.733864</v>
      </c>
      <c r="G28" s="19">
        <f>F28</f>
        <v>47.733864</v>
      </c>
      <c r="H28" s="19" t="s">
        <v>58</v>
      </c>
      <c r="I28" s="19">
        <f>$G$4</f>
        <v>3977.822</v>
      </c>
      <c r="J28" s="34">
        <v>0.012</v>
      </c>
      <c r="K28" s="7"/>
    </row>
    <row r="29" s="4" customFormat="1" ht="26" customHeight="1" spans="1:11">
      <c r="A29" s="20">
        <v>2</v>
      </c>
      <c r="B29" s="23" t="s">
        <v>59</v>
      </c>
      <c r="C29" s="19"/>
      <c r="D29" s="19"/>
      <c r="E29" s="19"/>
      <c r="F29" s="19">
        <f>I29*J29</f>
        <v>19.88911</v>
      </c>
      <c r="G29" s="19">
        <f>F29</f>
        <v>19.88911</v>
      </c>
      <c r="H29" s="19" t="s">
        <v>58</v>
      </c>
      <c r="I29" s="19">
        <f t="shared" ref="I29:I40" si="4">$G$4</f>
        <v>3977.822</v>
      </c>
      <c r="J29" s="34">
        <v>0.005</v>
      </c>
      <c r="K29" s="7"/>
    </row>
    <row r="30" s="4" customFormat="1" ht="26" customHeight="1" spans="1:11">
      <c r="A30" s="20">
        <v>3</v>
      </c>
      <c r="B30" s="23" t="s">
        <v>60</v>
      </c>
      <c r="C30" s="19"/>
      <c r="D30" s="19"/>
      <c r="E30" s="19"/>
      <c r="F30" s="19">
        <f t="shared" ref="F30:F35" si="5">I30*J30</f>
        <v>119.33466</v>
      </c>
      <c r="G30" s="19">
        <f t="shared" ref="G30:G35" si="6">F30</f>
        <v>119.33466</v>
      </c>
      <c r="H30" s="19" t="s">
        <v>58</v>
      </c>
      <c r="I30" s="19">
        <f t="shared" si="4"/>
        <v>3977.822</v>
      </c>
      <c r="J30" s="34">
        <v>0.03</v>
      </c>
      <c r="K30" s="7"/>
    </row>
    <row r="31" s="4" customFormat="1" ht="27" hidden="1" customHeight="1" spans="1:11">
      <c r="A31" s="20">
        <v>4</v>
      </c>
      <c r="B31" s="18" t="s">
        <v>61</v>
      </c>
      <c r="C31" s="19"/>
      <c r="D31" s="19"/>
      <c r="E31" s="19"/>
      <c r="F31" s="19">
        <f t="shared" si="5"/>
        <v>0</v>
      </c>
      <c r="G31" s="19">
        <f t="shared" si="6"/>
        <v>0</v>
      </c>
      <c r="H31" s="19" t="s">
        <v>58</v>
      </c>
      <c r="I31" s="19">
        <f t="shared" si="4"/>
        <v>3977.822</v>
      </c>
      <c r="J31" s="34">
        <v>0</v>
      </c>
      <c r="K31" s="7"/>
    </row>
    <row r="32" s="4" customFormat="1" ht="27" customHeight="1" spans="1:11">
      <c r="A32" s="20">
        <v>4</v>
      </c>
      <c r="B32" s="18" t="s">
        <v>62</v>
      </c>
      <c r="C32" s="19"/>
      <c r="D32" s="19"/>
      <c r="E32" s="19"/>
      <c r="F32" s="19">
        <f t="shared" si="5"/>
        <v>11.933466</v>
      </c>
      <c r="G32" s="19">
        <f t="shared" si="6"/>
        <v>11.933466</v>
      </c>
      <c r="H32" s="19" t="s">
        <v>58</v>
      </c>
      <c r="I32" s="19">
        <f t="shared" si="4"/>
        <v>3977.822</v>
      </c>
      <c r="J32" s="34">
        <v>0.003</v>
      </c>
      <c r="K32" s="7"/>
    </row>
    <row r="33" s="4" customFormat="1" ht="27" customHeight="1" spans="1:11">
      <c r="A33" s="20">
        <v>5</v>
      </c>
      <c r="B33" s="18" t="s">
        <v>63</v>
      </c>
      <c r="C33" s="19"/>
      <c r="D33" s="19"/>
      <c r="E33" s="19"/>
      <c r="F33" s="19">
        <f t="shared" si="5"/>
        <v>19.88911</v>
      </c>
      <c r="G33" s="19">
        <f t="shared" si="6"/>
        <v>19.88911</v>
      </c>
      <c r="H33" s="19" t="s">
        <v>58</v>
      </c>
      <c r="I33" s="19">
        <f t="shared" si="4"/>
        <v>3977.822</v>
      </c>
      <c r="J33" s="34">
        <v>0.005</v>
      </c>
      <c r="K33" s="7"/>
    </row>
    <row r="34" s="4" customFormat="1" ht="27" customHeight="1" spans="1:11">
      <c r="A34" s="20">
        <v>6</v>
      </c>
      <c r="B34" s="18" t="s">
        <v>64</v>
      </c>
      <c r="C34" s="19"/>
      <c r="D34" s="19"/>
      <c r="E34" s="19"/>
      <c r="F34" s="19">
        <f t="shared" si="5"/>
        <v>11.933466</v>
      </c>
      <c r="G34" s="19">
        <f t="shared" si="6"/>
        <v>11.933466</v>
      </c>
      <c r="H34" s="19" t="s">
        <v>58</v>
      </c>
      <c r="I34" s="19">
        <f t="shared" si="4"/>
        <v>3977.822</v>
      </c>
      <c r="J34" s="34">
        <v>0.003</v>
      </c>
      <c r="K34" s="7"/>
    </row>
    <row r="35" s="4" customFormat="1" ht="27" customHeight="1" spans="1:11">
      <c r="A35" s="20">
        <v>7</v>
      </c>
      <c r="B35" s="18" t="s">
        <v>65</v>
      </c>
      <c r="C35" s="19"/>
      <c r="D35" s="19"/>
      <c r="E35" s="19"/>
      <c r="F35" s="19">
        <f t="shared" si="5"/>
        <v>10.7401194</v>
      </c>
      <c r="G35" s="19">
        <f t="shared" si="6"/>
        <v>10.7401194</v>
      </c>
      <c r="H35" s="19" t="s">
        <v>58</v>
      </c>
      <c r="I35" s="19">
        <f t="shared" si="4"/>
        <v>3977.822</v>
      </c>
      <c r="J35" s="34">
        <v>0.0027</v>
      </c>
      <c r="K35" s="7"/>
    </row>
    <row r="36" s="4" customFormat="1" ht="27" customHeight="1" spans="1:11">
      <c r="A36" s="20">
        <v>8</v>
      </c>
      <c r="B36" s="18" t="s">
        <v>66</v>
      </c>
      <c r="C36" s="19"/>
      <c r="D36" s="19"/>
      <c r="E36" s="19"/>
      <c r="F36" s="19">
        <f t="shared" ref="F36:F41" si="7">I36*J36</f>
        <v>25.855843</v>
      </c>
      <c r="G36" s="19">
        <f t="shared" ref="G36:G41" si="8">F36</f>
        <v>25.855843</v>
      </c>
      <c r="H36" s="19" t="s">
        <v>58</v>
      </c>
      <c r="I36" s="19">
        <f t="shared" si="4"/>
        <v>3977.822</v>
      </c>
      <c r="J36" s="34">
        <v>0.0065</v>
      </c>
      <c r="K36" s="7"/>
    </row>
    <row r="37" s="4" customFormat="1" ht="27" customHeight="1" spans="1:11">
      <c r="A37" s="20">
        <v>9</v>
      </c>
      <c r="B37" s="18" t="s">
        <v>67</v>
      </c>
      <c r="C37" s="19"/>
      <c r="D37" s="19"/>
      <c r="E37" s="19"/>
      <c r="F37" s="19">
        <f t="shared" si="7"/>
        <v>59.66733</v>
      </c>
      <c r="G37" s="19">
        <f t="shared" si="8"/>
        <v>59.66733</v>
      </c>
      <c r="H37" s="19" t="s">
        <v>58</v>
      </c>
      <c r="I37" s="19">
        <f t="shared" si="4"/>
        <v>3977.822</v>
      </c>
      <c r="J37" s="34">
        <v>0.015</v>
      </c>
      <c r="K37" s="7"/>
    </row>
    <row r="38" s="4" customFormat="1" ht="27" customHeight="1" spans="1:11">
      <c r="A38" s="20">
        <v>10</v>
      </c>
      <c r="B38" s="18" t="s">
        <v>68</v>
      </c>
      <c r="C38" s="19"/>
      <c r="D38" s="19"/>
      <c r="E38" s="19"/>
      <c r="F38" s="19">
        <f t="shared" si="7"/>
        <v>19.0935456</v>
      </c>
      <c r="G38" s="19">
        <f t="shared" si="8"/>
        <v>19.0935456</v>
      </c>
      <c r="H38" s="19" t="s">
        <v>58</v>
      </c>
      <c r="I38" s="19">
        <f t="shared" si="4"/>
        <v>3977.822</v>
      </c>
      <c r="J38" s="34">
        <v>0.0048</v>
      </c>
      <c r="K38" s="7"/>
    </row>
    <row r="39" s="4" customFormat="1" ht="27" customHeight="1" spans="1:11">
      <c r="A39" s="20">
        <v>11</v>
      </c>
      <c r="B39" s="18" t="s">
        <v>69</v>
      </c>
      <c r="C39" s="19"/>
      <c r="D39" s="19"/>
      <c r="E39" s="19"/>
      <c r="F39" s="19">
        <f t="shared" si="7"/>
        <v>11.933466</v>
      </c>
      <c r="G39" s="19">
        <f t="shared" si="8"/>
        <v>11.933466</v>
      </c>
      <c r="H39" s="19" t="s">
        <v>58</v>
      </c>
      <c r="I39" s="19">
        <f t="shared" si="4"/>
        <v>3977.822</v>
      </c>
      <c r="J39" s="34">
        <v>0.003</v>
      </c>
      <c r="K39" s="7"/>
    </row>
    <row r="40" s="4" customFormat="1" ht="27" customHeight="1" spans="1:11">
      <c r="A40" s="20">
        <v>12</v>
      </c>
      <c r="B40" s="18" t="s">
        <v>70</v>
      </c>
      <c r="C40" s="19"/>
      <c r="D40" s="19"/>
      <c r="E40" s="19"/>
      <c r="F40" s="19">
        <f t="shared" si="7"/>
        <v>23.866932</v>
      </c>
      <c r="G40" s="19">
        <f t="shared" si="8"/>
        <v>23.866932</v>
      </c>
      <c r="H40" s="19" t="s">
        <v>58</v>
      </c>
      <c r="I40" s="19">
        <f t="shared" si="4"/>
        <v>3977.822</v>
      </c>
      <c r="J40" s="34">
        <v>0.006</v>
      </c>
      <c r="K40" s="7"/>
    </row>
    <row r="41" s="5" customFormat="1" ht="27" customHeight="1" spans="1:11">
      <c r="A41" s="15" t="s">
        <v>71</v>
      </c>
      <c r="B41" s="25" t="s">
        <v>72</v>
      </c>
      <c r="C41" s="14"/>
      <c r="D41" s="14"/>
      <c r="E41" s="14"/>
      <c r="F41" s="14">
        <f t="shared" si="7"/>
        <v>261.58157472</v>
      </c>
      <c r="G41" s="14">
        <f t="shared" si="8"/>
        <v>261.58157472</v>
      </c>
      <c r="H41" s="14" t="s">
        <v>58</v>
      </c>
      <c r="I41" s="14">
        <f>G4+G27</f>
        <v>4359.692912</v>
      </c>
      <c r="J41" s="35">
        <v>0.06</v>
      </c>
      <c r="K41" s="33"/>
    </row>
    <row r="42" s="5" customFormat="1" ht="27" customHeight="1" spans="1:11">
      <c r="A42" s="15" t="s">
        <v>73</v>
      </c>
      <c r="B42" s="16" t="s">
        <v>74</v>
      </c>
      <c r="C42" s="14">
        <f t="shared" ref="C42:G42" si="9">C4+C27+C41</f>
        <v>3977.822</v>
      </c>
      <c r="D42" s="14">
        <f t="shared" si="9"/>
        <v>0</v>
      </c>
      <c r="E42" s="14">
        <f t="shared" si="9"/>
        <v>0</v>
      </c>
      <c r="F42" s="14">
        <f t="shared" si="9"/>
        <v>643.45248672</v>
      </c>
      <c r="G42" s="14">
        <f t="shared" si="9"/>
        <v>4621.27448672</v>
      </c>
      <c r="H42" s="14"/>
      <c r="I42" s="14"/>
      <c r="J42" s="14"/>
      <c r="K42" s="33"/>
    </row>
    <row r="43" s="5" customFormat="1" ht="27" customHeight="1" spans="1:11">
      <c r="A43" s="15" t="s">
        <v>75</v>
      </c>
      <c r="B43" s="26" t="s">
        <v>76</v>
      </c>
      <c r="C43" s="27">
        <f>C42/G42*100</f>
        <v>86.0762980305743</v>
      </c>
      <c r="D43" s="27">
        <f>D42/G42*100</f>
        <v>0</v>
      </c>
      <c r="E43" s="27">
        <f>E42/F42*100</f>
        <v>0</v>
      </c>
      <c r="F43" s="27">
        <f>F42/G42*100</f>
        <v>13.9237019694257</v>
      </c>
      <c r="G43" s="14">
        <v>100</v>
      </c>
      <c r="H43" s="27"/>
      <c r="I43" s="27"/>
      <c r="J43" s="27"/>
      <c r="K43" s="33"/>
    </row>
    <row r="45" ht="24" hidden="1" customHeight="1" spans="7:8">
      <c r="G45" s="28">
        <v>15340.52</v>
      </c>
      <c r="H45" s="6">
        <f>G45-G42</f>
        <v>10719.24551328</v>
      </c>
    </row>
    <row r="46" hidden="1" spans="7:7">
      <c r="G46" s="6">
        <f>G42*1.05</f>
        <v>4852.338211056</v>
      </c>
    </row>
    <row r="47" hidden="1" spans="7:7">
      <c r="G47" s="6">
        <v>15323</v>
      </c>
    </row>
    <row r="48" hidden="1" spans="3:4">
      <c r="C48" s="6" t="e">
        <f>#REF!+#REF!+#REF!+#REF!+#REF!+#REF!+#REF!+#REF!+#REF!+#REF!+#REF!+#REF!+#REF!</f>
        <v>#REF!</v>
      </c>
      <c r="D48" s="6">
        <v>144.06</v>
      </c>
    </row>
    <row r="49" hidden="1"/>
    <row r="50" hidden="1" spans="5:7">
      <c r="E50" s="6" t="s">
        <v>77</v>
      </c>
      <c r="G50" s="6" t="e">
        <f>#REF!+#REF!+#REF!+#REF!+#REF!+#REF!</f>
        <v>#REF!</v>
      </c>
    </row>
    <row r="51" hidden="1" spans="5:10">
      <c r="E51" s="6" t="s">
        <v>78</v>
      </c>
      <c r="G51" s="6" t="e">
        <f>#REF!+#REF!+#REF!+#REF!+#REF!+#REF!+#REF!+#REF!+#REF!</f>
        <v>#REF!</v>
      </c>
      <c r="I51" s="36" t="s">
        <v>79</v>
      </c>
      <c r="J51" s="36"/>
    </row>
    <row r="52" hidden="1" spans="2:10">
      <c r="B52" s="3" t="s">
        <v>80</v>
      </c>
      <c r="C52" s="29" t="e">
        <f>I12+#REF!+#REF!+#REF!+#REF!+#REF!+#REF!+#REF!+#REF!+#REF!+#REF!+#REF!+#REF!+#REF!+#REF!+#REF!+#REF!+#REF!+#REF!</f>
        <v>#REF!</v>
      </c>
      <c r="E52" s="6" t="s">
        <v>81</v>
      </c>
      <c r="G52" s="6" t="e">
        <f>#REF!+#REF!+#REF!+#REF!+#REF!+#REF!+#REF!+#REF!+#REF!+#REF!+#REF!+#REF!</f>
        <v>#REF!</v>
      </c>
      <c r="I52" s="36" t="s">
        <v>82</v>
      </c>
      <c r="J52" s="36"/>
    </row>
    <row r="53" hidden="1" spans="2:10">
      <c r="B53" s="4" t="s">
        <v>83</v>
      </c>
      <c r="C53" s="6" t="e">
        <f>#REF!+#REF!+#REF!+#REF!+#REF!+#REF!+#REF!+#REF!+#REF!+#REF!+#REF!+#REF!</f>
        <v>#REF!</v>
      </c>
      <c r="E53" s="6" t="s">
        <v>84</v>
      </c>
      <c r="G53" s="6" t="e">
        <f>#REF!+#REF!+#REF!</f>
        <v>#REF!</v>
      </c>
      <c r="I53" s="36" t="s">
        <v>85</v>
      </c>
      <c r="J53" s="36"/>
    </row>
    <row r="54" hidden="1" spans="2:10">
      <c r="B54" s="4" t="s">
        <v>86</v>
      </c>
      <c r="C54" s="6" t="e">
        <f>#REF!+#REF!+#REF!+#REF!+#REF!+#REF!+#REF!+#REF!+#REF!+#REF!+#REF!+#REF!+#REF!+#REF!</f>
        <v>#REF!</v>
      </c>
      <c r="E54" s="6" t="s">
        <v>87</v>
      </c>
      <c r="G54" s="6" t="e">
        <f>#REF!+#REF!+#REF!</f>
        <v>#REF!</v>
      </c>
      <c r="I54" s="36" t="s">
        <v>88</v>
      </c>
      <c r="J54" s="36"/>
    </row>
    <row r="55" hidden="1" spans="2:10">
      <c r="B55" s="4" t="s">
        <v>89</v>
      </c>
      <c r="C55" s="6" t="e">
        <f>I13+#REF!+#REF!+#REF!+#REF!+#REF!+#REF!+#REF!+#REF!+#REF!</f>
        <v>#REF!</v>
      </c>
      <c r="E55" s="6" t="s">
        <v>90</v>
      </c>
      <c r="G55" s="6" t="e">
        <f>#REF!+#REF!+#REF!+#REF!+#REF!+#REF!+#REF!+#REF!+#REF!</f>
        <v>#REF!</v>
      </c>
      <c r="I55" s="36" t="s">
        <v>91</v>
      </c>
      <c r="J55" s="36"/>
    </row>
    <row r="56" hidden="1" spans="2:10">
      <c r="B56" s="4" t="s">
        <v>92</v>
      </c>
      <c r="C56" s="6" t="e">
        <f>#REF!</f>
        <v>#REF!</v>
      </c>
      <c r="E56" s="6" t="s">
        <v>93</v>
      </c>
      <c r="G56" s="6" t="e">
        <f>#REF!+#REF!</f>
        <v>#REF!</v>
      </c>
      <c r="I56" s="36" t="s">
        <v>94</v>
      </c>
      <c r="J56" s="36"/>
    </row>
    <row r="57" hidden="1" spans="2:10">
      <c r="B57" s="4" t="s">
        <v>95</v>
      </c>
      <c r="C57" s="6" t="e">
        <f>#REF!</f>
        <v>#REF!</v>
      </c>
      <c r="I57" s="36" t="s">
        <v>96</v>
      </c>
      <c r="J57" s="36"/>
    </row>
    <row r="58" hidden="1" spans="2:10">
      <c r="B58" s="4" t="s">
        <v>97</v>
      </c>
      <c r="C58" s="6" t="e">
        <f>I14+#REF!+#REF!+#REF!+#REF!+#REF!+#REF!+#REF!+#REF!+#REF!+#REF!+#REF!+#REF!+#REF!+#REF!+#REF!+#REF!+#REF!+#REF!+#REF!+#REF!+#REF!+#REF!+#REF!</f>
        <v>#REF!</v>
      </c>
      <c r="E58" s="6" t="s">
        <v>98</v>
      </c>
      <c r="G58" s="6" t="e">
        <f>#REF!+#REF!</f>
        <v>#REF!</v>
      </c>
      <c r="I58" s="36" t="s">
        <v>99</v>
      </c>
      <c r="J58" s="36"/>
    </row>
    <row r="59" hidden="1" spans="2:10">
      <c r="B59" s="4" t="s">
        <v>100</v>
      </c>
      <c r="C59" s="6" t="e">
        <f>#REF!</f>
        <v>#REF!</v>
      </c>
      <c r="E59" s="6" t="s">
        <v>101</v>
      </c>
      <c r="G59" s="6" t="e">
        <f>#REF!+#REF!+#REF!+#REF!+#REF!+#REF!+#REF!+#REF!</f>
        <v>#REF!</v>
      </c>
      <c r="I59" s="36" t="s">
        <v>102</v>
      </c>
      <c r="J59" s="36"/>
    </row>
    <row r="60" hidden="1" spans="2:10">
      <c r="B60" s="4" t="s">
        <v>103</v>
      </c>
      <c r="C60" s="6" t="e">
        <f>#REF!+#REF!+#REF!+#REF!+#REF!+#REF!+#REF!+#REF!+#REF!+#REF!+#REF!+#REF!+#REF!+#REF!+#REF!+#REF!+#REF!+#REF!+#REF!+#REF!+#REF!+#REF!+#REF!+#REF!+#REF!</f>
        <v>#REF!</v>
      </c>
      <c r="E60" s="6" t="s">
        <v>104</v>
      </c>
      <c r="G60" s="6" t="e">
        <f>#REF!+#REF!+#REF!+#REF!+#REF!+#REF!+#REF!+#REF!+#REF!+#REF!+#REF!+#REF!+#REF!+#REF!+#REF!</f>
        <v>#REF!</v>
      </c>
      <c r="I60" s="36" t="s">
        <v>105</v>
      </c>
      <c r="J60" s="36"/>
    </row>
    <row r="61" hidden="1" spans="2:10">
      <c r="B61" s="4" t="s">
        <v>106</v>
      </c>
      <c r="C61" s="6" t="e">
        <f>#REF!+#REF!+#REF!+#REF!+#REF!+#REF!+#REF!+#REF!+#REF!+#REF!+#REF!+#REF!+#REF!+#REF!+#REF!+#REF!+#REF!+#REF!+#REF!+#REF!+#REF!+#REF!+#REF!</f>
        <v>#REF!</v>
      </c>
      <c r="E61" s="6" t="s">
        <v>107</v>
      </c>
      <c r="G61" s="6" t="e">
        <f>#REF!+#REF!+#REF!+#REF!+#REF!+#REF!+#REF!+#REF!+#REF!+#REF!+#REF!+#REF!+#REF!+#REF!+#REF!+#REF!+#REF!+#REF!+#REF!+#REF!+#REF!</f>
        <v>#REF!</v>
      </c>
      <c r="I61" s="37" t="s">
        <v>108</v>
      </c>
      <c r="J61" s="37"/>
    </row>
    <row r="62" hidden="1" spans="2:10">
      <c r="B62" s="4" t="s">
        <v>109</v>
      </c>
      <c r="C62" s="6" t="e">
        <f>#REF!+#REF!+#REF!+#REF!+#REF!+#REF!+#REF!+#REF!+#REF!+#REF!+#REF!+#REF!+#REF!+#REF!+#REF!+#REF!+#REF!+#REF!+#REF!+#REF!+#REF!+#REF!+#REF!+#REF!+#REF!</f>
        <v>#REF!</v>
      </c>
      <c r="E62" s="6" t="s">
        <v>110</v>
      </c>
      <c r="G62" s="6" t="e">
        <f>#REF!+#REF!+#REF!</f>
        <v>#REF!</v>
      </c>
      <c r="I62" s="36" t="s">
        <v>111</v>
      </c>
      <c r="J62" s="36"/>
    </row>
    <row r="63" hidden="1" spans="2:10">
      <c r="B63" s="4" t="s">
        <v>112</v>
      </c>
      <c r="C63" s="6" t="e">
        <f>#REF!+#REF!+#REF!+#REF!+#REF!+#REF!+#REF!+#REF!+#REF!+#REF!+#REF!+#REF!+#REF!+#REF!+#REF!+#REF!+#REF!+#REF!+#REF!+#REF!+#REF!+#REF!+#REF!+#REF!</f>
        <v>#REF!</v>
      </c>
      <c r="E63" s="6" t="s">
        <v>113</v>
      </c>
      <c r="G63" s="6" t="e">
        <f>#REF!+#REF!+#REF!+#REF!+#REF!+#REF!+#REF!+#REF!+#REF!+#REF!+#REF!+#REF!</f>
        <v>#REF!</v>
      </c>
      <c r="I63" s="36" t="s">
        <v>114</v>
      </c>
      <c r="J63" s="36"/>
    </row>
    <row r="64" hidden="1" spans="2:10">
      <c r="B64" s="4" t="s">
        <v>115</v>
      </c>
      <c r="C64" s="6" t="e">
        <f>#REF!+#REF!+#REF!+#REF!+#REF!+#REF!+#REF!+#REF!+#REF!+#REF!+#REF!+#REF!+#REF!+#REF!+#REF!+#REF!+#REF!+#REF!+#REF!+#REF!+#REF!+#REF!</f>
        <v>#REF!</v>
      </c>
      <c r="E64" s="6" t="s">
        <v>116</v>
      </c>
      <c r="G64" s="6" t="e">
        <f>#REF!+#REF!+#REF!+#REF!+#REF!+#REF!+#REF!+#REF!+#REF!+#REF!+#REF!+#REF!+#REF!+#REF!+#REF!+#REF!+#REF!+#REF!+#REF!+#REF!+#REF!+#REF!+#REF!+#REF!+#REF!+#REF!+#REF!</f>
        <v>#REF!</v>
      </c>
      <c r="I64" s="36" t="s">
        <v>117</v>
      </c>
      <c r="J64" s="36"/>
    </row>
    <row r="65" hidden="1" spans="2:10">
      <c r="B65" s="4" t="s">
        <v>118</v>
      </c>
      <c r="C65" s="6" t="e">
        <f>#REF!+#REF!</f>
        <v>#REF!</v>
      </c>
      <c r="E65" s="6" t="s">
        <v>119</v>
      </c>
      <c r="G65" s="6" t="e">
        <f>#REF!+#REF!</f>
        <v>#REF!</v>
      </c>
      <c r="I65" s="36" t="s">
        <v>120</v>
      </c>
      <c r="J65" s="36"/>
    </row>
    <row r="66" hidden="1" spans="2:10">
      <c r="B66" s="4" t="s">
        <v>121</v>
      </c>
      <c r="C66" s="6" t="e">
        <f>#REF!</f>
        <v>#REF!</v>
      </c>
      <c r="E66" s="6" t="s">
        <v>122</v>
      </c>
      <c r="G66" s="6" t="e">
        <f>#REF!+#REF!+#REF!+#REF!+#REF!+#REF!+#REF!+#REF!+#REF!+#REF!</f>
        <v>#REF!</v>
      </c>
      <c r="H66" s="36" t="s">
        <v>123</v>
      </c>
      <c r="I66" s="36"/>
      <c r="J66" s="36"/>
    </row>
    <row r="67" hidden="1" spans="2:7">
      <c r="B67" s="4" t="s">
        <v>124</v>
      </c>
      <c r="C67" s="6" t="e">
        <f>#REF!+#REF!+#REF!+#REF!+#REF!+#REF!+#REF!+#REF!+#REF!+#REF!+#REF!+#REF!+#REF!+#REF!+#REF!+#REF!+#REF!+#REF!+#REF!+#REF!+#REF!+#REF!+#REF!+#REF!</f>
        <v>#REF!</v>
      </c>
      <c r="E67" s="6" t="s">
        <v>125</v>
      </c>
      <c r="G67" s="6" t="e">
        <f>#REF!+#REF!+#REF!+#REF!+#REF!+#REF!+#REF!+#REF!+#REF!+#REF!</f>
        <v>#REF!</v>
      </c>
    </row>
    <row r="68" hidden="1" spans="2:9">
      <c r="B68" s="4" t="s">
        <v>126</v>
      </c>
      <c r="C68" s="6" t="e">
        <f>#REF!+#REF!+#REF!+#REF!+#REF!+#REF!+#REF!+#REF!+#REF!+#REF!+#REF!+#REF!+#REF!+#REF!+#REF!+#REF!+#REF!+#REF!+#REF!+#REF!+#REF!+#REF!+#REF!+#REF!+#REF!</f>
        <v>#REF!</v>
      </c>
      <c r="E68" s="6" t="s">
        <v>127</v>
      </c>
      <c r="I68" s="6" t="e">
        <f>#REF!+#REF!+#REF!+#REF!+#REF!+#REF!+#REF!+#REF!+#REF!+#REF!+#REF!+#REF!+#REF!+#REF!+#REF!+#REF!+#REF!+#REF!+#REF!+#REF!+#REF!+#REF!+#REF!+#REF!+#REF!+#REF!+#REF!</f>
        <v>#REF!</v>
      </c>
    </row>
    <row r="69" hidden="1" spans="2:9">
      <c r="B69" s="4" t="s">
        <v>128</v>
      </c>
      <c r="C69" s="6" t="e">
        <f>#REF!+#REF!+#REF!+#REF!+#REF!+#REF!+#REF!+#REF!+#REF!+#REF!+#REF!+#REF!+#REF!+#REF!+#REF!+#REF!+#REF!+#REF!+#REF!+#REF!+#REF!+#REF!+#REF!+#REF!+#REF!</f>
        <v>#REF!</v>
      </c>
      <c r="E69" s="6" t="s">
        <v>129</v>
      </c>
      <c r="I69" s="6" t="e">
        <f>#REF!+#REF!+#REF!+#REF!+#REF!+#REF!+#REF!+#REF!+#REF!+#REF!+#REF!+#REF!+#REF!+#REF!+#REF!+#REF!+#REF!+#REF!+#REF!+#REF!+#REF!+#REF!+#REF!+#REF!+#REF!+#REF!+#REF!+#REF!</f>
        <v>#REF!</v>
      </c>
    </row>
    <row r="70" hidden="1" spans="5:7">
      <c r="E70" s="6" t="s">
        <v>130</v>
      </c>
      <c r="G70" s="6" t="e">
        <f>#REF!+#REF!+#REF!+#REF!+#REF!+#REF!+#REF!+#REF!+#REF!+#REF!+#REF!+#REF!+#REF!+#REF!+#REF!+#REF!+#REF!+#REF!+#REF!+#REF!+#REF!+#REF!+#REF!+#REF!+#REF!+#REF!+#REF!+#REF!</f>
        <v>#REF!</v>
      </c>
    </row>
    <row r="71" hidden="1" spans="2:7">
      <c r="B71" s="4" t="s">
        <v>131</v>
      </c>
      <c r="C71" s="6" t="e">
        <f>#REF!+#REF!+#REF!+#REF!+#REF!+#REF!+#REF!+#REF!+#REF!+#REF!+#REF!+#REF!+#REF!+#REF!+#REF!+#REF!+#REF!+#REF!+#REF!+#REF!+#REF!+#REF!+#REF!+#REF!+#REF!+#REF!+#REF!+#REF!+#REF!+#REF!+#REF!+#REF!+#REF!</f>
        <v>#REF!</v>
      </c>
      <c r="E71" s="6" t="s">
        <v>132</v>
      </c>
      <c r="G71" s="6" t="e">
        <f>#REF!+#REF!+#REF!+#REF!+#REF!+#REF!+#REF!+#REF!+#REF!+#REF!+#REF!+#REF!+#REF!+#REF!+#REF!+#REF!+#REF!+#REF!+#REF!+#REF!+#REF!+#REF!+#REF!+#REF!+#REF!+#REF!+#REF!+#REF!</f>
        <v>#REF!</v>
      </c>
    </row>
    <row r="72" hidden="1" spans="2:7">
      <c r="B72" s="4" t="s">
        <v>133</v>
      </c>
      <c r="C72" s="6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E72" s="6" t="s">
        <v>134</v>
      </c>
      <c r="G72" s="6" t="e">
        <f>#REF!+#REF!+#REF!+#REF!+#REF!+#REF!+#REF!+#REF!+#REF!+#REF!</f>
        <v>#REF!</v>
      </c>
    </row>
    <row r="73" hidden="1" spans="2:7">
      <c r="B73" s="4" t="s">
        <v>135</v>
      </c>
      <c r="C73" s="6" t="e">
        <f>#REF!+#REF!+#REF!+#REF!+#REF!+#REF!+#REF!+#REF!+#REF!+#REF!</f>
        <v>#REF!</v>
      </c>
      <c r="E73" s="6" t="s">
        <v>136</v>
      </c>
      <c r="G73" s="6" t="e">
        <f>#REF!+#REF!+#REF!+#REF!+#REF!+#REF!+#REF!+#REF!+#REF!+#REF!+#REF!+#REF!+#REF!+#REF!+#REF!+#REF!+#REF!+#REF!+#REF!+#REF!+#REF!+#REF!+#REF!+#REF!+#REF!+#REF!+#REF!+#REF!</f>
        <v>#REF!</v>
      </c>
    </row>
    <row r="74" hidden="1" spans="2:7">
      <c r="B74" s="4" t="s">
        <v>137</v>
      </c>
      <c r="C74" s="6" t="e">
        <f>#REF!+#REF!+#REF!+#REF!+#REF!+#REF!+#REF!+#REF!+#REF!+#REF!+#REF!+#REF!+#REF!+#REF!</f>
        <v>#REF!</v>
      </c>
      <c r="E74" s="6" t="s">
        <v>138</v>
      </c>
      <c r="G74" s="6" t="e">
        <f>#REF!+#REF!</f>
        <v>#REF!</v>
      </c>
    </row>
    <row r="75" hidden="1" spans="2:8">
      <c r="B75" s="4" t="s">
        <v>139</v>
      </c>
      <c r="C75" s="6" t="e">
        <f>#REF!+#REF!+#REF!+#REF!+#REF!+#REF!+#REF!+#REF!+#REF!+#REF!+#REF!+#REF!+#REF!+#REF!</f>
        <v>#REF!</v>
      </c>
      <c r="E75" s="6" t="s">
        <v>140</v>
      </c>
      <c r="G75" s="6" t="e">
        <f>#REF!+#REF!+#REF!+#REF!+#REF!+#REF!+#REF!+#REF!+#REF!+#REF!</f>
        <v>#REF!</v>
      </c>
      <c r="H75" s="6">
        <v>120</v>
      </c>
    </row>
    <row r="76" hidden="1" spans="2:7">
      <c r="B76" s="4" t="s">
        <v>141</v>
      </c>
      <c r="C76" s="6" t="e">
        <f>#REF!+#REF!+#REF!+#REF!+#REF!+#REF!+#REF!+#REF!+#REF!+#REF!+#REF!+#REF!+#REF!+#REF!+#REF!+#REF!+#REF!+#REF!+#REF!+#REF!+#REF!+#REF!+#REF!+#REF!+#REF!+#REF!+#REF!+#REF!+#REF!+#REF!</f>
        <v>#REF!</v>
      </c>
      <c r="E76" s="6" t="s">
        <v>142</v>
      </c>
      <c r="G76" s="6" t="e">
        <f>#REF!+#REF!+#REF!+#REF!+#REF!+#REF!+#REF!+#REF!+#REF!+#REF!</f>
        <v>#REF!</v>
      </c>
    </row>
    <row r="77" hidden="1" spans="2:3">
      <c r="B77" s="4" t="s">
        <v>143</v>
      </c>
      <c r="C77" s="6" t="e">
        <f>#REF!+#REF!+#REF!+#REF!+#REF!+#REF!+#REF!+#REF!+#REF!+#REF!+#REF!+#REF!+#REF!+#REF!+#REF!+#REF!+#REF!+#REF!+#REF!+#REF!+#REF!+#REF!+#REF!+#REF!+#REF!+#REF!+#REF!+#REF!+#REF!+#REF!</f>
        <v>#REF!</v>
      </c>
    </row>
    <row r="78" hidden="1" spans="2:3">
      <c r="B78" s="4" t="s">
        <v>144</v>
      </c>
      <c r="C78" s="6" t="e">
        <f>#REF!</f>
        <v>#REF!</v>
      </c>
    </row>
    <row r="79" hidden="1" spans="2:3">
      <c r="B79" s="4" t="s">
        <v>145</v>
      </c>
      <c r="C79" s="6" t="e">
        <f>#REF!</f>
        <v>#REF!</v>
      </c>
    </row>
    <row r="80" hidden="1" spans="2:3">
      <c r="B80" s="4" t="s">
        <v>146</v>
      </c>
      <c r="C80" s="6" t="e">
        <f>#REF!</f>
        <v>#REF!</v>
      </c>
    </row>
    <row r="81" hidden="1" spans="2:3">
      <c r="B81" s="4" t="s">
        <v>147</v>
      </c>
      <c r="C81" s="6" t="e">
        <f>#REF!+#REF!+#REF!+#REF!</f>
        <v>#REF!</v>
      </c>
    </row>
    <row r="82" hidden="1" spans="2:3">
      <c r="B82" s="4" t="s">
        <v>148</v>
      </c>
      <c r="C82" s="6" t="e">
        <f>#REF!</f>
        <v>#REF!</v>
      </c>
    </row>
    <row r="83" hidden="1" spans="2:3">
      <c r="B83" s="4" t="s">
        <v>149</v>
      </c>
      <c r="C83" s="6" t="e">
        <f>#REF!+#REF!+#REF!+#REF!+#REF!</f>
        <v>#REF!</v>
      </c>
    </row>
    <row r="84" hidden="1" spans="2:3">
      <c r="B84" s="4" t="s">
        <v>150</v>
      </c>
      <c r="C84" s="6" t="e">
        <f>#REF!+#REF!+#REF!+#REF!+#REF!+#REF!</f>
        <v>#REF!</v>
      </c>
    </row>
    <row r="85" hidden="1" spans="2:3">
      <c r="B85" s="4" t="s">
        <v>151</v>
      </c>
      <c r="C85" s="6" t="e">
        <f>#REF!+#REF!+#REF!+#REF!+#REF!+#REF!</f>
        <v>#REF!</v>
      </c>
    </row>
    <row r="86" hidden="1" spans="2:3">
      <c r="B86" s="4" t="s">
        <v>152</v>
      </c>
      <c r="C86" s="6" t="e">
        <f>#REF!+#REF!</f>
        <v>#REF!</v>
      </c>
    </row>
    <row r="87" hidden="1" spans="2:3">
      <c r="B87" s="4" t="s">
        <v>153</v>
      </c>
      <c r="C87" s="6" t="e">
        <f>#REF!+#REF!</f>
        <v>#REF!</v>
      </c>
    </row>
    <row r="88" hidden="1" spans="2:3">
      <c r="B88" s="4" t="s">
        <v>154</v>
      </c>
      <c r="C88" s="6" t="e">
        <f>#REF!+#REF!+#REF!+#REF!+#REF!+#REF!+#REF!+#REF!+#REF!+#REF!+#REF!+#REF!+#REF!+#REF!+#REF!+#REF!+#REF!+#REF!+#REF!+#REF!+#REF!+#REF!+#REF!+#REF!+#REF!+#REF!+#REF!+#REF!+#REF!+#REF!</f>
        <v>#REF!</v>
      </c>
    </row>
    <row r="89" hidden="1" spans="2:3">
      <c r="B89" s="4" t="s">
        <v>155</v>
      </c>
      <c r="C89" s="6" t="e">
        <f>#REF!+#REF!+#REF!+#REF!+#REF!+#REF!+#REF!+#REF!+#REF!+#REF!+#REF!+#REF!+#REF!+#REF!+#REF!+#REF!+#REF!+#REF!+#REF!+#REF!+#REF!+#REF!+#REF!+#REF!+#REF!+#REF!+#REF!+#REF!+#REF!+#REF!</f>
        <v>#REF!</v>
      </c>
    </row>
    <row r="90" hidden="1" spans="2:3">
      <c r="B90" s="4" t="s">
        <v>156</v>
      </c>
      <c r="C90" s="6" t="e">
        <f>#REF!+#REF!+#REF!+#REF!+#REF!+#REF!+#REF!+#REF!+#REF!+#REF!+#REF!+#REF!+#REF!+#REF!+#REF!+#REF!+#REF!+#REF!+#REF!+#REF!+#REF!+#REF!+#REF!+#REF!+#REF!+#REF!+#REF!+#REF!+#REF!+#REF!</f>
        <v>#REF!</v>
      </c>
    </row>
    <row r="91" hidden="1" spans="2:3">
      <c r="B91" s="4" t="s">
        <v>157</v>
      </c>
      <c r="C91" s="6" t="e">
        <f>#REF!+#REF!+#REF!+#REF!+#REF!+#REF!+#REF!+#REF!+#REF!+#REF!+#REF!+#REF!+#REF!+#REF!+#REF!+#REF!+#REF!+#REF!+#REF!+#REF!+#REF!+#REF!+#REF!+#REF!+#REF!+#REF!+#REF!+#REF!+#REF!+#REF!</f>
        <v>#REF!</v>
      </c>
    </row>
    <row r="92" hidden="1" spans="2:3">
      <c r="B92" s="4" t="s">
        <v>158</v>
      </c>
      <c r="C92" s="6" t="e">
        <f>#REF!+#REF!+#REF!+#REF!+#REF!+#REF!+#REF!+#REF!+#REF!+#REF!+#REF!+#REF!+#REF!+#REF!</f>
        <v>#REF!</v>
      </c>
    </row>
    <row r="93" hidden="1" spans="2:3">
      <c r="B93" s="4" t="s">
        <v>159</v>
      </c>
      <c r="C93" s="6" t="e">
        <f>#REF!+#REF!+#REF!+#REF!+#REF!+#REF!+#REF!+#REF!+#REF!+#REF!+#REF!+#REF!+#REF!+#REF!+#REF!</f>
        <v>#REF!</v>
      </c>
    </row>
    <row r="94" hidden="1" spans="2:4">
      <c r="B94" s="4" t="s">
        <v>160</v>
      </c>
      <c r="C94" s="6" t="e">
        <f>#REF!+#REF!+#REF!</f>
        <v>#REF!</v>
      </c>
      <c r="D94" s="6">
        <v>3000</v>
      </c>
    </row>
    <row r="95" hidden="1"/>
    <row r="96" hidden="1"/>
    <row r="98" spans="7:7">
      <c r="G98" s="6">
        <f>G42*0.6</f>
        <v>2772.764692032</v>
      </c>
    </row>
    <row r="99" spans="7:7">
      <c r="G99" s="6">
        <f>G42-G98</f>
        <v>1848.509794688</v>
      </c>
    </row>
  </sheetData>
  <autoFilter xmlns:etc="http://www.wps.cn/officeDocument/2017/etCustomData" ref="A1:J43" etc:filterBottomFollowUsedRange="0">
    <extLst/>
  </autoFilter>
  <mergeCells count="6">
    <mergeCell ref="A1:J1"/>
    <mergeCell ref="C2:G2"/>
    <mergeCell ref="H2:J2"/>
    <mergeCell ref="I61:J61"/>
    <mergeCell ref="A2:A3"/>
    <mergeCell ref="B2:B3"/>
  </mergeCells>
  <printOptions horizontalCentered="1"/>
  <pageMargins left="0.275" right="0.235416666666667" top="0.354166666666667" bottom="0.275" header="0.297916666666667" footer="0.297916666666667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总估算表</vt:lpstr>
      <vt:lpstr>估算表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Administrator</cp:lastModifiedBy>
  <dcterms:created xsi:type="dcterms:W3CDTF">2022-03-18T06:15:00Z</dcterms:created>
  <dcterms:modified xsi:type="dcterms:W3CDTF">2025-04-17T03:37:20Z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6795B3B43BD149E781A6595CF55D50D0_13</vt:lpwstr>
  </property>
</Properties>
</file>