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6"/>
  </bookViews>
  <sheets>
    <sheet name="平罗县清洁取暖项目概算" sheetId="31" r:id="rId1"/>
    <sheet name="汇总" sheetId="50" r:id="rId2"/>
    <sheet name="1红崖子乡" sheetId="34" r:id="rId3"/>
    <sheet name="2宝丰镇" sheetId="39" r:id="rId4"/>
    <sheet name="3高庄乡" sheetId="40" r:id="rId5"/>
    <sheet name="4高仁乡" sheetId="41" r:id="rId6"/>
    <sheet name="5陶乐镇" sheetId="42" r:id="rId7"/>
    <sheet name="6姚伏镇" sheetId="43" r:id="rId8"/>
    <sheet name="7渠口乡" sheetId="44" r:id="rId9"/>
    <sheet name="8崇岗镇" sheetId="45" r:id="rId10"/>
    <sheet name="9头闸镇" sheetId="46" r:id="rId11"/>
    <sheet name="10灵沙乡" sheetId="47" r:id="rId12"/>
    <sheet name="11黄渠桥镇" sheetId="48" r:id="rId13"/>
    <sheet name="12通伏乡" sheetId="49" r:id="rId14"/>
    <sheet name="1" sheetId="32" r:id="rId15"/>
  </sheets>
  <definedNames>
    <definedName name="_xlnm.Print_Area" localSheetId="0">平罗县清洁取暖项目概算!$A$1:$H$25</definedName>
    <definedName name="_xlnm.Print_Area" localSheetId="2">'1红崖子乡'!$A$1:$H$25</definedName>
    <definedName name="_xlnm.Print_Area" localSheetId="3">'2宝丰镇'!$A$1:$H$25</definedName>
    <definedName name="_xlnm.Print_Area" localSheetId="4">'3高庄乡'!$A$1:$H$25</definedName>
    <definedName name="_xlnm.Print_Area" localSheetId="5">'4高仁乡'!$A$1:$H$25</definedName>
    <definedName name="_xlnm.Print_Area" localSheetId="6">'5陶乐镇'!$A$1:$H$25</definedName>
    <definedName name="_xlnm.Print_Area" localSheetId="7">'6姚伏镇'!$A$1:$H$25</definedName>
    <definedName name="_xlnm.Print_Area" localSheetId="8">'7渠口乡'!$A$1:$H$25</definedName>
    <definedName name="_xlnm.Print_Area" localSheetId="9">'8崇岗镇'!$A$1:$H$25</definedName>
    <definedName name="_xlnm.Print_Area" localSheetId="10">'9头闸镇'!$A$1:$H$25</definedName>
    <definedName name="_xlnm.Print_Area" localSheetId="11">'10灵沙乡'!$A$1:$H$25</definedName>
    <definedName name="_xlnm.Print_Area" localSheetId="12">'11黄渠桥镇'!$A$1:$H$25</definedName>
    <definedName name="_xlnm.Print_Area" localSheetId="13">'12通伏乡'!$A$1:$H$25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<sst xmlns="http://schemas.openxmlformats.org/spreadsheetml/2006/main" count="772" uniqueCount="102">
  <si>
    <t>平罗县12个乡镇无集中供热区域清洁取暖项目采暖改造估算审定表</t>
  </si>
  <si>
    <t>序号</t>
  </si>
  <si>
    <t>项目名称</t>
  </si>
  <si>
    <t>规格型号</t>
  </si>
  <si>
    <t>单位</t>
  </si>
  <si>
    <t>数量</t>
  </si>
  <si>
    <t>单价（元）</t>
  </si>
  <si>
    <t>总价（万元）</t>
  </si>
  <si>
    <t>备注</t>
  </si>
  <si>
    <t>一</t>
  </si>
  <si>
    <t>设备采购安装部分</t>
  </si>
  <si>
    <t>5G太空能绿色恒热站</t>
  </si>
  <si>
    <t>TKH5.0A</t>
  </si>
  <si>
    <t>台</t>
  </si>
  <si>
    <t>太空能热泵、远程物联网电表</t>
  </si>
  <si>
    <t>平板太阳能蒸发器</t>
  </si>
  <si>
    <t>㎡</t>
  </si>
  <si>
    <t>室内外电气材料</t>
  </si>
  <si>
    <t>套</t>
  </si>
  <si>
    <t>室外水暖材料</t>
  </si>
  <si>
    <t>设备基础</t>
  </si>
  <si>
    <t>小计</t>
  </si>
  <si>
    <t>安装费</t>
  </si>
  <si>
    <t>项</t>
  </si>
  <si>
    <t>小计(含安装费)</t>
  </si>
  <si>
    <t xml:space="preserve"> </t>
  </si>
  <si>
    <t>税金</t>
  </si>
  <si>
    <t>合计（含安装费及税金）</t>
  </si>
  <si>
    <t>二</t>
  </si>
  <si>
    <t>电力改造部分</t>
  </si>
  <si>
    <t>电力增容</t>
  </si>
  <si>
    <t>涉及项目改造</t>
  </si>
  <si>
    <t>线路改造</t>
  </si>
  <si>
    <t>涉及项目改造区域内所有低压线路改造</t>
  </si>
  <si>
    <t>合计</t>
  </si>
  <si>
    <t>工程费合计</t>
  </si>
  <si>
    <t>三</t>
  </si>
  <si>
    <t>工程建设其他费用</t>
  </si>
  <si>
    <t>工程监理费</t>
  </si>
  <si>
    <t>工程费x1.2%(市场价)</t>
  </si>
  <si>
    <t>招标代理费</t>
  </si>
  <si>
    <t>宁价费发［2003］149号</t>
  </si>
  <si>
    <t>设计费</t>
  </si>
  <si>
    <t>预（结）算编审费</t>
  </si>
  <si>
    <t>工程费x0.6%(市场价)</t>
  </si>
  <si>
    <t>其他费用合计</t>
  </si>
  <si>
    <t>总计</t>
  </si>
  <si>
    <t>平罗县12个乡镇无集中供热区域清洁取暖项目采暖改造概算汇总表</t>
  </si>
  <si>
    <t>所在区、县</t>
  </si>
  <si>
    <t>所在街道、乡镇</t>
  </si>
  <si>
    <t>改造户数（户）</t>
  </si>
  <si>
    <t>设备采购安装费（万元）</t>
  </si>
  <si>
    <t>电力改造费（万元）</t>
  </si>
  <si>
    <t>工程费合计（万元）</t>
  </si>
  <si>
    <t>工程建设其他费（万元）</t>
  </si>
  <si>
    <t>合计（万元）</t>
  </si>
  <si>
    <t>平罗县</t>
  </si>
  <si>
    <t>红崖子乡</t>
  </si>
  <si>
    <t>宝丰镇</t>
  </si>
  <si>
    <t>高庄乡</t>
  </si>
  <si>
    <t>高仁乡</t>
  </si>
  <si>
    <t>陶乐镇</t>
  </si>
  <si>
    <t>姚伏镇</t>
  </si>
  <si>
    <t>渠口乡</t>
  </si>
  <si>
    <t>崇岗镇</t>
  </si>
  <si>
    <t>头闸镇</t>
  </si>
  <si>
    <t>灵沙乡</t>
  </si>
  <si>
    <t>黄渠桥镇</t>
  </si>
  <si>
    <t>通伏乡</t>
  </si>
  <si>
    <t>红崖子乡采暖改造概算汇总表</t>
  </si>
  <si>
    <t>宝丰镇采暖改造概算汇总表</t>
  </si>
  <si>
    <t>高庄乡采暖改造概算汇总表</t>
  </si>
  <si>
    <t>高仁乡采暖改造概算汇总表</t>
  </si>
  <si>
    <t>陶乐镇采暖改造概算汇总表</t>
  </si>
  <si>
    <t>姚伏镇采暖改造概算汇总表</t>
  </si>
  <si>
    <t>渠口乡采暖改造概算汇总表</t>
  </si>
  <si>
    <t>头闸镇采暖改造概算汇总表</t>
  </si>
  <si>
    <t>灵沙乡采暖改造概算汇总表</t>
  </si>
  <si>
    <t>黄渠桥镇采暖改造概算汇总表</t>
  </si>
  <si>
    <t>通伏乡采暖改造概算汇总表</t>
  </si>
  <si>
    <t>工程或费用名称</t>
  </si>
  <si>
    <t>建筑工程费（万元）</t>
  </si>
  <si>
    <t>设备购置费（万元）</t>
  </si>
  <si>
    <t>安装工程费（万元）</t>
  </si>
  <si>
    <t>其他费用（万元）</t>
  </si>
  <si>
    <t>基本预备费（万元）</t>
  </si>
  <si>
    <t>各项占静态投资比例（%）</t>
  </si>
  <si>
    <t>配电站、开关站工程</t>
  </si>
  <si>
    <t>充电站、换电站工程</t>
  </si>
  <si>
    <t>架空线路工程</t>
  </si>
  <si>
    <t>四</t>
  </si>
  <si>
    <t>电缆线路工程</t>
  </si>
  <si>
    <t>五</t>
  </si>
  <si>
    <t>其他费用</t>
  </si>
  <si>
    <t>建设场地征用及清理费</t>
  </si>
  <si>
    <t>项目建设管理费</t>
  </si>
  <si>
    <t>项目建设技术服务费</t>
  </si>
  <si>
    <t>生产准备费</t>
  </si>
  <si>
    <t>六</t>
  </si>
  <si>
    <t>基本预备费</t>
  </si>
  <si>
    <t>工程静态投资</t>
  </si>
  <si>
    <t>各项占静态投资比例%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</si>
</sst>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3" xfId="49"/>
    <cellStyle name="常规_Sheet1_12" xfId="50"/>
    <cellStyle name="常规_Sheet1_19" xfId="51"/>
    <cellStyle name="常规_Sheet1_1" xfId="52"/>
    <cellStyle name="常规_Sheet1_1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view="pageBreakPreview" zoomScale="80" zoomScaleNormal="100" workbookViewId="0">
      <selection activeCell="B19" sqref="B19"/>
    </sheetView>
  </sheetViews>
  <sheetFormatPr defaultColWidth="9" defaultRowHeight="13.5" outlineLevelCol="7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4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5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</row>
    <row r="3" ht="29" customHeight="1" spans="1:8">
      <c r="A3" s="8" t="s">
        <v>9</v>
      </c>
      <c r="B3" s="9" t="s">
        <v>10</v>
      </c>
      <c r="C3" s="8"/>
      <c r="D3" s="8"/>
      <c r="E3" s="8"/>
      <c r="F3" s="8"/>
      <c r="G3" s="8"/>
      <c r="H3" s="8"/>
    </row>
    <row r="4" ht="35" customHeight="1" spans="1:8">
      <c r="A4" s="8">
        <v>1</v>
      </c>
      <c r="B4" s="8" t="s">
        <v>11</v>
      </c>
      <c r="C4" s="8" t="s">
        <v>12</v>
      </c>
      <c r="D4" s="8" t="s">
        <v>13</v>
      </c>
      <c r="E4" s="8">
        <v>17704</v>
      </c>
      <c r="F4" s="8">
        <v>21300</v>
      </c>
      <c r="G4" s="10">
        <f>E4*F4*0.0001</f>
        <v>37709.52</v>
      </c>
      <c r="H4" s="11" t="s">
        <v>14</v>
      </c>
    </row>
    <row r="5" ht="35" customHeight="1" spans="1:8">
      <c r="A5" s="8">
        <v>2</v>
      </c>
      <c r="B5" s="8" t="s">
        <v>15</v>
      </c>
      <c r="C5" s="8"/>
      <c r="D5" s="8" t="s">
        <v>16</v>
      </c>
      <c r="E5" s="8">
        <f>E4*3.5</f>
        <v>61964</v>
      </c>
      <c r="F5" s="8">
        <v>1145</v>
      </c>
      <c r="G5" s="10">
        <f>E5*F5*0.0001</f>
        <v>7094.878</v>
      </c>
      <c r="H5" s="8"/>
    </row>
    <row r="6" ht="35" customHeight="1" spans="1:8">
      <c r="A6" s="8">
        <v>3</v>
      </c>
      <c r="B6" s="8" t="s">
        <v>17</v>
      </c>
      <c r="C6" s="8"/>
      <c r="D6" s="8" t="s">
        <v>18</v>
      </c>
      <c r="E6" s="8">
        <v>17704</v>
      </c>
      <c r="F6" s="8">
        <v>560</v>
      </c>
      <c r="G6" s="10">
        <f>E6*F6*0.0001</f>
        <v>991.424</v>
      </c>
      <c r="H6" s="8"/>
    </row>
    <row r="7" ht="35" customHeight="1" spans="1:8">
      <c r="A7" s="8">
        <v>4</v>
      </c>
      <c r="B7" s="8" t="s">
        <v>19</v>
      </c>
      <c r="C7" s="8"/>
      <c r="D7" s="8" t="s">
        <v>18</v>
      </c>
      <c r="E7" s="8">
        <v>17704</v>
      </c>
      <c r="F7" s="8">
        <v>470</v>
      </c>
      <c r="G7" s="10">
        <f>E7*F7*0.0001</f>
        <v>832.088</v>
      </c>
      <c r="H7" s="8"/>
    </row>
    <row r="8" ht="35" customHeight="1" spans="1:8">
      <c r="A8" s="8">
        <v>5</v>
      </c>
      <c r="B8" s="8" t="s">
        <v>20</v>
      </c>
      <c r="C8" s="8"/>
      <c r="D8" s="8" t="s">
        <v>18</v>
      </c>
      <c r="E8" s="8">
        <v>17704</v>
      </c>
      <c r="F8" s="8">
        <v>310</v>
      </c>
      <c r="G8" s="10">
        <f>E8*F8*0.0001</f>
        <v>548.824</v>
      </c>
      <c r="H8" s="8"/>
    </row>
    <row r="9" ht="33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47176.734</v>
      </c>
      <c r="H9" s="8"/>
    </row>
    <row r="10" ht="33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5661.20808</v>
      </c>
      <c r="H10" s="13"/>
    </row>
    <row r="11" ht="33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52837.94208</v>
      </c>
      <c r="H11" s="13"/>
    </row>
    <row r="12" ht="35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4755.4147872</v>
      </c>
      <c r="H12" s="13"/>
    </row>
    <row r="13" ht="3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57593.3568672</v>
      </c>
      <c r="H13" s="13"/>
    </row>
    <row r="14" ht="35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5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v>36293200</v>
      </c>
      <c r="G15" s="10">
        <f>E15*F15*0.0001</f>
        <v>3629.32</v>
      </c>
      <c r="H15" s="13"/>
    </row>
    <row r="16" ht="56" customHeight="1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3540800</v>
      </c>
      <c r="G16" s="10">
        <f>E16*F16*0.0001</f>
        <v>354.08</v>
      </c>
      <c r="H16" s="13"/>
    </row>
    <row r="17" ht="35" customHeight="1" spans="1:8">
      <c r="A17" s="8"/>
      <c r="B17" s="8" t="s">
        <v>34</v>
      </c>
      <c r="C17" s="8"/>
      <c r="D17" s="8"/>
      <c r="E17" s="8"/>
      <c r="F17" s="8"/>
      <c r="G17" s="15">
        <f>G15+G16</f>
        <v>3983.4</v>
      </c>
      <c r="H17" s="13"/>
    </row>
    <row r="18" ht="35" customHeight="1" spans="1:8">
      <c r="A18" s="8"/>
      <c r="B18" s="14" t="s">
        <v>35</v>
      </c>
      <c r="C18" s="8"/>
      <c r="D18" s="8"/>
      <c r="E18" s="8"/>
      <c r="F18" s="8"/>
      <c r="G18" s="15">
        <f>G13+G17</f>
        <v>61576.7568672</v>
      </c>
      <c r="H18" s="13"/>
    </row>
    <row r="19" ht="35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35" customHeight="1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738.9210824064</v>
      </c>
      <c r="H20" s="11" t="s">
        <v>39</v>
      </c>
    </row>
    <row r="21" ht="35" customHeight="1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184.7302706016</v>
      </c>
      <c r="H21" s="11" t="s">
        <v>41</v>
      </c>
    </row>
    <row r="22" ht="35" customHeight="1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738.9210824064</v>
      </c>
      <c r="H22" s="11" t="s">
        <v>39</v>
      </c>
    </row>
    <row r="23" ht="35" customHeight="1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369.4605412032</v>
      </c>
      <c r="H23" s="11" t="s">
        <v>44</v>
      </c>
    </row>
    <row r="24" ht="35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2032.0329766176</v>
      </c>
      <c r="H24" s="17"/>
    </row>
    <row r="25" ht="35" customHeight="1" spans="1:8">
      <c r="A25" s="20"/>
      <c r="B25" s="21" t="s">
        <v>46</v>
      </c>
      <c r="C25" s="8"/>
      <c r="D25" s="14"/>
      <c r="E25" s="14"/>
      <c r="F25" s="16"/>
      <c r="G25" s="22">
        <f>G18+G24</f>
        <v>63608.7898438176</v>
      </c>
      <c r="H25" s="17"/>
    </row>
  </sheetData>
  <mergeCells count="1">
    <mergeCell ref="A1:H1"/>
  </mergeCells>
  <pageMargins left="0.472222222222222" right="0.156944444444444" top="0.354166666666667" bottom="1" header="0.275" footer="0.5"/>
  <pageSetup paperSize="9" scale="8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5" sqref="F15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75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25071.31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2017</v>
      </c>
      <c r="F4" s="8">
        <v>21300</v>
      </c>
      <c r="G4" s="10">
        <f t="shared" ref="G4:G8" si="0">E4*F4*0.0001</f>
        <v>4296.21</v>
      </c>
      <c r="H4" s="11" t="s">
        <v>14</v>
      </c>
      <c r="K4">
        <f>E4*5.2</f>
        <v>10488.4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7059.5</v>
      </c>
      <c r="F5" s="8">
        <v>1145</v>
      </c>
      <c r="G5" s="10">
        <f t="shared" si="0"/>
        <v>808.31275</v>
      </c>
      <c r="H5" s="8"/>
      <c r="K5">
        <f>E4*100/10000</f>
        <v>20.17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2017</v>
      </c>
      <c r="F6" s="8">
        <v>560</v>
      </c>
      <c r="G6" s="10">
        <f t="shared" si="0"/>
        <v>112.952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2017</v>
      </c>
      <c r="F7" s="8">
        <v>470</v>
      </c>
      <c r="G7" s="10">
        <f t="shared" si="0"/>
        <v>94.799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2017</v>
      </c>
      <c r="F8" s="8">
        <v>310</v>
      </c>
      <c r="G8" s="10">
        <f t="shared" si="0"/>
        <v>62.527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5374.80075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644.97609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6019.77684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541.7799156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6561.5567556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10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4134850</v>
      </c>
      <c r="G15" s="10">
        <f>E15*F15*0.0001</f>
        <v>413.485</v>
      </c>
      <c r="H15" s="13"/>
      <c r="J15">
        <f>F15-200</f>
        <v>4134650</v>
      </c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403400</v>
      </c>
      <c r="G16" s="10">
        <f>E16*F16*0.0001</f>
        <v>40.34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453.825</v>
      </c>
      <c r="H17" s="13"/>
    </row>
    <row r="18" ht="22" customHeight="1" spans="1:8">
      <c r="A18" s="8"/>
      <c r="B18" s="14" t="s">
        <v>35</v>
      </c>
      <c r="C18" s="8"/>
      <c r="D18" s="8"/>
      <c r="E18" s="8"/>
      <c r="F18" s="8"/>
      <c r="G18" s="15">
        <f>G13+G17</f>
        <v>7015.3817556</v>
      </c>
      <c r="H18" s="13"/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84.1845810672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21.0461452668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84.1845810672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42.0922905336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231.5075979348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7246.8893535348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6" sqref="F16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76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14344.22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1154</v>
      </c>
      <c r="F4" s="8">
        <v>21300</v>
      </c>
      <c r="G4" s="10">
        <f t="shared" ref="G4:G8" si="0">E4*F4*0.0001</f>
        <v>2458.02</v>
      </c>
      <c r="H4" s="11" t="s">
        <v>14</v>
      </c>
      <c r="K4">
        <f>E4*5.2</f>
        <v>6000.8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4039</v>
      </c>
      <c r="F5" s="8">
        <v>1145</v>
      </c>
      <c r="G5" s="10">
        <f t="shared" si="0"/>
        <v>462.4655</v>
      </c>
      <c r="H5" s="8"/>
      <c r="K5">
        <f>E4*100/10000</f>
        <v>11.54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1154</v>
      </c>
      <c r="F6" s="8">
        <v>560</v>
      </c>
      <c r="G6" s="10">
        <f t="shared" si="0"/>
        <v>64.624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1154</v>
      </c>
      <c r="F7" s="8">
        <v>470</v>
      </c>
      <c r="G7" s="10">
        <f t="shared" si="0"/>
        <v>54.238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1154</v>
      </c>
      <c r="F8" s="8">
        <v>310</v>
      </c>
      <c r="G8" s="10">
        <f t="shared" si="0"/>
        <v>35.774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3075.1215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369.01458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3444.13608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309.9722472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3754.1083272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2365700</v>
      </c>
      <c r="G15" s="10">
        <f>E15*F15*0.0001</f>
        <v>236.57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230800</v>
      </c>
      <c r="G16" s="10">
        <f>E16*F16*0.0001</f>
        <v>23.08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259.65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4013.7583272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48.1650999264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12.0412749816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48.1650999264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24.0825499632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132.4540247976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4146.2123519976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6" sqref="F16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77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19825.85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1595</v>
      </c>
      <c r="F4" s="8">
        <v>21300</v>
      </c>
      <c r="G4" s="10">
        <f t="shared" ref="G4:G8" si="0">E4*F4*0.0001</f>
        <v>3397.35</v>
      </c>
      <c r="H4" s="11" t="s">
        <v>14</v>
      </c>
      <c r="K4">
        <f>E4*5.2</f>
        <v>8294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5582.5</v>
      </c>
      <c r="F5" s="8">
        <v>1145</v>
      </c>
      <c r="G5" s="10">
        <f t="shared" si="0"/>
        <v>639.19625</v>
      </c>
      <c r="H5" s="8"/>
      <c r="K5">
        <f>E4*100/10000</f>
        <v>15.95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1595</v>
      </c>
      <c r="F6" s="8">
        <v>560</v>
      </c>
      <c r="G6" s="10">
        <f t="shared" si="0"/>
        <v>89.32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1595</v>
      </c>
      <c r="F7" s="8">
        <v>470</v>
      </c>
      <c r="G7" s="10">
        <f t="shared" si="0"/>
        <v>74.965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1595</v>
      </c>
      <c r="F8" s="8">
        <v>310</v>
      </c>
      <c r="G8" s="10">
        <f t="shared" si="0"/>
        <v>49.445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4250.27625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510.03315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4760.3094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428.427846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5188.737246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3269750</v>
      </c>
      <c r="G15" s="10">
        <f>E15*F15*0.0001</f>
        <v>326.975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319000</v>
      </c>
      <c r="G16" s="10">
        <f>E16*F16*0.0001</f>
        <v>31.9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358.875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5547.612246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66.571346952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16.642836738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66.571346952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33.285673476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183.071204118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5730.683450118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6" sqref="F16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78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17203.12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1384</v>
      </c>
      <c r="F4" s="8">
        <v>21300</v>
      </c>
      <c r="G4" s="10">
        <f t="shared" ref="G4:G8" si="0">E4*F4*0.0001</f>
        <v>2947.92</v>
      </c>
      <c r="H4" s="11" t="s">
        <v>14</v>
      </c>
      <c r="K4">
        <f>E4*5.2</f>
        <v>7196.8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4844</v>
      </c>
      <c r="F5" s="8">
        <v>1145</v>
      </c>
      <c r="G5" s="10">
        <f t="shared" si="0"/>
        <v>554.638</v>
      </c>
      <c r="H5" s="8"/>
      <c r="K5">
        <f>E4*100/10000</f>
        <v>13.84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1384</v>
      </c>
      <c r="F6" s="8">
        <v>560</v>
      </c>
      <c r="G6" s="10">
        <f t="shared" si="0"/>
        <v>77.504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1384</v>
      </c>
      <c r="F7" s="8">
        <v>470</v>
      </c>
      <c r="G7" s="10">
        <f t="shared" si="0"/>
        <v>65.048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1384</v>
      </c>
      <c r="F8" s="8">
        <v>310</v>
      </c>
      <c r="G8" s="10">
        <f t="shared" si="0"/>
        <v>42.904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3688.014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442.56168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4130.57568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371.7518112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4502.3274912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2837200</v>
      </c>
      <c r="G15" s="10">
        <f>E15*F15*0.0001</f>
        <v>283.72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276800</v>
      </c>
      <c r="G16" s="10">
        <f>E16*F16*0.0001</f>
        <v>27.68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311.4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4813.7274912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57.7647298944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14.4411824736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57.7647298944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28.8823649472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158.8530072096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4972.5804984096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6" sqref="F16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79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8402.68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676</v>
      </c>
      <c r="F4" s="8">
        <v>21300</v>
      </c>
      <c r="G4" s="10">
        <f t="shared" ref="G4:G8" si="0">E4*F4*0.0001</f>
        <v>1439.88</v>
      </c>
      <c r="H4" s="11" t="s">
        <v>14</v>
      </c>
      <c r="K4">
        <f>E4*5.2</f>
        <v>3515.2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2366</v>
      </c>
      <c r="F5" s="8">
        <v>1145</v>
      </c>
      <c r="G5" s="10">
        <f t="shared" si="0"/>
        <v>270.907</v>
      </c>
      <c r="H5" s="8"/>
      <c r="K5">
        <f>E4*100/10000</f>
        <v>6.76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676</v>
      </c>
      <c r="F6" s="8">
        <v>560</v>
      </c>
      <c r="G6" s="10">
        <f t="shared" si="0"/>
        <v>37.856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676</v>
      </c>
      <c r="F7" s="8">
        <v>470</v>
      </c>
      <c r="G7" s="10">
        <f t="shared" si="0"/>
        <v>31.772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676</v>
      </c>
      <c r="F8" s="8">
        <v>310</v>
      </c>
      <c r="G8" s="10">
        <f t="shared" si="0"/>
        <v>20.956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1801.371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216.16452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2017.53552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181.5781968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2199.1137168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1385800</v>
      </c>
      <c r="G15" s="10">
        <f>E15*F15*0.0001</f>
        <v>138.58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135200</v>
      </c>
      <c r="G16" s="10">
        <f>E16*F16*0.0001</f>
        <v>13.52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152.1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2351.2137168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28.2145646016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7.0536411504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28.2145646016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14.1072823008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77.5900526544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2428.8037694544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3" sqref="C23"/>
    </sheetView>
  </sheetViews>
  <sheetFormatPr defaultColWidth="9" defaultRowHeight="13.5"/>
  <cols>
    <col min="2" max="2" width="22.8833333333333" customWidth="1"/>
    <col min="3" max="9" width="11.6333333333333" customWidth="1"/>
  </cols>
  <sheetData>
    <row r="1" ht="40.5" spans="1:9">
      <c r="A1" s="1" t="s">
        <v>1</v>
      </c>
      <c r="B1" s="1" t="s">
        <v>80</v>
      </c>
      <c r="C1" s="1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55</v>
      </c>
      <c r="I1" s="1" t="s">
        <v>86</v>
      </c>
    </row>
    <row r="2" ht="29" customHeight="1" spans="1:9">
      <c r="A2" s="2" t="s">
        <v>9</v>
      </c>
      <c r="B2" s="3" t="s">
        <v>87</v>
      </c>
      <c r="C2" s="2"/>
      <c r="D2" s="2"/>
      <c r="E2" s="2"/>
      <c r="F2" s="2"/>
      <c r="G2" s="2"/>
      <c r="H2" s="2"/>
      <c r="I2" s="2"/>
    </row>
    <row r="3" ht="29" customHeight="1" spans="1:9">
      <c r="A3" s="2" t="s">
        <v>28</v>
      </c>
      <c r="B3" s="3" t="s">
        <v>88</v>
      </c>
      <c r="C3" s="2"/>
      <c r="D3" s="2"/>
      <c r="E3" s="2"/>
      <c r="F3" s="2"/>
      <c r="G3" s="2"/>
      <c r="H3" s="2"/>
      <c r="I3" s="2"/>
    </row>
    <row r="4" ht="29" customHeight="1" spans="1:9">
      <c r="A4" s="2" t="s">
        <v>36</v>
      </c>
      <c r="B4" s="3" t="s">
        <v>89</v>
      </c>
      <c r="C4" s="2"/>
      <c r="D4" s="2">
        <f>H4*0.75</f>
        <v>2453.1</v>
      </c>
      <c r="E4" s="2">
        <f>H4*0.25</f>
        <v>817.7</v>
      </c>
      <c r="F4" s="2"/>
      <c r="G4" s="2"/>
      <c r="H4" s="2">
        <f>7400*0.442</f>
        <v>3270.8</v>
      </c>
      <c r="I4" s="5">
        <v>0.442</v>
      </c>
    </row>
    <row r="5" ht="29" customHeight="1" spans="1:9">
      <c r="A5" s="2" t="s">
        <v>90</v>
      </c>
      <c r="B5" s="3" t="s">
        <v>91</v>
      </c>
      <c r="C5" s="2">
        <f>H5*0.05</f>
        <v>115.07</v>
      </c>
      <c r="D5" s="2">
        <f>H5*0.75</f>
        <v>1726.05</v>
      </c>
      <c r="E5" s="2">
        <f>H5*0.2</f>
        <v>460.28</v>
      </c>
      <c r="F5" s="2"/>
      <c r="G5" s="2"/>
      <c r="H5" s="2">
        <f>7400*0.311</f>
        <v>2301.4</v>
      </c>
      <c r="I5" s="5">
        <v>0.311</v>
      </c>
    </row>
    <row r="6" ht="29" customHeight="1" spans="1:9">
      <c r="A6" s="2"/>
      <c r="B6" s="3" t="s">
        <v>21</v>
      </c>
      <c r="C6" s="2">
        <f t="shared" ref="C6:H6" si="0">SUM(C4:C5)</f>
        <v>115.07</v>
      </c>
      <c r="D6" s="2">
        <f t="shared" si="0"/>
        <v>4179.15</v>
      </c>
      <c r="E6" s="2">
        <f t="shared" si="0"/>
        <v>1277.98</v>
      </c>
      <c r="F6" s="2"/>
      <c r="G6" s="2"/>
      <c r="H6" s="2">
        <f t="shared" si="0"/>
        <v>5572.2</v>
      </c>
      <c r="I6" s="5">
        <v>0.753</v>
      </c>
    </row>
    <row r="7" ht="29" customHeight="1" spans="1:9">
      <c r="A7" s="2" t="s">
        <v>92</v>
      </c>
      <c r="B7" s="3" t="s">
        <v>93</v>
      </c>
      <c r="C7" s="2"/>
      <c r="D7" s="2"/>
      <c r="E7" s="2"/>
      <c r="F7" s="2">
        <f>7400*0.218</f>
        <v>1613.2</v>
      </c>
      <c r="G7" s="2"/>
      <c r="H7" s="2">
        <f>7400*0.218</f>
        <v>1613.2</v>
      </c>
      <c r="I7" s="5">
        <v>0.218</v>
      </c>
    </row>
    <row r="8" ht="29" customHeight="1" spans="1:9">
      <c r="A8" s="2">
        <v>1</v>
      </c>
      <c r="B8" s="3" t="s">
        <v>94</v>
      </c>
      <c r="C8" s="2"/>
      <c r="D8" s="2"/>
      <c r="E8" s="2"/>
      <c r="F8" s="2">
        <f>7400*0.083</f>
        <v>614.2</v>
      </c>
      <c r="G8" s="2"/>
      <c r="H8" s="2">
        <f>7400*0.083</f>
        <v>614.2</v>
      </c>
      <c r="I8" s="5">
        <v>0.083</v>
      </c>
    </row>
    <row r="9" ht="29" customHeight="1" spans="1:9">
      <c r="A9" s="2">
        <v>2</v>
      </c>
      <c r="B9" s="3" t="s">
        <v>95</v>
      </c>
      <c r="C9" s="2"/>
      <c r="D9" s="2"/>
      <c r="E9" s="2"/>
      <c r="F9" s="2">
        <f>7400*0.033</f>
        <v>244.2</v>
      </c>
      <c r="G9" s="2"/>
      <c r="H9" s="2">
        <f>7400*0.033</f>
        <v>244.2</v>
      </c>
      <c r="I9" s="5">
        <v>0.033</v>
      </c>
    </row>
    <row r="10" ht="29" customHeight="1" spans="1:9">
      <c r="A10" s="2">
        <v>3</v>
      </c>
      <c r="B10" s="3" t="s">
        <v>96</v>
      </c>
      <c r="C10" s="2"/>
      <c r="D10" s="2"/>
      <c r="E10" s="2"/>
      <c r="F10" s="2">
        <f>7400*0.098</f>
        <v>725.2</v>
      </c>
      <c r="G10" s="2"/>
      <c r="H10" s="2">
        <f>7400*0.098</f>
        <v>725.2</v>
      </c>
      <c r="I10" s="5">
        <v>0.098</v>
      </c>
    </row>
    <row r="11" ht="29" customHeight="1" spans="1:9">
      <c r="A11" s="2">
        <v>4</v>
      </c>
      <c r="B11" s="3" t="s">
        <v>97</v>
      </c>
      <c r="C11" s="2"/>
      <c r="D11" s="2"/>
      <c r="E11" s="2"/>
      <c r="F11" s="2">
        <f>7400*0.004</f>
        <v>29.6</v>
      </c>
      <c r="G11" s="2"/>
      <c r="H11" s="2">
        <f>7400*0.004</f>
        <v>29.6</v>
      </c>
      <c r="I11" s="5">
        <v>0.004</v>
      </c>
    </row>
    <row r="12" ht="29" customHeight="1" spans="1:9">
      <c r="A12" s="2" t="s">
        <v>98</v>
      </c>
      <c r="B12" s="3" t="s">
        <v>99</v>
      </c>
      <c r="C12" s="2"/>
      <c r="D12" s="2"/>
      <c r="E12" s="2"/>
      <c r="F12" s="2"/>
      <c r="G12" s="2" t="s">
        <v>25</v>
      </c>
      <c r="H12" s="2">
        <f>7400*0.029</f>
        <v>214.6</v>
      </c>
      <c r="I12" s="5">
        <v>0.029</v>
      </c>
    </row>
    <row r="13" ht="29" customHeight="1" spans="1:9">
      <c r="A13" s="2"/>
      <c r="B13" s="3" t="s">
        <v>21</v>
      </c>
      <c r="C13" s="2"/>
      <c r="D13" s="2"/>
      <c r="E13" s="2"/>
      <c r="F13" s="2" t="s">
        <v>25</v>
      </c>
      <c r="G13" s="2" t="s">
        <v>25</v>
      </c>
      <c r="H13" s="2" t="s">
        <v>25</v>
      </c>
      <c r="I13" s="5">
        <v>0.247</v>
      </c>
    </row>
    <row r="14" ht="29" customHeight="1" spans="1:9">
      <c r="A14" s="2"/>
      <c r="B14" s="3" t="s">
        <v>100</v>
      </c>
      <c r="C14" s="2">
        <v>115.07</v>
      </c>
      <c r="D14" s="2">
        <v>4179.15</v>
      </c>
      <c r="E14" s="2">
        <v>1277.98</v>
      </c>
      <c r="F14" s="2">
        <v>1613.2</v>
      </c>
      <c r="G14" s="2" t="s">
        <v>25</v>
      </c>
      <c r="H14" s="2">
        <v>7400</v>
      </c>
      <c r="I14" s="4">
        <v>1</v>
      </c>
    </row>
    <row r="15" ht="29" customHeight="1" spans="1:9">
      <c r="A15" s="2"/>
      <c r="B15" s="3" t="s">
        <v>101</v>
      </c>
      <c r="C15" s="4">
        <v>0.22</v>
      </c>
      <c r="D15" s="4">
        <v>0.39</v>
      </c>
      <c r="E15" s="4">
        <v>0.15</v>
      </c>
      <c r="F15" s="4">
        <v>0.22</v>
      </c>
      <c r="G15" s="4" t="s">
        <v>25</v>
      </c>
      <c r="H15" s="4">
        <v>1</v>
      </c>
      <c r="I15" s="2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14" sqref="D14"/>
    </sheetView>
  </sheetViews>
  <sheetFormatPr defaultColWidth="9" defaultRowHeight="13.5"/>
  <cols>
    <col min="1" max="1" width="5.375" customWidth="1"/>
    <col min="2" max="2" width="11.5" customWidth="1"/>
    <col min="3" max="3" width="16" style="24" customWidth="1"/>
    <col min="4" max="4" width="17" style="24" customWidth="1"/>
    <col min="5" max="5" width="24.875" customWidth="1"/>
    <col min="6" max="7" width="20.375" customWidth="1"/>
    <col min="8" max="8" width="23.375" customWidth="1"/>
    <col min="9" max="9" width="13.75" customWidth="1"/>
  </cols>
  <sheetData>
    <row r="1" ht="25" customHeight="1" spans="1:9">
      <c r="A1" s="25" t="s">
        <v>47</v>
      </c>
      <c r="B1" s="25"/>
      <c r="C1" s="26"/>
      <c r="D1" s="26"/>
      <c r="E1" s="25"/>
      <c r="F1" s="25"/>
      <c r="G1" s="25"/>
      <c r="H1" s="25"/>
      <c r="I1" s="25"/>
    </row>
    <row r="2" ht="42" customHeight="1" spans="1:9">
      <c r="A2" s="27" t="s">
        <v>1</v>
      </c>
      <c r="B2" s="28" t="s">
        <v>48</v>
      </c>
      <c r="C2" s="28" t="s">
        <v>49</v>
      </c>
      <c r="D2" s="28" t="s">
        <v>50</v>
      </c>
      <c r="E2" s="27" t="s">
        <v>51</v>
      </c>
      <c r="F2" s="27" t="s">
        <v>52</v>
      </c>
      <c r="G2" s="27" t="s">
        <v>53</v>
      </c>
      <c r="H2" s="29" t="s">
        <v>54</v>
      </c>
      <c r="I2" s="29" t="s">
        <v>55</v>
      </c>
    </row>
    <row r="3" ht="25" customHeight="1" spans="1:9">
      <c r="A3" s="30">
        <v>1</v>
      </c>
      <c r="B3" s="31" t="s">
        <v>56</v>
      </c>
      <c r="C3" s="31" t="s">
        <v>57</v>
      </c>
      <c r="D3" s="31">
        <v>1376</v>
      </c>
      <c r="E3" s="32">
        <f>'1红崖子乡'!G13</f>
        <v>4476.3024768</v>
      </c>
      <c r="F3" s="32">
        <f>'1红崖子乡'!G17</f>
        <v>309.6</v>
      </c>
      <c r="G3" s="32">
        <f>E3+F3</f>
        <v>4785.9024768</v>
      </c>
      <c r="H3" s="32">
        <f>'1红崖子乡'!G24</f>
        <v>157.9347817344</v>
      </c>
      <c r="I3" s="32">
        <f>G3+H3</f>
        <v>4943.8372585344</v>
      </c>
    </row>
    <row r="4" ht="25" customHeight="1" spans="1:9">
      <c r="A4" s="30">
        <v>2</v>
      </c>
      <c r="B4" s="31" t="s">
        <v>56</v>
      </c>
      <c r="C4" s="31" t="s">
        <v>58</v>
      </c>
      <c r="D4" s="31">
        <v>2561</v>
      </c>
      <c r="E4" s="32">
        <f>'2宝丰镇'!G13</f>
        <v>8331.2577348</v>
      </c>
      <c r="F4" s="32">
        <f>'2宝丰镇'!G17</f>
        <v>576.225</v>
      </c>
      <c r="G4" s="32">
        <f t="shared" ref="G4:G16" si="0">E4+F4</f>
        <v>8907.4827348</v>
      </c>
      <c r="H4" s="32">
        <f>'2宝丰镇'!G24</f>
        <v>293.9469302484</v>
      </c>
      <c r="I4" s="32">
        <f t="shared" ref="I4:I16" si="1">G4+H4</f>
        <v>9201.4296650484</v>
      </c>
    </row>
    <row r="5" ht="25" customHeight="1" spans="1:9">
      <c r="A5" s="30">
        <v>3</v>
      </c>
      <c r="B5" s="31" t="s">
        <v>56</v>
      </c>
      <c r="C5" s="31" t="s">
        <v>59</v>
      </c>
      <c r="D5" s="31">
        <v>1202</v>
      </c>
      <c r="E5" s="32">
        <f>'3高庄乡'!G13</f>
        <v>3910.2584136</v>
      </c>
      <c r="F5" s="32">
        <f>'3高庄乡'!G17</f>
        <v>270.45</v>
      </c>
      <c r="G5" s="32">
        <f t="shared" si="0"/>
        <v>4180.7084136</v>
      </c>
      <c r="H5" s="32">
        <f>'3高庄乡'!G24</f>
        <v>137.9633776488</v>
      </c>
      <c r="I5" s="32">
        <f t="shared" si="1"/>
        <v>4318.6717912488</v>
      </c>
    </row>
    <row r="6" ht="25" customHeight="1" spans="1:9">
      <c r="A6" s="30">
        <v>4</v>
      </c>
      <c r="B6" s="31" t="s">
        <v>56</v>
      </c>
      <c r="C6" s="31" t="s">
        <v>60</v>
      </c>
      <c r="D6" s="31">
        <v>513</v>
      </c>
      <c r="E6" s="32">
        <f>'4高仁乡'!G13</f>
        <v>1668.8540484</v>
      </c>
      <c r="F6" s="32">
        <f>'4高仁乡'!G17</f>
        <v>115.425</v>
      </c>
      <c r="G6" s="32">
        <f t="shared" si="0"/>
        <v>1784.2790484</v>
      </c>
      <c r="H6" s="32">
        <f>'4高仁乡'!G24</f>
        <v>58.8812085972</v>
      </c>
      <c r="I6" s="32">
        <f t="shared" si="1"/>
        <v>1843.1602569972</v>
      </c>
    </row>
    <row r="7" ht="25" customHeight="1" spans="1:9">
      <c r="A7" s="30">
        <v>5</v>
      </c>
      <c r="B7" s="31" t="s">
        <v>56</v>
      </c>
      <c r="C7" s="31" t="s">
        <v>61</v>
      </c>
      <c r="D7" s="31">
        <v>597</v>
      </c>
      <c r="E7" s="32">
        <f>'5陶乐镇'!G13</f>
        <v>1942.1166996</v>
      </c>
      <c r="F7" s="32">
        <f>'5陶乐镇'!G17</f>
        <v>134.325</v>
      </c>
      <c r="G7" s="32">
        <f t="shared" si="0"/>
        <v>2076.4416996</v>
      </c>
      <c r="H7" s="32">
        <f>'5陶乐镇'!G24</f>
        <v>68.5225760868</v>
      </c>
      <c r="I7" s="32">
        <f t="shared" si="1"/>
        <v>2144.9642756868</v>
      </c>
    </row>
    <row r="8" ht="25" customHeight="1" spans="1:9">
      <c r="A8" s="30">
        <v>6</v>
      </c>
      <c r="B8" s="31" t="s">
        <v>56</v>
      </c>
      <c r="C8" s="31" t="s">
        <v>62</v>
      </c>
      <c r="D8" s="31">
        <v>2689</v>
      </c>
      <c r="E8" s="32">
        <f>'6姚伏镇'!G13</f>
        <v>8747.6579652</v>
      </c>
      <c r="F8" s="32">
        <f>'6姚伏镇'!G17</f>
        <v>605.025</v>
      </c>
      <c r="G8" s="32">
        <f t="shared" si="0"/>
        <v>9352.6829652</v>
      </c>
      <c r="H8" s="32">
        <f>'6姚伏镇'!G24</f>
        <v>308.6385378516</v>
      </c>
      <c r="I8" s="32">
        <f t="shared" si="1"/>
        <v>9661.3215030516</v>
      </c>
    </row>
    <row r="9" ht="25" customHeight="1" spans="1:9">
      <c r="A9" s="30">
        <v>7</v>
      </c>
      <c r="B9" s="31" t="s">
        <v>56</v>
      </c>
      <c r="C9" s="31" t="s">
        <v>63</v>
      </c>
      <c r="D9" s="31">
        <v>1940</v>
      </c>
      <c r="E9" s="32">
        <f>'7渠口乡'!G13</f>
        <v>6311.065992</v>
      </c>
      <c r="F9" s="32">
        <f>'7渠口乡'!G17</f>
        <v>436.5</v>
      </c>
      <c r="G9" s="32">
        <f t="shared" si="0"/>
        <v>6747.565992</v>
      </c>
      <c r="H9" s="32">
        <f>'7渠口乡'!G24</f>
        <v>222.669677736</v>
      </c>
      <c r="I9" s="32">
        <f t="shared" si="1"/>
        <v>6970.235669736</v>
      </c>
    </row>
    <row r="10" ht="25" customHeight="1" spans="1:9">
      <c r="A10" s="30">
        <v>8</v>
      </c>
      <c r="B10" s="31" t="s">
        <v>56</v>
      </c>
      <c r="C10" s="31" t="s">
        <v>64</v>
      </c>
      <c r="D10" s="31">
        <v>2017</v>
      </c>
      <c r="E10" s="32">
        <f>'8崇岗镇'!G13</f>
        <v>6561.5567556</v>
      </c>
      <c r="F10" s="32">
        <f>'8崇岗镇'!G17</f>
        <v>453.825</v>
      </c>
      <c r="G10" s="32">
        <f t="shared" si="0"/>
        <v>7015.3817556</v>
      </c>
      <c r="H10" s="32">
        <f>'8崇岗镇'!G24</f>
        <v>231.5075979348</v>
      </c>
      <c r="I10" s="32">
        <f t="shared" si="1"/>
        <v>7246.8893535348</v>
      </c>
    </row>
    <row r="11" ht="25" customHeight="1" spans="1:9">
      <c r="A11" s="30">
        <v>9</v>
      </c>
      <c r="B11" s="31" t="s">
        <v>56</v>
      </c>
      <c r="C11" s="31" t="s">
        <v>65</v>
      </c>
      <c r="D11" s="31">
        <v>1154</v>
      </c>
      <c r="E11" s="32">
        <f>'9头闸镇'!G13</f>
        <v>3754.1083272</v>
      </c>
      <c r="F11" s="32">
        <f>'9头闸镇'!G17</f>
        <v>259.65</v>
      </c>
      <c r="G11" s="32">
        <f t="shared" si="0"/>
        <v>4013.7583272</v>
      </c>
      <c r="H11" s="32">
        <f>'9头闸镇'!G24</f>
        <v>132.4540247976</v>
      </c>
      <c r="I11" s="32">
        <f t="shared" si="1"/>
        <v>4146.2123519976</v>
      </c>
    </row>
    <row r="12" ht="25" customHeight="1" spans="1:9">
      <c r="A12" s="30">
        <v>10</v>
      </c>
      <c r="B12" s="31" t="s">
        <v>56</v>
      </c>
      <c r="C12" s="31" t="s">
        <v>66</v>
      </c>
      <c r="D12" s="31">
        <v>1595</v>
      </c>
      <c r="E12" s="32">
        <f>'10灵沙乡'!G13</f>
        <v>5188.737246</v>
      </c>
      <c r="F12" s="32">
        <f>'10灵沙乡'!G17</f>
        <v>358.875</v>
      </c>
      <c r="G12" s="32">
        <f t="shared" si="0"/>
        <v>5547.612246</v>
      </c>
      <c r="H12" s="32">
        <f>'10灵沙乡'!G24</f>
        <v>183.071204118</v>
      </c>
      <c r="I12" s="32">
        <f t="shared" si="1"/>
        <v>5730.683450118</v>
      </c>
    </row>
    <row r="13" ht="25" customHeight="1" spans="1:9">
      <c r="A13" s="30">
        <v>11</v>
      </c>
      <c r="B13" s="31" t="s">
        <v>56</v>
      </c>
      <c r="C13" s="31" t="s">
        <v>67</v>
      </c>
      <c r="D13" s="31">
        <v>1384</v>
      </c>
      <c r="E13" s="32">
        <f>'11黄渠桥镇'!G13</f>
        <v>4502.3274912</v>
      </c>
      <c r="F13" s="32">
        <f>'11黄渠桥镇'!G17</f>
        <v>311.4</v>
      </c>
      <c r="G13" s="32">
        <f t="shared" si="0"/>
        <v>4813.7274912</v>
      </c>
      <c r="H13" s="32">
        <f>'11黄渠桥镇'!G24</f>
        <v>158.8530072096</v>
      </c>
      <c r="I13" s="32">
        <f t="shared" si="1"/>
        <v>4972.5804984096</v>
      </c>
    </row>
    <row r="14" ht="25" customHeight="1" spans="1:9">
      <c r="A14" s="30">
        <v>12</v>
      </c>
      <c r="B14" s="31" t="s">
        <v>56</v>
      </c>
      <c r="C14" s="31" t="s">
        <v>68</v>
      </c>
      <c r="D14" s="31">
        <v>676</v>
      </c>
      <c r="E14" s="32">
        <f>'12通伏乡'!G13</f>
        <v>2199.1137168</v>
      </c>
      <c r="F14" s="32">
        <f>'12通伏乡'!G17</f>
        <v>152.1</v>
      </c>
      <c r="G14" s="32">
        <f t="shared" si="0"/>
        <v>2351.2137168</v>
      </c>
      <c r="H14" s="32">
        <f>'12通伏乡'!G24</f>
        <v>77.5900526544</v>
      </c>
      <c r="I14" s="32">
        <f t="shared" si="1"/>
        <v>2428.8037694544</v>
      </c>
    </row>
    <row r="15" ht="25" customHeight="1" spans="1:9">
      <c r="A15" s="30"/>
      <c r="B15" s="30"/>
      <c r="C15" s="33" t="s">
        <v>46</v>
      </c>
      <c r="D15" s="34">
        <f t="shared" ref="D15:I15" si="2">SUM(D3:D14)</f>
        <v>17704</v>
      </c>
      <c r="E15" s="35">
        <f t="shared" si="2"/>
        <v>57593.3568672</v>
      </c>
      <c r="F15" s="35">
        <f t="shared" si="2"/>
        <v>3983.4</v>
      </c>
      <c r="G15" s="35">
        <f t="shared" si="2"/>
        <v>61576.7568672</v>
      </c>
      <c r="H15" s="35">
        <f t="shared" si="2"/>
        <v>2032.0329766176</v>
      </c>
      <c r="I15" s="35">
        <f t="shared" si="2"/>
        <v>63608.7898438176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5" sqref="F15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69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17103.68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1376</v>
      </c>
      <c r="F4" s="8">
        <v>21300</v>
      </c>
      <c r="G4" s="10">
        <f>E4*F4*0.0001</f>
        <v>2930.88</v>
      </c>
      <c r="H4" s="11" t="s">
        <v>14</v>
      </c>
      <c r="K4">
        <f>E4*5.2</f>
        <v>7155.2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4816</v>
      </c>
      <c r="F5" s="8">
        <v>1145</v>
      </c>
      <c r="G5" s="10">
        <f>E5*F5*0.0001</f>
        <v>551.432</v>
      </c>
      <c r="H5" s="8"/>
      <c r="K5">
        <f>E4*100/10000</f>
        <v>13.76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1376</v>
      </c>
      <c r="F6" s="8">
        <v>560</v>
      </c>
      <c r="G6" s="10">
        <f>E6*F6*0.0001</f>
        <v>77.056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1376</v>
      </c>
      <c r="F7" s="8">
        <v>470</v>
      </c>
      <c r="G7" s="10">
        <f>E7*F7*0.0001</f>
        <v>64.672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1376</v>
      </c>
      <c r="F8" s="8">
        <v>310</v>
      </c>
      <c r="G8" s="10">
        <f>E8*F8*0.0001</f>
        <v>42.656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3666.696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440.00352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4106.69952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369.6029568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4476.3024768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2820800</v>
      </c>
      <c r="G15" s="10">
        <f>E15*F15*0.0001</f>
        <v>282.08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275200</v>
      </c>
      <c r="G16" s="10">
        <f>E16*F16*0.0001</f>
        <v>27.52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309.6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4785.9024768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57.4308297216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14.3577074304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57.4308297216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28.7154148608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3">
        <f>SUM(G20:G23)</f>
        <v>157.9347817344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4943.8372585344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6" sqref="F16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70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31833.23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2561</v>
      </c>
      <c r="F4" s="8">
        <v>21300</v>
      </c>
      <c r="G4" s="10">
        <f t="shared" ref="G4:G8" si="0">E4*F4*0.0001</f>
        <v>5454.93</v>
      </c>
      <c r="H4" s="11" t="s">
        <v>14</v>
      </c>
      <c r="K4">
        <f>E4*5.2</f>
        <v>13317.2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8963.5</v>
      </c>
      <c r="F5" s="8">
        <v>1145</v>
      </c>
      <c r="G5" s="10">
        <f t="shared" si="0"/>
        <v>1026.32075</v>
      </c>
      <c r="H5" s="8"/>
      <c r="K5">
        <f>E4*100/10000</f>
        <v>25.61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2561</v>
      </c>
      <c r="F6" s="8">
        <v>560</v>
      </c>
      <c r="G6" s="10">
        <f t="shared" si="0"/>
        <v>143.416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2561</v>
      </c>
      <c r="F7" s="8">
        <v>470</v>
      </c>
      <c r="G7" s="10">
        <f t="shared" si="0"/>
        <v>120.367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2561</v>
      </c>
      <c r="F8" s="8">
        <v>310</v>
      </c>
      <c r="G8" s="10">
        <f t="shared" si="0"/>
        <v>79.391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6824.42475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818.93097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7643.35572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687.9020148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8331.2577348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5250050</v>
      </c>
      <c r="G15" s="10">
        <f>E15*F15*0.0001</f>
        <v>525.005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512200</v>
      </c>
      <c r="G16" s="10">
        <f>E16*F16*0.0001</f>
        <v>51.22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576.225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8907.4827348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106.8897928176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26.7224482044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106.8897928176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53.4448964088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293.9469302484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9201.4296650484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6" sqref="F16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71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14940.86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1202</v>
      </c>
      <c r="F4" s="8">
        <v>21300</v>
      </c>
      <c r="G4" s="10">
        <f t="shared" ref="G4:G8" si="0">E4*F4*0.0001</f>
        <v>2560.26</v>
      </c>
      <c r="H4" s="11" t="s">
        <v>14</v>
      </c>
      <c r="K4">
        <f>E4*5.2</f>
        <v>6250.4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4207</v>
      </c>
      <c r="F5" s="8">
        <v>1145</v>
      </c>
      <c r="G5" s="10">
        <f t="shared" si="0"/>
        <v>481.7015</v>
      </c>
      <c r="H5" s="8"/>
      <c r="K5">
        <f>E4*100/10000</f>
        <v>12.02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1202</v>
      </c>
      <c r="F6" s="8">
        <v>560</v>
      </c>
      <c r="G6" s="10">
        <f t="shared" si="0"/>
        <v>67.312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1202</v>
      </c>
      <c r="F7" s="8">
        <v>470</v>
      </c>
      <c r="G7" s="10">
        <f t="shared" si="0"/>
        <v>56.494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1202</v>
      </c>
      <c r="F8" s="8">
        <v>310</v>
      </c>
      <c r="G8" s="10">
        <f t="shared" si="0"/>
        <v>37.262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3203.0295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384.36354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3587.39304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322.8653736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3910.2584136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2464100</v>
      </c>
      <c r="G15" s="10">
        <f>E15*F15*0.0001</f>
        <v>246.41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240400</v>
      </c>
      <c r="G16" s="10">
        <f>E16*F16*0.0001</f>
        <v>24.04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270.45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4180.7084136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50.1685009632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12.5421252408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50.1685009632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25.0842504816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137.9633776488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4318.6717912488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6" sqref="F16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72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6376.59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513</v>
      </c>
      <c r="F4" s="8">
        <v>21300</v>
      </c>
      <c r="G4" s="10">
        <f t="shared" ref="G4:G8" si="0">E4*F4*0.0001</f>
        <v>1092.69</v>
      </c>
      <c r="H4" s="11" t="s">
        <v>14</v>
      </c>
      <c r="K4">
        <f>E4*5.2</f>
        <v>2667.6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1795.5</v>
      </c>
      <c r="F5" s="8">
        <v>1145</v>
      </c>
      <c r="G5" s="10">
        <f t="shared" si="0"/>
        <v>205.58475</v>
      </c>
      <c r="H5" s="8"/>
      <c r="K5">
        <f>E4*100/10000</f>
        <v>5.13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513</v>
      </c>
      <c r="F6" s="8">
        <v>560</v>
      </c>
      <c r="G6" s="10">
        <f t="shared" si="0"/>
        <v>28.728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513</v>
      </c>
      <c r="F7" s="8">
        <v>470</v>
      </c>
      <c r="G7" s="10">
        <f t="shared" si="0"/>
        <v>24.111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513</v>
      </c>
      <c r="F8" s="8">
        <v>310</v>
      </c>
      <c r="G8" s="10">
        <f t="shared" si="0"/>
        <v>15.903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1367.01675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164.04201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1531.05876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137.7952884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1668.8540484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1051650</v>
      </c>
      <c r="G15" s="10">
        <f>E15*F15*0.0001</f>
        <v>105.165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102600</v>
      </c>
      <c r="G16" s="10">
        <f>E16*F16*0.0001</f>
        <v>10.26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115.425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1784.2790484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21.4113485808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5.3528371452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21.4113485808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10.7056742904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58.8812085972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1843.1602569972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6" sqref="F16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73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7420.71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597</v>
      </c>
      <c r="F4" s="8">
        <v>21300</v>
      </c>
      <c r="G4" s="10">
        <f t="shared" ref="G4:G8" si="0">E4*F4*0.0001</f>
        <v>1271.61</v>
      </c>
      <c r="H4" s="11" t="s">
        <v>14</v>
      </c>
      <c r="K4">
        <f>E4*5.2</f>
        <v>3104.4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2089.5</v>
      </c>
      <c r="F5" s="8">
        <v>1145</v>
      </c>
      <c r="G5" s="10">
        <f t="shared" si="0"/>
        <v>239.24775</v>
      </c>
      <c r="H5" s="8"/>
      <c r="K5">
        <f>E4*100/10000</f>
        <v>5.97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597</v>
      </c>
      <c r="F6" s="8">
        <v>560</v>
      </c>
      <c r="G6" s="10">
        <f t="shared" si="0"/>
        <v>33.432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597</v>
      </c>
      <c r="F7" s="8">
        <v>470</v>
      </c>
      <c r="G7" s="10">
        <f t="shared" si="0"/>
        <v>28.059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597</v>
      </c>
      <c r="F8" s="8">
        <v>310</v>
      </c>
      <c r="G8" s="10">
        <f t="shared" si="0"/>
        <v>18.507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1590.85575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190.90269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1781.75844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160.3582596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1942.1166996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1223850</v>
      </c>
      <c r="G15" s="10">
        <f>E15*F15*0.0001</f>
        <v>122.385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119400</v>
      </c>
      <c r="G16" s="10">
        <f>E16*F16*0.0001</f>
        <v>11.94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134.325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2076.4416996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24.9173003952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6.2293250988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24.9173003952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12.4586501976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68.5225760868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2144.9642756868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6" sqref="F16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74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33424.27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2689</v>
      </c>
      <c r="F4" s="8">
        <v>21300</v>
      </c>
      <c r="G4" s="10">
        <f t="shared" ref="G4:G8" si="0">E4*F4*0.0001</f>
        <v>5727.57</v>
      </c>
      <c r="H4" s="11" t="s">
        <v>14</v>
      </c>
      <c r="K4">
        <f>E4*5.2</f>
        <v>13982.8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9411.5</v>
      </c>
      <c r="F5" s="8">
        <v>1145</v>
      </c>
      <c r="G5" s="10">
        <f t="shared" si="0"/>
        <v>1077.61675</v>
      </c>
      <c r="H5" s="8"/>
      <c r="K5">
        <f>E4*100/10000</f>
        <v>26.89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2689</v>
      </c>
      <c r="F6" s="8">
        <v>560</v>
      </c>
      <c r="G6" s="10">
        <f t="shared" si="0"/>
        <v>150.584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2689</v>
      </c>
      <c r="F7" s="8">
        <v>470</v>
      </c>
      <c r="G7" s="10">
        <f t="shared" si="0"/>
        <v>126.383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2689</v>
      </c>
      <c r="F8" s="8">
        <v>310</v>
      </c>
      <c r="G8" s="10">
        <f t="shared" si="0"/>
        <v>83.359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7165.51275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859.86153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8025.37428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722.2836852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8747.6579652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5512450</v>
      </c>
      <c r="G15" s="10">
        <f>E15*F15*0.0001</f>
        <v>551.245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537800</v>
      </c>
      <c r="G16" s="10">
        <f>E16*F16*0.0001</f>
        <v>53.78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605.025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9352.6829652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112.2321955824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28.0580488956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112.2321955824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56.1160977912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308.6385378516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9661.3215030516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="80" zoomScaleNormal="100" workbookViewId="0">
      <selection activeCell="F15" sqref="F15"/>
    </sheetView>
  </sheetViews>
  <sheetFormatPr defaultColWidth="9" defaultRowHeight="13.5"/>
  <cols>
    <col min="1" max="1" width="8" customWidth="1"/>
    <col min="2" max="2" width="29.4416666666667" customWidth="1"/>
    <col min="3" max="3" width="16.1083333333333" customWidth="1"/>
    <col min="4" max="4" width="7.38333333333333" customWidth="1"/>
    <col min="5" max="5" width="10.5583333333333" customWidth="1"/>
    <col min="6" max="6" width="11.95" customWidth="1"/>
    <col min="7" max="7" width="15.4416666666667" style="6" customWidth="1"/>
    <col min="8" max="8" width="15.4416666666667" customWidth="1"/>
    <col min="10" max="10" width="12.625"/>
    <col min="11" max="11" width="12.8916666666667"/>
  </cols>
  <sheetData>
    <row r="1" ht="30" customHeight="1" spans="1:8">
      <c r="A1" s="7" t="s">
        <v>75</v>
      </c>
      <c r="B1" s="7"/>
      <c r="C1" s="7"/>
      <c r="D1" s="7"/>
      <c r="E1" s="7"/>
      <c r="F1" s="7"/>
      <c r="G1" s="7"/>
      <c r="H1" s="7"/>
    </row>
    <row r="2" ht="2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2" customHeight="1" spans="1:11">
      <c r="A3" s="8" t="s">
        <v>9</v>
      </c>
      <c r="B3" s="9" t="s">
        <v>10</v>
      </c>
      <c r="C3" s="8"/>
      <c r="D3" s="8"/>
      <c r="E3" s="8"/>
      <c r="F3" s="8"/>
      <c r="G3" s="8"/>
      <c r="H3" s="8"/>
      <c r="K3">
        <f>E4*12.43</f>
        <v>24114.2</v>
      </c>
    </row>
    <row r="4" ht="30" customHeight="1" spans="1:11">
      <c r="A4" s="8">
        <v>1</v>
      </c>
      <c r="B4" s="8" t="s">
        <v>11</v>
      </c>
      <c r="C4" s="8" t="s">
        <v>12</v>
      </c>
      <c r="D4" s="8" t="s">
        <v>13</v>
      </c>
      <c r="E4" s="8">
        <v>1940</v>
      </c>
      <c r="F4" s="8">
        <v>21300</v>
      </c>
      <c r="G4" s="10">
        <f t="shared" ref="G4:G8" si="0">E4*F4*0.0001</f>
        <v>4132.2</v>
      </c>
      <c r="H4" s="11" t="s">
        <v>14</v>
      </c>
      <c r="K4">
        <f>E4*5.2</f>
        <v>10088</v>
      </c>
    </row>
    <row r="5" ht="22" customHeight="1" spans="1:11">
      <c r="A5" s="8">
        <v>2</v>
      </c>
      <c r="B5" s="8" t="s">
        <v>15</v>
      </c>
      <c r="C5" s="8"/>
      <c r="D5" s="8" t="s">
        <v>16</v>
      </c>
      <c r="E5" s="8">
        <f>E4*3.5</f>
        <v>6790</v>
      </c>
      <c r="F5" s="8">
        <v>1145</v>
      </c>
      <c r="G5" s="10">
        <f t="shared" si="0"/>
        <v>777.455</v>
      </c>
      <c r="H5" s="8"/>
      <c r="K5">
        <f>E4*100/10000</f>
        <v>19.4</v>
      </c>
    </row>
    <row r="6" ht="22" customHeight="1" spans="1:8">
      <c r="A6" s="8">
        <v>3</v>
      </c>
      <c r="B6" s="8" t="s">
        <v>17</v>
      </c>
      <c r="C6" s="8"/>
      <c r="D6" s="8" t="s">
        <v>18</v>
      </c>
      <c r="E6" s="8">
        <f>E4</f>
        <v>1940</v>
      </c>
      <c r="F6" s="8">
        <v>560</v>
      </c>
      <c r="G6" s="10">
        <f t="shared" si="0"/>
        <v>108.64</v>
      </c>
      <c r="H6" s="8"/>
    </row>
    <row r="7" ht="22" customHeight="1" spans="1:8">
      <c r="A7" s="8">
        <v>4</v>
      </c>
      <c r="B7" s="8" t="s">
        <v>19</v>
      </c>
      <c r="C7" s="8"/>
      <c r="D7" s="8" t="s">
        <v>18</v>
      </c>
      <c r="E7" s="8">
        <f>E4</f>
        <v>1940</v>
      </c>
      <c r="F7" s="8">
        <v>470</v>
      </c>
      <c r="G7" s="10">
        <f t="shared" si="0"/>
        <v>91.18</v>
      </c>
      <c r="H7" s="8"/>
    </row>
    <row r="8" ht="22" customHeight="1" spans="1:8">
      <c r="A8" s="8">
        <v>5</v>
      </c>
      <c r="B8" s="8" t="s">
        <v>20</v>
      </c>
      <c r="C8" s="8"/>
      <c r="D8" s="8" t="s">
        <v>18</v>
      </c>
      <c r="E8" s="8">
        <f>E4</f>
        <v>1940</v>
      </c>
      <c r="F8" s="8">
        <v>310</v>
      </c>
      <c r="G8" s="10">
        <f t="shared" si="0"/>
        <v>60.14</v>
      </c>
      <c r="H8" s="8"/>
    </row>
    <row r="9" ht="22" customHeight="1" spans="1:8">
      <c r="A9" s="8">
        <v>6</v>
      </c>
      <c r="B9" s="8" t="s">
        <v>21</v>
      </c>
      <c r="C9" s="8"/>
      <c r="D9" s="8"/>
      <c r="E9" s="8"/>
      <c r="F9" s="8"/>
      <c r="G9" s="10">
        <f>SUM(G4:G8)</f>
        <v>5169.615</v>
      </c>
      <c r="H9" s="8"/>
    </row>
    <row r="10" ht="22" customHeight="1" spans="1:8">
      <c r="A10" s="8">
        <v>10</v>
      </c>
      <c r="B10" s="8" t="s">
        <v>22</v>
      </c>
      <c r="C10" s="8"/>
      <c r="D10" s="8" t="s">
        <v>23</v>
      </c>
      <c r="E10" s="8">
        <v>1</v>
      </c>
      <c r="F10" s="12">
        <v>0.12</v>
      </c>
      <c r="G10" s="10">
        <f>G9*F10</f>
        <v>620.3538</v>
      </c>
      <c r="H10" s="13"/>
    </row>
    <row r="11" ht="22" customHeight="1" spans="1:8">
      <c r="A11" s="8">
        <v>11</v>
      </c>
      <c r="B11" s="8" t="s">
        <v>24</v>
      </c>
      <c r="C11" s="8"/>
      <c r="D11" s="8"/>
      <c r="E11" s="8"/>
      <c r="F11" s="12"/>
      <c r="G11" s="10">
        <f>G9+G10</f>
        <v>5789.9688</v>
      </c>
      <c r="H11" s="13"/>
    </row>
    <row r="12" ht="22" customHeight="1" spans="1:8">
      <c r="A12" s="8" t="s">
        <v>25</v>
      </c>
      <c r="B12" s="8" t="s">
        <v>26</v>
      </c>
      <c r="C12" s="8"/>
      <c r="D12" s="8" t="s">
        <v>23</v>
      </c>
      <c r="E12" s="8">
        <v>1</v>
      </c>
      <c r="F12" s="12">
        <v>0.09</v>
      </c>
      <c r="G12" s="10">
        <f>G11*F12</f>
        <v>521.097192</v>
      </c>
      <c r="H12" s="13"/>
    </row>
    <row r="13" ht="22" customHeight="1" spans="1:8">
      <c r="A13" s="8" t="s">
        <v>25</v>
      </c>
      <c r="B13" s="14" t="s">
        <v>27</v>
      </c>
      <c r="C13" s="8"/>
      <c r="D13" s="14"/>
      <c r="E13" s="14"/>
      <c r="F13" s="14"/>
      <c r="G13" s="15">
        <f>G11+G12</f>
        <v>6311.065992</v>
      </c>
      <c r="H13" s="13"/>
    </row>
    <row r="14" ht="22" customHeight="1" spans="1:8">
      <c r="A14" s="14" t="s">
        <v>28</v>
      </c>
      <c r="B14" s="9" t="s">
        <v>29</v>
      </c>
      <c r="C14" s="8"/>
      <c r="D14" s="14"/>
      <c r="E14" s="14"/>
      <c r="F14" s="14"/>
      <c r="G14" s="15"/>
      <c r="H14" s="13"/>
    </row>
    <row r="15" ht="33" customHeight="1" spans="1:8">
      <c r="A15" s="8">
        <v>1</v>
      </c>
      <c r="B15" s="8" t="s">
        <v>30</v>
      </c>
      <c r="C15" s="8" t="s">
        <v>31</v>
      </c>
      <c r="D15" s="8" t="s">
        <v>23</v>
      </c>
      <c r="E15" s="8">
        <v>1</v>
      </c>
      <c r="F15" s="8">
        <f>E4*2050</f>
        <v>3977000</v>
      </c>
      <c r="G15" s="10">
        <f>E15*F15*0.0001</f>
        <v>397.7</v>
      </c>
      <c r="H15" s="13"/>
    </row>
    <row r="16" ht="42.75" spans="1:8">
      <c r="A16" s="8">
        <v>2</v>
      </c>
      <c r="B16" s="8" t="s">
        <v>32</v>
      </c>
      <c r="C16" s="8" t="s">
        <v>33</v>
      </c>
      <c r="D16" s="8" t="s">
        <v>23</v>
      </c>
      <c r="E16" s="8">
        <v>1</v>
      </c>
      <c r="F16" s="8">
        <f>E4*200</f>
        <v>388000</v>
      </c>
      <c r="G16" s="10">
        <f>E16*F16*0.0001</f>
        <v>38.8</v>
      </c>
      <c r="H16" s="13"/>
    </row>
    <row r="17" ht="22" customHeight="1" spans="1:8">
      <c r="A17" s="8"/>
      <c r="B17" s="8" t="s">
        <v>34</v>
      </c>
      <c r="C17" s="8"/>
      <c r="D17" s="8"/>
      <c r="E17" s="8"/>
      <c r="F17" s="8"/>
      <c r="G17" s="15">
        <f>G15+G16</f>
        <v>436.5</v>
      </c>
      <c r="H17" s="13"/>
    </row>
    <row r="18" ht="22" customHeight="1" spans="1:11">
      <c r="A18" s="8"/>
      <c r="B18" s="14" t="s">
        <v>35</v>
      </c>
      <c r="C18" s="8"/>
      <c r="D18" s="8"/>
      <c r="E18" s="8"/>
      <c r="F18" s="8"/>
      <c r="G18" s="15">
        <f>G13+G17</f>
        <v>6747.565992</v>
      </c>
      <c r="H18" s="13"/>
      <c r="K18">
        <f>G17/E4*10000</f>
        <v>2250</v>
      </c>
    </row>
    <row r="19" ht="22" customHeight="1" spans="1:8">
      <c r="A19" s="16" t="s">
        <v>36</v>
      </c>
      <c r="B19" s="16" t="s">
        <v>37</v>
      </c>
      <c r="C19" s="8"/>
      <c r="D19" s="14"/>
      <c r="E19" s="14"/>
      <c r="F19" s="14"/>
      <c r="G19" s="15"/>
      <c r="H19" s="13"/>
    </row>
    <row r="20" ht="27" spans="1:8">
      <c r="A20" s="17">
        <v>1</v>
      </c>
      <c r="B20" s="8" t="s">
        <v>38</v>
      </c>
      <c r="C20" s="8"/>
      <c r="D20" s="14"/>
      <c r="E20" s="18"/>
      <c r="F20" s="19">
        <v>0.012</v>
      </c>
      <c r="G20" s="10">
        <f>G18*F20</f>
        <v>80.970791904</v>
      </c>
      <c r="H20" s="11" t="s">
        <v>39</v>
      </c>
    </row>
    <row r="21" ht="27" spans="1:8">
      <c r="A21" s="17">
        <v>2</v>
      </c>
      <c r="B21" s="8" t="s">
        <v>40</v>
      </c>
      <c r="C21" s="8"/>
      <c r="D21" s="14"/>
      <c r="E21" s="18"/>
      <c r="F21" s="19">
        <v>0.003</v>
      </c>
      <c r="G21" s="10">
        <f>G18*F21</f>
        <v>20.242697976</v>
      </c>
      <c r="H21" s="11" t="s">
        <v>41</v>
      </c>
    </row>
    <row r="22" ht="27" spans="1:8">
      <c r="A22" s="17">
        <v>3</v>
      </c>
      <c r="B22" s="8" t="s">
        <v>42</v>
      </c>
      <c r="C22" s="8"/>
      <c r="D22" s="14"/>
      <c r="E22" s="18"/>
      <c r="F22" s="19">
        <v>0.012</v>
      </c>
      <c r="G22" s="10">
        <f>G18*F22</f>
        <v>80.970791904</v>
      </c>
      <c r="H22" s="11" t="s">
        <v>39</v>
      </c>
    </row>
    <row r="23" ht="27" spans="1:8">
      <c r="A23" s="17">
        <v>4</v>
      </c>
      <c r="B23" s="8" t="s">
        <v>43</v>
      </c>
      <c r="C23" s="8"/>
      <c r="D23" s="14"/>
      <c r="E23" s="18"/>
      <c r="F23" s="19">
        <v>0.006</v>
      </c>
      <c r="G23" s="10">
        <f>G18*F23</f>
        <v>40.485395952</v>
      </c>
      <c r="H23" s="11" t="s">
        <v>44</v>
      </c>
    </row>
    <row r="24" ht="22" customHeight="1" spans="1:8">
      <c r="A24" s="20"/>
      <c r="B24" s="21" t="s">
        <v>45</v>
      </c>
      <c r="C24" s="8"/>
      <c r="D24" s="14"/>
      <c r="E24" s="14"/>
      <c r="F24" s="16"/>
      <c r="G24" s="22">
        <f>SUM(G20:G23)</f>
        <v>222.669677736</v>
      </c>
      <c r="H24" s="17"/>
    </row>
    <row r="25" ht="22" customHeight="1" spans="1:10">
      <c r="A25" s="20"/>
      <c r="B25" s="21" t="s">
        <v>46</v>
      </c>
      <c r="C25" s="8"/>
      <c r="D25" s="14"/>
      <c r="E25" s="14"/>
      <c r="F25" s="16"/>
      <c r="G25" s="22">
        <f>G18+G24</f>
        <v>6970.235669736</v>
      </c>
      <c r="H25" s="17"/>
      <c r="J25">
        <f>G25/E4</f>
        <v>3.5929049844</v>
      </c>
    </row>
  </sheetData>
  <mergeCells count="1">
    <mergeCell ref="A1:H1"/>
  </mergeCells>
  <pageMargins left="0.196527777777778" right="0.156944444444444" top="0.354166666666667" bottom="1" header="0.27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平罗县清洁取暖项目概算</vt:lpstr>
      <vt:lpstr>汇总</vt:lpstr>
      <vt:lpstr>1红崖子乡</vt:lpstr>
      <vt:lpstr>2宝丰镇</vt:lpstr>
      <vt:lpstr>3高庄乡</vt:lpstr>
      <vt:lpstr>4高仁乡</vt:lpstr>
      <vt:lpstr>5陶乐镇</vt:lpstr>
      <vt:lpstr>6姚伏镇</vt:lpstr>
      <vt:lpstr>7渠口乡</vt:lpstr>
      <vt:lpstr>8崇岗镇</vt:lpstr>
      <vt:lpstr>9头闸镇</vt:lpstr>
      <vt:lpstr>10灵沙乡</vt:lpstr>
      <vt:lpstr>11黄渠桥镇</vt:lpstr>
      <vt:lpstr>12通伏乡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WPS_1178778167</cp:lastModifiedBy>
  <dcterms:created xsi:type="dcterms:W3CDTF">2021-01-30T03:41:00Z</dcterms:created>
  <dcterms:modified xsi:type="dcterms:W3CDTF">2025-02-26T08:59:43Z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6CC832E67EC04C8B90F88373DF814682</vt:lpwstr>
  </property>
</Properties>
</file>