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总概算表" sheetId="13" r:id="rId1"/>
    <sheet name="单项概算" sheetId="15" r:id="rId2"/>
    <sheet name="2024燃气概算" sheetId="1" state="hidden" r:id="rId3"/>
  </sheets>
  <externalReferences>
    <externalReference r:id="rId4"/>
  </externalReferences>
  <definedNames>
    <definedName name="HTML_CodePage" hidden="1">936</definedName>
    <definedName name="HTML_Control" hidden="1">{"'现金流量表（全部投资）'!$B$4:$P$23"}</definedName>
    <definedName name="HTML_Description" hidden="1">"lin zijian"</definedName>
    <definedName name="HTML_Email" hidden="1">""</definedName>
    <definedName name="HTML_Header" hidden="1">"现金流量表（全部投资）"</definedName>
    <definedName name="HTML_LastUpdate" hidden="1">"96-12-2"</definedName>
    <definedName name="HTML_LineAfter" hidden="1">TRUE</definedName>
    <definedName name="HTML_LineBefore" hidden="1">TRUE</definedName>
    <definedName name="HTML_Name" hidden="1">"linzijia"</definedName>
    <definedName name="HTML_OBDlg2" hidden="1">TRUE</definedName>
    <definedName name="HTML_OBDlg4" hidden="1">TRUE</definedName>
    <definedName name="HTML_OS" hidden="1">0</definedName>
    <definedName name="HTML_PathFile" hidden="1">"C:\lin\bk\MyHTML.htm"</definedName>
    <definedName name="HTML_Title" hidden="1">"PROJECT11"</definedName>
    <definedName name="_xlnm.Print_Area" localSheetId="2">'2024燃气概算'!$A$1:$J$392</definedName>
    <definedName name="_xlnm.Print_Area" localSheetId="1">单项概算!$A$1:$I$1076</definedName>
    <definedName name="_xlnm.Print_Area" localSheetId="0">总概算表!$A$1:$K$52</definedName>
    <definedName name="_xlnm.Print_Titles" localSheetId="2">'2024燃气概算'!$1:$3</definedName>
    <definedName name="_xlnm.Print_Titles" localSheetId="1">单项概算!$1:$3</definedName>
    <definedName name="_xlnm.Print_Titles" localSheetId="0">总概算表!$1:$4</definedName>
    <definedName name="汇率">[1]国民经济评价投资调整计算表!$L$3</definedName>
    <definedName name="热力站二期" hidden="1">{"'现金流量表（全部投资）'!$B$4:$P$23"}</definedName>
    <definedName name="热力站新" hidden="1">{"'现金流量表（全部投资）'!$B$4:$P$23"}</definedName>
    <definedName name="生产列2">'[1]现金流量表（自有资金）'!$AD$5:$AD$18</definedName>
    <definedName name="生产列20">#REF!</definedName>
    <definedName name="生产列6">#REF!</definedName>
    <definedName name="生产列8">'[1]国民经济效益费用流量表（国内投资）'!$AD$5:$AD$21</definedName>
    <definedName name="生产列9">#REF!</definedName>
    <definedName name="生产期">'[1]现金流量表（自有资金）'!$AD$5</definedName>
    <definedName name="生产期2">'[1]现金流量表（自有资金）'!$AD$5</definedName>
    <definedName name="生产期20">#REF!</definedName>
    <definedName name="生产期6">#REF!</definedName>
    <definedName name="生产期8">'[1]国民经济效益费用流量表（国内投资）'!$AD$5</definedName>
    <definedName name="生产期9">#REF!</definedName>
    <definedName name="砖砌圆形阀门井">#REF!</definedName>
    <definedName name="_xlnm._FilterDatabase" localSheetId="1" hidden="1">单项概算!$A$1:$K$1075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lbh</author>
    <author>微软用户</author>
  </authors>
  <commentList>
    <comment ref="B32" authorId="0">
      <text>
        <r>
          <rPr>
            <sz val="9"/>
            <rFont val="宋体"/>
            <charset val="134"/>
          </rPr>
          <t>lbh:工程第一部分费用总值×
    100～300： 2.0～2.4（％）
    300～500： 1.7～2.0
   500～1000： 1.5～1.7
  1000～5000： 1.2～1.5
 5000～10000： 1.1～1.2
10000～20000： 0.9～1.1
20000～50000： 0.8～0.9
   50000以上： 0.6～0.8</t>
        </r>
      </text>
    </comment>
    <comment ref="B33" authorId="1">
      <text>
        <r>
          <rPr>
            <sz val="9"/>
            <rFont val="宋体"/>
            <charset val="134"/>
          </rPr>
          <t xml:space="preserve">微软用户:
施工监理服务收费基价表       单位：万元 　 　 　
序号 计费额    收费基价 　  费率
1     500        16.5       3.30
2     1000       30.1       3.01
3     3000       78.1       2.60
4     5000       120.8      2.42
5     8000       181        2.26
6     10000      218.6      2.19
7     20000      393.4      1.97
8     40000      708.2      1.77
9     60000      991.4      1.65
10    80000     1255.8     1.57
11    100000    1507       1.51
12    200000    2712.5     1.36
13    400000    4882.6     1.22
14    600000    6835.6     1.14
15    800000    8658.4     1.08
16    1000000   10390.1    1.04
注：计费额大于1000000万元的，以计费额乘以1.039%的收费率计算收费基价。其他未包含的其收费由双方协商议定。 　 　 　
</t>
        </r>
      </text>
    </comment>
    <comment ref="B34" authorId="0">
      <text>
        <r>
          <rPr>
            <sz val="9"/>
            <rFont val="宋体"/>
            <charset val="134"/>
          </rPr>
          <t xml:space="preserve">lbh:国家发展计划委员会、建设部计价格[2002]10号文《工程勘察设计收费标准》
设计费＝设计收费基价×专业调整系数（1.0）×工程复杂程度调整系数（1.15）×附加调整系数（改扩建和技术改造项目1.1～1.4）
其中：设计收费基价＝（工程费用-给定小的计费额）×（给定大的收费基价－给定小的收费基价）÷（给定大的计费额-给定小的计费额）+给定小的收费基价
计费额区间（工程费用）：  200          500          1000          3000          5000         8000         10000         20000       
              收费基价：  9.00         20.90        38.80         103.80        163.90       249.60       304.80        566.80
                          40000        60000        80000         100000        200000       400000       600000        800000
                          1054.00      1515.20      1960.10       2393.40       4450.80      8276.70      11897.50      15391.40
                          </t>
        </r>
      </text>
    </comment>
  </commentList>
</comments>
</file>

<file path=xl/sharedStrings.xml><?xml version="1.0" encoding="utf-8"?>
<sst xmlns="http://schemas.openxmlformats.org/spreadsheetml/2006/main" count="5077" uniqueCount="726">
  <si>
    <t>工程审定概算表</t>
  </si>
  <si>
    <t>建设项目名称：平罗县5755户分散居住户天然气管道更新改造工程</t>
  </si>
  <si>
    <t>户数</t>
  </si>
  <si>
    <t>平均每户价格</t>
  </si>
  <si>
    <t>序         号</t>
  </si>
  <si>
    <t>工 程 和 费 用 名 称</t>
  </si>
  <si>
    <t>概    算   价   值  （万元）</t>
  </si>
  <si>
    <t>技术经济指标（元）</t>
  </si>
  <si>
    <t>占总投
资比例
(%)</t>
  </si>
  <si>
    <t>建 筑
工 程</t>
  </si>
  <si>
    <t>设备及
工器具</t>
  </si>
  <si>
    <t>安  装
工  程</t>
  </si>
  <si>
    <t>其 他
费 用</t>
  </si>
  <si>
    <t>合   计</t>
  </si>
  <si>
    <t>单位</t>
  </si>
  <si>
    <t>数量</t>
  </si>
  <si>
    <t>指  标</t>
  </si>
  <si>
    <t>建设项目总投资(Ⅰ+Ⅱ+Ⅲ)</t>
  </si>
  <si>
    <t>建设投资（Ⅰ+Ⅱ+Ⅲ）</t>
  </si>
  <si>
    <t>Ⅰ</t>
  </si>
  <si>
    <t>工程费用</t>
  </si>
  <si>
    <t>一</t>
  </si>
  <si>
    <t>燃气改造</t>
  </si>
  <si>
    <t>m</t>
  </si>
  <si>
    <t>1</t>
  </si>
  <si>
    <t>2</t>
  </si>
  <si>
    <t>3</t>
  </si>
  <si>
    <t>4</t>
  </si>
  <si>
    <t>5</t>
  </si>
  <si>
    <t>6</t>
  </si>
  <si>
    <t>7</t>
  </si>
  <si>
    <t>8</t>
  </si>
  <si>
    <t>9</t>
  </si>
  <si>
    <t>10</t>
  </si>
  <si>
    <t>11</t>
  </si>
  <si>
    <t>12</t>
  </si>
  <si>
    <t>13</t>
  </si>
  <si>
    <t>14</t>
  </si>
  <si>
    <t>15</t>
  </si>
  <si>
    <t>16</t>
  </si>
  <si>
    <t>17</t>
  </si>
  <si>
    <t>18</t>
  </si>
  <si>
    <t>19</t>
  </si>
  <si>
    <t>20</t>
  </si>
  <si>
    <t>北苑社区片区</t>
  </si>
  <si>
    <t>21</t>
  </si>
  <si>
    <t>单项接气点新旧管碰接费用</t>
  </si>
  <si>
    <t>处</t>
  </si>
  <si>
    <t>Ⅱ</t>
  </si>
  <si>
    <t>工程建设其他费用</t>
  </si>
  <si>
    <t>建设单位管理费</t>
  </si>
  <si>
    <t xml:space="preserve">施工监理费  </t>
  </si>
  <si>
    <t>设计费</t>
  </si>
  <si>
    <t>地质勘察及测量费</t>
  </si>
  <si>
    <t xml:space="preserve">施工图审查费  </t>
  </si>
  <si>
    <t>清单及控制价编制费</t>
  </si>
  <si>
    <t>清单及控制价审核费</t>
  </si>
  <si>
    <t>结算审核费</t>
  </si>
  <si>
    <t>工程竣工财务决算审计</t>
  </si>
  <si>
    <t>工程检验试验费</t>
  </si>
  <si>
    <t xml:space="preserve">工程招标代理服务费  </t>
  </si>
  <si>
    <t>工程保险费</t>
  </si>
  <si>
    <t>安评费</t>
  </si>
  <si>
    <t>可研编制费</t>
  </si>
  <si>
    <t>Ⅲ</t>
  </si>
  <si>
    <t>预备费</t>
  </si>
  <si>
    <t xml:space="preserve">基本预备费    </t>
  </si>
  <si>
    <t>Ⅳ</t>
  </si>
  <si>
    <t>建设期贷款利息</t>
  </si>
  <si>
    <t>Ⅴ</t>
  </si>
  <si>
    <t>铺底流动资金</t>
  </si>
  <si>
    <t>单位工程概算表</t>
  </si>
  <si>
    <t>子项名称：平罗县5755户分散居住户天然气管道更新改造工程</t>
  </si>
  <si>
    <t>序号</t>
  </si>
  <si>
    <t>名  称</t>
  </si>
  <si>
    <t>规  格</t>
  </si>
  <si>
    <t>材料</t>
  </si>
  <si>
    <t>数  量</t>
  </si>
  <si>
    <t>单价(元)</t>
  </si>
  <si>
    <t>合价(元)</t>
  </si>
  <si>
    <t>备  注</t>
  </si>
  <si>
    <t>初步设计阶段</t>
  </si>
  <si>
    <t>新利社区片区天然气管道工程</t>
  </si>
  <si>
    <t>PE管道埋地敷设，备注沥青路面的，埋深管顶覆土按1.4米计算；其余未备注的管顶覆土1.2米计算，埋地管道道路恢复按照道板砖计算。钢制管道架空敷设。</t>
  </si>
  <si>
    <t xml:space="preserve">燃气用聚乙烯管  </t>
  </si>
  <si>
    <t>de90×8.2</t>
  </si>
  <si>
    <t>PE100</t>
  </si>
  <si>
    <t>de63×5.8</t>
  </si>
  <si>
    <t>de40×3.7</t>
  </si>
  <si>
    <t>无缝钢管</t>
  </si>
  <si>
    <t>D57×3.5</t>
  </si>
  <si>
    <t>20#钢</t>
  </si>
  <si>
    <t>D38×3.5</t>
  </si>
  <si>
    <t>钢制套管</t>
  </si>
  <si>
    <t>DN150</t>
  </si>
  <si>
    <t>Q235A</t>
  </si>
  <si>
    <t>个</t>
  </si>
  <si>
    <t>套管0.5m/个</t>
  </si>
  <si>
    <t>DN80</t>
  </si>
  <si>
    <t>DN65</t>
  </si>
  <si>
    <t>90°钢制弯头</t>
  </si>
  <si>
    <t>DN50</t>
  </si>
  <si>
    <t>DN32</t>
  </si>
  <si>
    <t>钢制三通</t>
  </si>
  <si>
    <t>DN80×32</t>
  </si>
  <si>
    <t>DN50×50</t>
  </si>
  <si>
    <t>DN50×32</t>
  </si>
  <si>
    <t>DN32×15</t>
  </si>
  <si>
    <t>钢制管帽</t>
  </si>
  <si>
    <t>钢制变径</t>
  </si>
  <si>
    <t>DN80×50</t>
  </si>
  <si>
    <t>PE电熔三通</t>
  </si>
  <si>
    <t>de90×90</t>
  </si>
  <si>
    <t>de90×63</t>
  </si>
  <si>
    <t>de90×40</t>
  </si>
  <si>
    <t>de63×40</t>
  </si>
  <si>
    <t>PE电熔变径</t>
  </si>
  <si>
    <t>de110×63</t>
  </si>
  <si>
    <t>PE电熔弯头90°</t>
  </si>
  <si>
    <t>de90</t>
  </si>
  <si>
    <t>de63</t>
  </si>
  <si>
    <t>de40</t>
  </si>
  <si>
    <t>电熔套筒</t>
  </si>
  <si>
    <t>钢塑转换</t>
  </si>
  <si>
    <t>de90/DN80</t>
  </si>
  <si>
    <t>de63/DN50</t>
  </si>
  <si>
    <t>de40/DN32</t>
  </si>
  <si>
    <t>法兰球阀 Q41F-16C</t>
  </si>
  <si>
    <t>调压箱</t>
  </si>
  <si>
    <r>
      <rPr>
        <sz val="10"/>
        <rFont val="宋体"/>
        <charset val="134"/>
      </rPr>
      <t>50m</t>
    </r>
    <r>
      <rPr>
        <vertAlign val="superscript"/>
        <sz val="10"/>
        <rFont val="宋体"/>
        <charset val="134"/>
      </rPr>
      <t>3</t>
    </r>
    <r>
      <rPr>
        <sz val="10"/>
        <rFont val="宋体"/>
        <charset val="134"/>
      </rPr>
      <t>/h</t>
    </r>
  </si>
  <si>
    <t>套</t>
  </si>
  <si>
    <t>无线远传压力记录仪</t>
  </si>
  <si>
    <t>警示带</t>
  </si>
  <si>
    <t>可探测金属示踪带</t>
  </si>
  <si>
    <t>管支架</t>
  </si>
  <si>
    <t>扁钢</t>
  </si>
  <si>
    <t>-40×4</t>
  </si>
  <si>
    <t>米</t>
  </si>
  <si>
    <t>角钢</t>
  </si>
  <si>
    <t>∠50×5</t>
  </si>
  <si>
    <t>根</t>
  </si>
  <si>
    <t>2.5米每根</t>
  </si>
  <si>
    <t>焊接钢管</t>
  </si>
  <si>
    <t xml:space="preserve">铜铰线 </t>
  </si>
  <si>
    <t>6mm2</t>
  </si>
  <si>
    <t>IC卡天然气表</t>
  </si>
  <si>
    <t>J2.5m3/h</t>
  </si>
  <si>
    <t>成品</t>
  </si>
  <si>
    <t>块</t>
  </si>
  <si>
    <t>切断型</t>
  </si>
  <si>
    <t>表托架 G2.5</t>
  </si>
  <si>
    <t>表接头</t>
  </si>
  <si>
    <t>报警器</t>
  </si>
  <si>
    <t>表托架</t>
  </si>
  <si>
    <t>铜球阀</t>
  </si>
  <si>
    <t>DN15</t>
  </si>
  <si>
    <t>自闭阀</t>
  </si>
  <si>
    <t>镀锌钢管</t>
  </si>
  <si>
    <t>镀锌弯头</t>
  </si>
  <si>
    <t>镀锌对丝</t>
  </si>
  <si>
    <t>钢套管</t>
  </si>
  <si>
    <t>0.5m/个</t>
  </si>
  <si>
    <t>不锈钢波纹软管RLB-ZL-15×2000</t>
  </si>
  <si>
    <t>土方开挖</t>
  </si>
  <si>
    <t>m3</t>
  </si>
  <si>
    <t>土方回填</t>
  </si>
  <si>
    <t>余土外运</t>
  </si>
  <si>
    <t>砂垫层</t>
  </si>
  <si>
    <t>合计</t>
  </si>
  <si>
    <t>元</t>
  </si>
  <si>
    <t>唐徕社区片区天然气管道工程</t>
  </si>
  <si>
    <t>de110×10</t>
  </si>
  <si>
    <t>D108×4.5</t>
  </si>
  <si>
    <t>D89×4.0</t>
  </si>
  <si>
    <t>DN100</t>
  </si>
  <si>
    <t>DN100×80</t>
  </si>
  <si>
    <t>DN80×80</t>
  </si>
  <si>
    <t>de110×110</t>
  </si>
  <si>
    <t>de110×90</t>
  </si>
  <si>
    <t>de110</t>
  </si>
  <si>
    <t>de110/DN100</t>
  </si>
  <si>
    <t>DN25</t>
  </si>
  <si>
    <r>
      <rPr>
        <sz val="10"/>
        <rFont val="宋体"/>
        <charset val="134"/>
      </rPr>
      <t>300m</t>
    </r>
    <r>
      <rPr>
        <vertAlign val="superscript"/>
        <sz val="10"/>
        <rFont val="宋体"/>
        <charset val="134"/>
      </rPr>
      <t>3</t>
    </r>
    <r>
      <rPr>
        <sz val="10"/>
        <rFont val="宋体"/>
        <charset val="134"/>
      </rPr>
      <t>/h</t>
    </r>
  </si>
  <si>
    <t>星海社区片区天然气管道工程</t>
  </si>
  <si>
    <t>和平社区片区天然气管道工程</t>
  </si>
  <si>
    <t>套管0.6m/个</t>
  </si>
  <si>
    <t>DN63</t>
  </si>
  <si>
    <t>套管0.7m/个</t>
  </si>
  <si>
    <t>DN100×50</t>
  </si>
  <si>
    <t>de160</t>
  </si>
  <si>
    <r>
      <rPr>
        <sz val="10"/>
        <rFont val="宋体"/>
        <charset val="134"/>
      </rPr>
      <t>100m</t>
    </r>
    <r>
      <rPr>
        <vertAlign val="superscript"/>
        <sz val="10"/>
        <rFont val="宋体"/>
        <charset val="134"/>
      </rPr>
      <t>3</t>
    </r>
    <r>
      <rPr>
        <sz val="10"/>
        <rFont val="宋体"/>
        <charset val="134"/>
      </rPr>
      <t>/h</t>
    </r>
  </si>
  <si>
    <t>路面拆除与恢复</t>
  </si>
  <si>
    <t>沥青路面</t>
  </si>
  <si>
    <t>玉皇阁社区片区一</t>
  </si>
  <si>
    <t>de225×20.7</t>
  </si>
  <si>
    <t>DN32×32</t>
  </si>
  <si>
    <t>de110×40</t>
  </si>
  <si>
    <t>de63×63</t>
  </si>
  <si>
    <t>电熔变径</t>
  </si>
  <si>
    <r>
      <rPr>
        <sz val="10"/>
        <rFont val="宋体"/>
        <charset val="134"/>
      </rPr>
      <t>200m</t>
    </r>
    <r>
      <rPr>
        <vertAlign val="superscript"/>
        <sz val="10"/>
        <rFont val="宋体"/>
        <charset val="134"/>
      </rPr>
      <t>3</t>
    </r>
    <r>
      <rPr>
        <sz val="10"/>
        <rFont val="宋体"/>
        <charset val="134"/>
      </rPr>
      <t>/h</t>
    </r>
  </si>
  <si>
    <t>阀门井</t>
  </si>
  <si>
    <t>φ1800</t>
  </si>
  <si>
    <t>座</t>
  </si>
  <si>
    <t>聚乙烯球阀</t>
  </si>
  <si>
    <t>de200</t>
  </si>
  <si>
    <t>智能燃气表 G2.5</t>
  </si>
  <si>
    <t>机械温补</t>
  </si>
  <si>
    <t>铜球阀  DN15</t>
  </si>
  <si>
    <t>自闭阀  DN15 PN16</t>
  </si>
  <si>
    <t>镀锌管 Q235B  DN15</t>
  </si>
  <si>
    <t>镀锌弯头 DN15</t>
  </si>
  <si>
    <t>镀锌对丝 DN15</t>
  </si>
  <si>
    <t>钢套管  DN32</t>
  </si>
  <si>
    <t>玉皇阁社区片区二</t>
  </si>
  <si>
    <t>dE40</t>
  </si>
  <si>
    <t>玉皇阁社区片区三</t>
  </si>
  <si>
    <t>东苑社区片区</t>
  </si>
  <si>
    <t>古城社区片区一</t>
  </si>
  <si>
    <t>古城社区片区二</t>
  </si>
  <si>
    <t>DN100×100</t>
  </si>
  <si>
    <t>阀门井1800×2000</t>
  </si>
  <si>
    <t>球阀</t>
  </si>
  <si>
    <t>DN50 Q41F-16C</t>
  </si>
  <si>
    <t>压力表</t>
  </si>
  <si>
    <t>Y-150 0～1.6Mpa  M20×1.5</t>
  </si>
  <si>
    <t>波纹伸缩节</t>
  </si>
  <si>
    <t>DN100 PN16 轴向补偿量±30mm</t>
  </si>
  <si>
    <t>阀门</t>
  </si>
  <si>
    <t>DN100 Q347F-16C</t>
  </si>
  <si>
    <t>法兰</t>
  </si>
  <si>
    <t>法兰盖</t>
  </si>
  <si>
    <t>短管</t>
  </si>
  <si>
    <t>DN50   L=150mm</t>
  </si>
  <si>
    <t>套管</t>
  </si>
  <si>
    <t>DN200   L=350mm</t>
  </si>
  <si>
    <t>D108×5</t>
  </si>
  <si>
    <t>钢塑过渡</t>
  </si>
  <si>
    <t>铁合金小区东侧小二楼</t>
  </si>
  <si>
    <t>PE弯头</t>
  </si>
  <si>
    <t>PE三通</t>
  </si>
  <si>
    <t>de40×40</t>
  </si>
  <si>
    <t>PE变径</t>
  </si>
  <si>
    <t>护栏</t>
  </si>
  <si>
    <t>J1.6m3/h</t>
  </si>
  <si>
    <t>G2.5</t>
  </si>
  <si>
    <t>CJ/T 447-2014</t>
  </si>
  <si>
    <t>自带旋塞阀</t>
  </si>
  <si>
    <t>镀锌管</t>
  </si>
  <si>
    <t>GB/T3091-2015</t>
  </si>
  <si>
    <t>不锈钢软管</t>
  </si>
  <si>
    <t xml:space="preserve"> GJ/T 197-2010</t>
  </si>
  <si>
    <t>2米每根</t>
  </si>
  <si>
    <t>阳光社区（畜牧小区、运输小区等）</t>
  </si>
  <si>
    <t>饮马湖社区（兰宁小区、舜玉楼、国志楼等）</t>
  </si>
  <si>
    <t>DN50×25</t>
  </si>
  <si>
    <r>
      <rPr>
        <sz val="10"/>
        <rFont val="宋体"/>
        <charset val="134"/>
      </rPr>
      <t>75m</t>
    </r>
    <r>
      <rPr>
        <vertAlign val="superscript"/>
        <sz val="10"/>
        <rFont val="宋体"/>
        <charset val="134"/>
      </rPr>
      <t>3</t>
    </r>
    <r>
      <rPr>
        <sz val="10"/>
        <rFont val="宋体"/>
        <charset val="134"/>
      </rPr>
      <t>/h</t>
    </r>
  </si>
  <si>
    <t>阀门井2200×2200</t>
  </si>
  <si>
    <t>PE</t>
  </si>
  <si>
    <t>明苑社区（天主教堂对面自建房）</t>
  </si>
  <si>
    <t>de160×14.2</t>
  </si>
  <si>
    <t>过路套管</t>
  </si>
  <si>
    <t>DN300</t>
  </si>
  <si>
    <t>Q235B</t>
  </si>
  <si>
    <t>de160/DN150</t>
  </si>
  <si>
    <t>鑫盛社区</t>
  </si>
  <si>
    <t>玉龚路（怀通街-鼓楼北街）</t>
  </si>
  <si>
    <t>de250</t>
  </si>
  <si>
    <t>主管/沥青路面</t>
  </si>
  <si>
    <t>PE90°弯头</t>
  </si>
  <si>
    <t>de250×250</t>
  </si>
  <si>
    <t>de250×160</t>
  </si>
  <si>
    <t>DN150 PN16 轴向补偿量±30mm</t>
  </si>
  <si>
    <t>DN150 Q347F-16C</t>
  </si>
  <si>
    <t>DN250   L=350mm</t>
  </si>
  <si>
    <t>D159×6</t>
  </si>
  <si>
    <t>阀门井1800×2200</t>
  </si>
  <si>
    <t>DN250</t>
  </si>
  <si>
    <t>DN250 PN16 轴向补偿量±30mm</t>
  </si>
  <si>
    <t>DN250 Q347F-16C</t>
  </si>
  <si>
    <t>DN350   L=350mm</t>
  </si>
  <si>
    <t>de250/DN250</t>
  </si>
  <si>
    <t>阀井智能在线检测设备</t>
  </si>
  <si>
    <t>水泥路面</t>
  </si>
  <si>
    <t>翰林大街（玉龚路-鼓楼北街）</t>
  </si>
  <si>
    <t>人民东路（翰林大街-鼓楼北街）</t>
  </si>
  <si>
    <t>鼓楼南街（永安东路-唐徕渠）</t>
  </si>
  <si>
    <t>de160×14.6</t>
  </si>
  <si>
    <t>DN150 Q41F-16C</t>
  </si>
  <si>
    <t>DN80 Q41F-16C</t>
  </si>
  <si>
    <t>DN80 PN16 轴向补偿量±30mm</t>
  </si>
  <si>
    <t>DN80 Q347F-16C</t>
  </si>
  <si>
    <t>DN150   L=350mm</t>
  </si>
  <si>
    <t>D89×6</t>
  </si>
  <si>
    <t>子项名称：2024年平罗县燃气管道等老化更新改造工程项目（一期）</t>
  </si>
  <si>
    <t>星海花园北苑</t>
  </si>
  <si>
    <t>1.1</t>
  </si>
  <si>
    <t>1.2</t>
  </si>
  <si>
    <t>1.3</t>
  </si>
  <si>
    <t>1.4</t>
  </si>
  <si>
    <t>∅108×4.5</t>
  </si>
  <si>
    <t>1.5</t>
  </si>
  <si>
    <t>∅89×4.0</t>
  </si>
  <si>
    <t>1.6</t>
  </si>
  <si>
    <t>∅38×3.0</t>
  </si>
  <si>
    <t>1.7</t>
  </si>
  <si>
    <t>1.8</t>
  </si>
  <si>
    <t>DN100×32</t>
  </si>
  <si>
    <t>1.9</t>
  </si>
  <si>
    <t>1.10</t>
  </si>
  <si>
    <t>1.11</t>
  </si>
  <si>
    <t>1.12</t>
  </si>
  <si>
    <t>1.13</t>
  </si>
  <si>
    <t>1.14</t>
  </si>
  <si>
    <t>1.15</t>
  </si>
  <si>
    <t>de160×160</t>
  </si>
  <si>
    <t>1.16</t>
  </si>
  <si>
    <t>de160×110</t>
  </si>
  <si>
    <t>1.17</t>
  </si>
  <si>
    <t>de160×90</t>
  </si>
  <si>
    <t>1.18</t>
  </si>
  <si>
    <t>1.19</t>
  </si>
  <si>
    <t>1.20</t>
  </si>
  <si>
    <t>1.21</t>
  </si>
  <si>
    <t>1.22</t>
  </si>
  <si>
    <t>1.23</t>
  </si>
  <si>
    <t>1.24</t>
  </si>
  <si>
    <t>1.25</t>
  </si>
  <si>
    <t>1.26</t>
  </si>
  <si>
    <t>1.27</t>
  </si>
  <si>
    <t>1.28</t>
  </si>
  <si>
    <t>配套法兰、垫片、紧固件</t>
  </si>
  <si>
    <t>1.29</t>
  </si>
  <si>
    <t>1.30</t>
  </si>
  <si>
    <t>1.31</t>
  </si>
  <si>
    <t>1.32</t>
  </si>
  <si>
    <t>1.33</t>
  </si>
  <si>
    <t>调压柜</t>
  </si>
  <si>
    <t>1200m3/h</t>
  </si>
  <si>
    <t>1.34</t>
  </si>
  <si>
    <t>900m3/h</t>
  </si>
  <si>
    <t>1.35</t>
  </si>
  <si>
    <t>1.36</t>
  </si>
  <si>
    <t>1.37</t>
  </si>
  <si>
    <t>1.38</t>
  </si>
  <si>
    <t>1.39</t>
  </si>
  <si>
    <t>1.40</t>
  </si>
  <si>
    <t>不锈钢护栏</t>
  </si>
  <si>
    <t>每个7米</t>
  </si>
  <si>
    <t>1.41</t>
  </si>
  <si>
    <t>1.42</t>
  </si>
  <si>
    <t>安全切断性</t>
  </si>
  <si>
    <t>1.43</t>
  </si>
  <si>
    <t>1.44</t>
  </si>
  <si>
    <t>10.5米每户</t>
  </si>
  <si>
    <t>1.45</t>
  </si>
  <si>
    <t>镀锌三通</t>
  </si>
  <si>
    <t>DN15×DN15</t>
  </si>
  <si>
    <t>1.46</t>
  </si>
  <si>
    <t>1.47</t>
  </si>
  <si>
    <t>1.48</t>
  </si>
  <si>
    <t>1.49</t>
  </si>
  <si>
    <t>路面拆除及恢复</t>
  </si>
  <si>
    <t>面包砖</t>
  </si>
  <si>
    <t>m2</t>
  </si>
  <si>
    <t>1.50</t>
  </si>
  <si>
    <t>1.51</t>
  </si>
  <si>
    <t>1.52</t>
  </si>
  <si>
    <t>1.53</t>
  </si>
  <si>
    <t>1.54</t>
  </si>
  <si>
    <t>天然砂夹石</t>
  </si>
  <si>
    <t>金地家园</t>
  </si>
  <si>
    <t>2.1</t>
  </si>
  <si>
    <t>2.2</t>
  </si>
  <si>
    <t>2.3</t>
  </si>
  <si>
    <t>2.4</t>
  </si>
  <si>
    <t>2.5</t>
  </si>
  <si>
    <t>2.6</t>
  </si>
  <si>
    <t>2.7</t>
  </si>
  <si>
    <t>∅57×3.5</t>
  </si>
  <si>
    <t>2.8</t>
  </si>
  <si>
    <t>∅32×3.5</t>
  </si>
  <si>
    <t>2.9</t>
  </si>
  <si>
    <t>2.10</t>
  </si>
  <si>
    <t>2.11</t>
  </si>
  <si>
    <t>2.12</t>
  </si>
  <si>
    <t>DN80×25</t>
  </si>
  <si>
    <t>2.13</t>
  </si>
  <si>
    <t>2.14</t>
  </si>
  <si>
    <t>钢管变径</t>
  </si>
  <si>
    <t>DN100×65</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</si>
  <si>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</si>
  <si>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</si>
  <si>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</si>
  <si>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</si>
  <si>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</si>
  <si>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</si>
  <si>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</si>
  <si>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</si>
  <si>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</si>
  <si>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</si>
  <si>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</si>
  <si>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</si>
  <si>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</si>
  <si>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</si>
  <si>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</si>
  <si>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</si>
  <si>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</si>
  <si>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</si>
  <si>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</si>
  <si>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</si>
  <si>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</si>
  <si>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</si>
  <si>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</si>
  <si>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</si>
  <si>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</si>
  <si>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</si>
  <si>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</si>
  <si>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200m3/h</t>
  </si>
  <si>
    <t>2.42</t>
  </si>
  <si>
    <t>2.43</t>
  </si>
  <si>
    <t>2.44</t>
  </si>
  <si>
    <t>2.45</t>
  </si>
  <si>
    <t>2.46</t>
  </si>
  <si>
    <t>2.47</t>
  </si>
  <si>
    <t>2.48</t>
  </si>
  <si>
    <t>2.49</t>
  </si>
  <si>
    <t>2.50</t>
  </si>
  <si>
    <t>2.51</t>
  </si>
  <si>
    <t>2.52</t>
  </si>
  <si>
    <t>2.53</t>
  </si>
  <si>
    <t>2.54</t>
  </si>
  <si>
    <t>2.55</t>
  </si>
  <si>
    <t>2.56</t>
  </si>
  <si>
    <t>2.57</t>
  </si>
  <si>
    <t>2.58</t>
  </si>
  <si>
    <t>2.59</t>
  </si>
  <si>
    <t>2.60</t>
  </si>
  <si>
    <t>桥馨家园B区</t>
  </si>
  <si>
    <t>3.1</t>
  </si>
  <si>
    <t>de250×22.7</t>
  </si>
  <si>
    <t>3.2</t>
  </si>
  <si>
    <t>de225×20.5</t>
  </si>
  <si>
    <t>3.3</t>
  </si>
  <si>
    <t>de200×18.2</t>
  </si>
  <si>
    <t>3.4</t>
  </si>
  <si>
    <t>3.5</t>
  </si>
  <si>
    <t>3.6</t>
  </si>
  <si>
    <t>3.7</t>
  </si>
  <si>
    <t>3.8</t>
  </si>
  <si>
    <t>3.9</t>
  </si>
  <si>
    <t>3.10</t>
  </si>
  <si>
    <t>3.11</t>
  </si>
  <si>
    <t>3.12</t>
  </si>
  <si>
    <t>3.13</t>
  </si>
  <si>
    <t>DN200</t>
  </si>
  <si>
    <t>3.14</t>
  </si>
  <si>
    <t>3.15</t>
  </si>
  <si>
    <t>3.16</t>
  </si>
  <si>
    <t>3.17</t>
  </si>
  <si>
    <t>3.18</t>
  </si>
  <si>
    <t>3.19</t>
  </si>
  <si>
    <t>3.20</t>
  </si>
  <si>
    <t>3.21</t>
  </si>
  <si>
    <t>3.22</t>
  </si>
  <si>
    <t>3.23</t>
  </si>
  <si>
    <t>3.24</t>
  </si>
  <si>
    <t>de225×de225</t>
  </si>
  <si>
    <t>3.25</t>
  </si>
  <si>
    <t>de225×de160</t>
  </si>
  <si>
    <t>3.26</t>
  </si>
  <si>
    <t>de225×de110</t>
  </si>
  <si>
    <t>3.27</t>
  </si>
  <si>
    <t>de225×de90</t>
  </si>
  <si>
    <t>3.28</t>
  </si>
  <si>
    <t>de160×de160</t>
  </si>
  <si>
    <t>3.29</t>
  </si>
  <si>
    <t>de160×de110</t>
  </si>
  <si>
    <t>3.30</t>
  </si>
  <si>
    <t>de160×de90</t>
  </si>
  <si>
    <t>3.31</t>
  </si>
  <si>
    <t>de110×de110</t>
  </si>
  <si>
    <t>3.32</t>
  </si>
  <si>
    <t>3.33</t>
  </si>
  <si>
    <t>3.34</t>
  </si>
  <si>
    <t>3.35</t>
  </si>
  <si>
    <t>de225×de200</t>
  </si>
  <si>
    <t>3.36</t>
  </si>
  <si>
    <t>de200×de160</t>
  </si>
  <si>
    <t>3.37</t>
  </si>
  <si>
    <t>3.38</t>
  </si>
  <si>
    <t>3.39</t>
  </si>
  <si>
    <t>3.40</t>
  </si>
  <si>
    <t>3.41</t>
  </si>
  <si>
    <t>3.42</t>
  </si>
  <si>
    <t>3.43</t>
  </si>
  <si>
    <t>3.44</t>
  </si>
  <si>
    <t>3.45</t>
  </si>
  <si>
    <t>3.46</t>
  </si>
  <si>
    <t>3.47</t>
  </si>
  <si>
    <t>3.48</t>
  </si>
  <si>
    <t>3.49</t>
  </si>
  <si>
    <t>3.50</t>
  </si>
  <si>
    <t>3.51</t>
  </si>
  <si>
    <t>3.52</t>
  </si>
  <si>
    <t>3.53</t>
  </si>
  <si>
    <t>3.54</t>
  </si>
  <si>
    <t>3.55</t>
  </si>
  <si>
    <t>400m3/h</t>
  </si>
  <si>
    <t>3.56</t>
  </si>
  <si>
    <t>300m3/h</t>
  </si>
  <si>
    <t>3.57</t>
  </si>
  <si>
    <t>3.58</t>
  </si>
  <si>
    <t>3.59</t>
  </si>
  <si>
    <t>3.60</t>
  </si>
  <si>
    <t>3.61</t>
  </si>
  <si>
    <t>3.62</t>
  </si>
  <si>
    <t>3.63</t>
  </si>
  <si>
    <t>3.64</t>
  </si>
  <si>
    <t>3.65</t>
  </si>
  <si>
    <t>3.66</t>
  </si>
  <si>
    <t>3.67</t>
  </si>
  <si>
    <t>3.68</t>
  </si>
  <si>
    <t>3.69</t>
  </si>
  <si>
    <t>3.70</t>
  </si>
  <si>
    <t>3.71</t>
  </si>
  <si>
    <t>3.72</t>
  </si>
  <si>
    <t>3.73</t>
  </si>
  <si>
    <t>3.74</t>
  </si>
  <si>
    <t>3.75</t>
  </si>
  <si>
    <t>唐华首府</t>
  </si>
  <si>
    <t>4.1</t>
  </si>
  <si>
    <t>4.2</t>
  </si>
  <si>
    <t>4.3</t>
  </si>
  <si>
    <t>4.4</t>
  </si>
  <si>
    <t>4.5</t>
  </si>
  <si>
    <t>4.6</t>
  </si>
  <si>
    <t>∅38×3.5</t>
  </si>
  <si>
    <t>4.7</t>
  </si>
  <si>
    <t>4.8</t>
  </si>
  <si>
    <t>4.9</t>
  </si>
  <si>
    <t>4.10</t>
  </si>
  <si>
    <t>4.11</t>
  </si>
  <si>
    <t>4.12</t>
  </si>
  <si>
    <t>管帽</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</si>
  <si>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</si>
  <si>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</si>
  <si>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</si>
  <si>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</si>
  <si>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</si>
  <si>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</si>
  <si>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</si>
  <si>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</si>
  <si>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</si>
  <si>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</si>
  <si>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</si>
  <si>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</si>
  <si>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</si>
  <si>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</si>
  <si>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</si>
  <si>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</si>
  <si>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</si>
  <si>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</si>
  <si>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</si>
  <si>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</si>
  <si>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</si>
  <si>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</si>
  <si>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</si>
  <si>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</si>
  <si>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</si>
  <si>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</si>
  <si>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600m3/h</t>
  </si>
  <si>
    <t>4.39</t>
  </si>
  <si>
    <t>4.40</t>
  </si>
  <si>
    <t>4.41</t>
  </si>
  <si>
    <t>4.42</t>
  </si>
  <si>
    <t>4.43</t>
  </si>
  <si>
    <t>4.44</t>
  </si>
  <si>
    <t>4.45</t>
  </si>
  <si>
    <t>4.46</t>
  </si>
  <si>
    <t>4.47</t>
  </si>
  <si>
    <t>出地护栏</t>
  </si>
  <si>
    <t>Q-235B</t>
  </si>
  <si>
    <t>4.48</t>
  </si>
  <si>
    <t>4.49</t>
  </si>
  <si>
    <t>4.50</t>
  </si>
  <si>
    <t>4.51</t>
  </si>
  <si>
    <t>4.52</t>
  </si>
  <si>
    <t>4.53</t>
  </si>
  <si>
    <t>4.54</t>
  </si>
  <si>
    <t>4.55</t>
  </si>
  <si>
    <t>4.56</t>
  </si>
  <si>
    <t>4.57</t>
  </si>
  <si>
    <t>4.58</t>
  </si>
  <si>
    <t>4.59</t>
  </si>
  <si>
    <t>4.60</t>
  </si>
  <si>
    <t>4.61</t>
  </si>
  <si>
    <t>小计</t>
  </si>
  <si>
    <t>家和春天东区</t>
  </si>
  <si>
    <t>5.1</t>
  </si>
  <si>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</si>
  <si>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</si>
  <si>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</si>
  <si>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</si>
  <si>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</si>
  <si>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</si>
  <si>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</si>
  <si>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</si>
  <si>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</si>
  <si>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</si>
  <si>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</si>
  <si>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</si>
  <si>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</si>
  <si>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</si>
  <si>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</si>
  <si>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</si>
  <si>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</si>
  <si>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</si>
  <si>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</si>
  <si>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</si>
  <si>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</si>
  <si>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</si>
  <si>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</si>
  <si>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</si>
  <si>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</si>
  <si>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</si>
  <si>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</si>
  <si>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</si>
  <si>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</si>
  <si>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</si>
  <si>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</si>
  <si>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</si>
  <si>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</si>
  <si>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</si>
  <si>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</si>
  <si>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</si>
  <si>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</si>
  <si>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</si>
  <si>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</si>
  <si>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</si>
  <si>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</si>
  <si>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</si>
  <si>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</si>
  <si>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</si>
  <si>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</si>
  <si>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</si>
  <si>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</si>
  <si>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</si>
  <si>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</si>
  <si>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</si>
  <si>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</si>
  <si>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</si>
  <si>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唐徕湾</t>
  </si>
  <si>
    <t>6.1</t>
  </si>
  <si>
    <t>6.2</t>
  </si>
  <si>
    <t>6.3</t>
  </si>
  <si>
    <t>6.4</t>
  </si>
  <si>
    <t>6.5</t>
  </si>
  <si>
    <t>6.6</t>
  </si>
  <si>
    <t>6.7</t>
  </si>
  <si>
    <t>6.8</t>
  </si>
  <si>
    <t>6.9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</si>
  <si>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</si>
  <si>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</si>
  <si>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</si>
  <si>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</si>
  <si>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</si>
  <si>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</si>
  <si>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</si>
  <si>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</si>
  <si>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</si>
  <si>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</si>
  <si>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</si>
  <si>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</si>
  <si>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</si>
  <si>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</si>
  <si>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</si>
  <si>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</si>
  <si>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</si>
  <si>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</si>
  <si>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</si>
  <si>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</si>
  <si>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</si>
  <si>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</si>
  <si>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</si>
  <si>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</si>
  <si>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</si>
  <si>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</si>
  <si>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</si>
  <si>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</si>
  <si>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</si>
  <si>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</si>
  <si>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</si>
  <si>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</si>
  <si>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</si>
  <si>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</si>
  <si>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</si>
  <si>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</si>
  <si>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</si>
  <si>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</si>
  <si>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球阀 Q11F-16C</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</si>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</sst>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_ "/>
    <numFmt numFmtId="178" formatCode="0.00_ "/>
    <numFmt numFmtId="179" formatCode="0;_㓿"/>
    <numFmt numFmtId="180" formatCode="0.00;_㓿"/>
    <numFmt numFmtId="181" formatCode="0.0%"/>
    <numFmt numFmtId="182" formatCode="0.00_);[Red]\(0.00\)"/>
    <numFmt numFmtId="183" formatCode="0.000000000000000000000000000_ "/>
  </numFmts>
  <fonts count="36">
    <font>
      <sz val="12"/>
      <name val="宋体"/>
      <charset val="134"/>
    </font>
    <font>
      <b/>
      <sz val="16"/>
      <name val="宋体"/>
      <charset val="134"/>
    </font>
    <font>
      <b/>
      <sz val="10"/>
      <name val="宋体"/>
      <charset val="134"/>
    </font>
    <font>
      <sz val="10"/>
      <name val="宋体"/>
      <charset val="134"/>
    </font>
    <font>
      <b/>
      <sz val="14"/>
      <name val="宋体"/>
      <charset val="134"/>
    </font>
    <font>
      <sz val="20"/>
      <name val="宋体"/>
      <charset val="134"/>
    </font>
    <font>
      <sz val="18"/>
      <name val="宋体"/>
      <charset val="134"/>
    </font>
    <font>
      <b/>
      <sz val="12"/>
      <name val="宋体"/>
      <charset val="134"/>
    </font>
    <font>
      <sz val="12"/>
      <name val="Times New Roman"/>
      <charset val="134"/>
    </font>
    <font>
      <b/>
      <sz val="16"/>
      <name val="Times New Roman"/>
      <charset val="134"/>
    </font>
    <font>
      <sz val="10"/>
      <name val="宋体"/>
      <charset val="134"/>
      <scheme val="minor"/>
    </font>
    <font>
      <b/>
      <sz val="10"/>
      <name val="宋体"/>
      <charset val="134"/>
      <scheme val="minor"/>
    </font>
    <font>
      <sz val="1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val="double"/>
      <sz val="12"/>
      <name val="宋体"/>
      <charset val="134"/>
    </font>
    <font>
      <vertAlign val="superscript"/>
      <sz val="10"/>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0"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3" borderId="1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1" fillId="0" borderId="0" applyNumberFormat="0" applyFill="0" applyBorder="0" applyAlignment="0" applyProtection="0">
      <alignment vertical="center"/>
    </xf>
    <xf numFmtId="0" fontId="22" fillId="4" borderId="14" applyNumberFormat="0" applyAlignment="0" applyProtection="0">
      <alignment vertical="center"/>
    </xf>
    <xf numFmtId="0" fontId="23" fillId="5" borderId="15" applyNumberFormat="0" applyAlignment="0" applyProtection="0">
      <alignment vertical="center"/>
    </xf>
    <xf numFmtId="0" fontId="24" fillId="5" borderId="14" applyNumberFormat="0" applyAlignment="0" applyProtection="0">
      <alignment vertical="center"/>
    </xf>
    <xf numFmtId="0" fontId="25" fillId="6" borderId="16" applyNumberFormat="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0" fontId="13" fillId="0" borderId="0">
      <alignment vertical="center"/>
    </xf>
    <xf numFmtId="0" fontId="0" fillId="0" borderId="0">
      <alignment vertical="center"/>
    </xf>
    <xf numFmtId="0" fontId="33" fillId="0" borderId="0"/>
    <xf numFmtId="176" fontId="13" fillId="0" borderId="0" applyFont="0" applyFill="0" applyBorder="0" applyAlignment="0" applyProtection="0">
      <alignment vertical="center"/>
    </xf>
  </cellStyleXfs>
  <cellXfs count="132">
    <xf numFmtId="0" fontId="0" fillId="0" borderId="0" xfId="0">
      <alignment vertical="center"/>
    </xf>
    <xf numFmtId="49" fontId="0" fillId="0" borderId="0" xfId="0" applyNumberFormat="1" applyFont="1" applyFill="1">
      <alignment vertical="center"/>
    </xf>
    <xf numFmtId="0" fontId="0" fillId="0" borderId="0" xfId="0" applyFont="1" applyFill="1">
      <alignment vertical="center"/>
    </xf>
    <xf numFmtId="0" fontId="0" fillId="0" borderId="0" xfId="0" applyFont="1" applyFill="1" applyAlignment="1">
      <alignment horizontal="center" vertical="center"/>
    </xf>
    <xf numFmtId="177" fontId="0" fillId="0" borderId="0" xfId="0" applyNumberFormat="1" applyFont="1" applyFill="1" applyAlignment="1">
      <alignment horizontal="center" vertical="center"/>
    </xf>
    <xf numFmtId="177" fontId="0" fillId="0" borderId="0" xfId="0" applyNumberFormat="1" applyFont="1" applyFill="1">
      <alignment vertical="center"/>
    </xf>
    <xf numFmtId="0" fontId="1" fillId="0" borderId="0" xfId="50" applyFont="1" applyFill="1" applyBorder="1" applyAlignment="1">
      <alignment horizontal="center" vertical="center" wrapText="1"/>
    </xf>
    <xf numFmtId="0" fontId="2" fillId="0" borderId="1" xfId="50" applyFont="1" applyFill="1" applyBorder="1" applyAlignment="1">
      <alignment horizontal="left" vertical="center" wrapText="1"/>
    </xf>
    <xf numFmtId="49"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177" fontId="3" fillId="0" borderId="2"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177" fontId="2" fillId="0" borderId="4" xfId="0" applyNumberFormat="1" applyFont="1" applyFill="1" applyBorder="1" applyAlignment="1">
      <alignment horizontal="center" vertical="center"/>
    </xf>
    <xf numFmtId="49" fontId="3" fillId="0" borderId="2" xfId="0" applyNumberFormat="1" applyFont="1" applyFill="1" applyBorder="1">
      <alignment vertical="center"/>
    </xf>
    <xf numFmtId="0" fontId="3" fillId="0" borderId="2" xfId="0" applyFont="1" applyFill="1" applyBorder="1">
      <alignment vertical="center"/>
    </xf>
    <xf numFmtId="178" fontId="3" fillId="0" borderId="2" xfId="0" applyNumberFormat="1" applyFont="1" applyFill="1" applyBorder="1" applyAlignment="1">
      <alignment horizontal="center" vertical="center"/>
    </xf>
    <xf numFmtId="179" fontId="3" fillId="0" borderId="2"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xf>
    <xf numFmtId="177" fontId="3" fillId="0" borderId="0" xfId="0" applyNumberFormat="1" applyFont="1" applyFill="1" applyAlignment="1">
      <alignment horizontal="center" vertical="center"/>
    </xf>
    <xf numFmtId="0" fontId="0" fillId="0" borderId="0" xfId="0" applyFont="1" applyFill="1" applyBorder="1">
      <alignment vertical="center"/>
    </xf>
    <xf numFmtId="0" fontId="0" fillId="0" borderId="0" xfId="0" applyFont="1" applyFill="1" applyBorder="1" applyAlignment="1">
      <alignment vertical="center" wrapText="1"/>
    </xf>
    <xf numFmtId="0" fontId="2" fillId="0" borderId="5" xfId="0" applyFont="1" applyFill="1" applyBorder="1" applyAlignment="1">
      <alignment horizontal="center" vertical="center"/>
    </xf>
    <xf numFmtId="0" fontId="4" fillId="0" borderId="0" xfId="0" applyFont="1" applyFill="1" applyAlignment="1">
      <alignment horizontal="center" vertical="center"/>
    </xf>
    <xf numFmtId="0" fontId="0" fillId="0" borderId="0" xfId="0" applyFont="1" applyFill="1" applyAlignment="1">
      <alignment horizontal="left" vertical="center"/>
    </xf>
    <xf numFmtId="0" fontId="0" fillId="0" borderId="2" xfId="0" applyFont="1" applyFill="1" applyBorder="1" applyAlignment="1">
      <alignment horizontal="center" vertical="center"/>
    </xf>
    <xf numFmtId="177" fontId="5" fillId="0" borderId="0" xfId="0" applyNumberFormat="1" applyFont="1" applyFill="1" applyAlignment="1">
      <alignment horizontal="center" vertical="center" wrapText="1"/>
    </xf>
    <xf numFmtId="0" fontId="0" fillId="0" borderId="3" xfId="0" applyFont="1" applyFill="1" applyBorder="1" applyAlignment="1">
      <alignment horizontal="center" vertical="center"/>
    </xf>
    <xf numFmtId="0" fontId="5" fillId="0" borderId="0" xfId="0" applyFont="1" applyFill="1" applyAlignment="1">
      <alignment horizontal="center" vertical="center" wrapText="1"/>
    </xf>
    <xf numFmtId="0" fontId="0" fillId="0" borderId="0" xfId="0" applyFont="1" applyFill="1" applyBorder="1" applyAlignment="1">
      <alignment horizontal="center" vertical="center"/>
    </xf>
    <xf numFmtId="180" fontId="3" fillId="0" borderId="2" xfId="0" applyNumberFormat="1" applyFont="1" applyFill="1" applyBorder="1" applyAlignment="1">
      <alignment horizontal="center" vertical="center"/>
    </xf>
    <xf numFmtId="10" fontId="0" fillId="0" borderId="0" xfId="3" applyNumberFormat="1" applyFont="1" applyFill="1" applyAlignment="1">
      <alignment horizontal="center" vertical="center"/>
    </xf>
    <xf numFmtId="3" fontId="0" fillId="0" borderId="0" xfId="3" applyNumberFormat="1" applyFont="1" applyFill="1" applyAlignment="1">
      <alignment horizontal="center" vertical="center"/>
    </xf>
    <xf numFmtId="0" fontId="0" fillId="2" borderId="0" xfId="52" applyFill="1">
      <alignment vertical="center"/>
    </xf>
    <xf numFmtId="0" fontId="0" fillId="2" borderId="0" xfId="0" applyFont="1" applyFill="1">
      <alignment vertical="center"/>
    </xf>
    <xf numFmtId="0" fontId="0" fillId="0" borderId="0" xfId="52" applyFill="1" applyBorder="1" applyAlignment="1">
      <alignment vertical="center"/>
    </xf>
    <xf numFmtId="49" fontId="0" fillId="0" borderId="0" xfId="52" applyNumberFormat="1" applyFill="1" applyAlignment="1">
      <alignment horizontal="center" vertical="center"/>
    </xf>
    <xf numFmtId="0" fontId="0" fillId="0" borderId="0" xfId="52" applyFill="1" applyAlignment="1">
      <alignment horizontal="center" vertical="center"/>
    </xf>
    <xf numFmtId="0" fontId="0" fillId="0" borderId="0" xfId="52" applyFill="1">
      <alignment vertical="center"/>
    </xf>
    <xf numFmtId="49" fontId="3" fillId="0" borderId="2" xfId="52" applyNumberFormat="1" applyFont="1" applyFill="1" applyBorder="1" applyAlignment="1">
      <alignment horizontal="center" vertical="center"/>
    </xf>
    <xf numFmtId="0" fontId="3" fillId="0" borderId="2" xfId="52" applyFont="1" applyFill="1" applyBorder="1" applyAlignment="1">
      <alignment horizontal="center" vertical="center"/>
    </xf>
    <xf numFmtId="49" fontId="2" fillId="0" borderId="3" xfId="52" applyNumberFormat="1" applyFont="1" applyFill="1" applyBorder="1" applyAlignment="1">
      <alignment horizontal="center" vertical="center"/>
    </xf>
    <xf numFmtId="0" fontId="2" fillId="0" borderId="3" xfId="52" applyFont="1" applyFill="1" applyBorder="1" applyAlignment="1">
      <alignment horizontal="center" vertical="center"/>
    </xf>
    <xf numFmtId="0" fontId="2" fillId="0" borderId="4" xfId="52" applyFont="1" applyFill="1" applyBorder="1" applyAlignment="1">
      <alignment horizontal="center" vertical="center"/>
    </xf>
    <xf numFmtId="0" fontId="3" fillId="0" borderId="5" xfId="52" applyFont="1" applyFill="1" applyBorder="1" applyAlignment="1">
      <alignment horizontal="center" vertical="center"/>
    </xf>
    <xf numFmtId="177" fontId="3" fillId="0" borderId="2" xfId="52" applyNumberFormat="1" applyFont="1" applyFill="1" applyBorder="1" applyAlignment="1">
      <alignment horizontal="center" vertical="center"/>
    </xf>
    <xf numFmtId="49" fontId="3" fillId="2" borderId="2" xfId="52" applyNumberFormat="1" applyFont="1" applyFill="1" applyBorder="1" applyAlignment="1">
      <alignment horizontal="center" vertical="center"/>
    </xf>
    <xf numFmtId="0" fontId="3" fillId="2" borderId="5" xfId="52" applyFont="1" applyFill="1" applyBorder="1" applyAlignment="1">
      <alignment horizontal="center" vertical="center"/>
    </xf>
    <xf numFmtId="0" fontId="3" fillId="2" borderId="2" xfId="52" applyFont="1" applyFill="1" applyBorder="1" applyAlignment="1">
      <alignment horizontal="center" vertical="center"/>
    </xf>
    <xf numFmtId="177" fontId="3" fillId="2" borderId="2" xfId="52" applyNumberFormat="1" applyFont="1" applyFill="1" applyBorder="1" applyAlignment="1">
      <alignment horizontal="center" vertical="center"/>
    </xf>
    <xf numFmtId="178" fontId="3" fillId="0" borderId="2" xfId="52" applyNumberFormat="1" applyFont="1" applyFill="1" applyBorder="1" applyAlignment="1">
      <alignment horizontal="center" vertical="center"/>
    </xf>
    <xf numFmtId="0" fontId="6" fillId="0" borderId="0" xfId="52" applyFont="1" applyFill="1">
      <alignment vertical="center"/>
    </xf>
    <xf numFmtId="0" fontId="2" fillId="0" borderId="5" xfId="52" applyFont="1" applyFill="1" applyBorder="1" applyAlignment="1">
      <alignment horizontal="center" vertical="center"/>
    </xf>
    <xf numFmtId="0" fontId="0" fillId="0" borderId="0" xfId="52" applyFont="1" applyFill="1" applyAlignment="1">
      <alignment horizontal="left" vertical="center"/>
    </xf>
    <xf numFmtId="0" fontId="0" fillId="0" borderId="0" xfId="52" applyFont="1" applyFill="1" applyAlignment="1">
      <alignment horizontal="center" vertical="center" wrapText="1"/>
    </xf>
    <xf numFmtId="181" fontId="0" fillId="0" borderId="0" xfId="3" applyNumberFormat="1" applyFont="1" applyFill="1">
      <alignment vertical="center"/>
    </xf>
    <xf numFmtId="181" fontId="0" fillId="2" borderId="0" xfId="3" applyNumberFormat="1" applyFont="1" applyFill="1">
      <alignment vertical="center"/>
    </xf>
    <xf numFmtId="0" fontId="3" fillId="0" borderId="2" xfId="52" applyFont="1" applyFill="1" applyBorder="1">
      <alignment vertical="center"/>
    </xf>
    <xf numFmtId="0" fontId="3" fillId="2" borderId="2" xfId="52" applyFont="1" applyFill="1" applyBorder="1">
      <alignment vertical="center"/>
    </xf>
    <xf numFmtId="0" fontId="3" fillId="2" borderId="5" xfId="0" applyFont="1" applyFill="1" applyBorder="1" applyAlignment="1">
      <alignment horizontal="center" vertical="center"/>
    </xf>
    <xf numFmtId="0" fontId="3" fillId="2" borderId="2" xfId="0" applyFont="1" applyFill="1" applyBorder="1">
      <alignment vertical="center"/>
    </xf>
    <xf numFmtId="0" fontId="3" fillId="2" borderId="2" xfId="0" applyFont="1" applyFill="1" applyBorder="1" applyAlignment="1">
      <alignment horizontal="center" vertical="center"/>
    </xf>
    <xf numFmtId="178" fontId="3" fillId="2" borderId="2" xfId="0" applyNumberFormat="1" applyFont="1" applyFill="1" applyBorder="1" applyAlignment="1">
      <alignment horizontal="center" vertical="center"/>
    </xf>
    <xf numFmtId="179" fontId="3" fillId="2" borderId="2" xfId="0" applyNumberFormat="1" applyFont="1" applyFill="1" applyBorder="1" applyAlignment="1">
      <alignment horizontal="center" vertical="center"/>
    </xf>
    <xf numFmtId="49" fontId="2" fillId="0" borderId="2" xfId="52" applyNumberFormat="1" applyFont="1" applyFill="1" applyBorder="1" applyAlignment="1">
      <alignment horizontal="center" vertical="center"/>
    </xf>
    <xf numFmtId="0" fontId="0" fillId="2" borderId="0" xfId="0" applyFont="1" applyFill="1" applyAlignment="1">
      <alignment horizontal="left" vertical="center"/>
    </xf>
    <xf numFmtId="177" fontId="0" fillId="2" borderId="0" xfId="0" applyNumberFormat="1" applyFont="1" applyFill="1">
      <alignment vertical="center"/>
    </xf>
    <xf numFmtId="0" fontId="3" fillId="0" borderId="5" xfId="0" applyFont="1" applyFill="1" applyBorder="1" applyAlignment="1">
      <alignment horizontal="center" vertical="center"/>
    </xf>
    <xf numFmtId="0" fontId="3" fillId="0" borderId="2" xfId="52" applyFont="1" applyFill="1" applyBorder="1" applyAlignment="1">
      <alignment vertical="center"/>
    </xf>
    <xf numFmtId="49" fontId="3" fillId="0" borderId="2" xfId="52" applyNumberFormat="1" applyFont="1" applyFill="1" applyBorder="1" applyAlignment="1">
      <alignment horizontal="center" vertical="center" wrapText="1"/>
    </xf>
    <xf numFmtId="0" fontId="3" fillId="0" borderId="5" xfId="52" applyFont="1" applyFill="1" applyBorder="1" applyAlignment="1">
      <alignment horizontal="center" vertical="center" wrapText="1"/>
    </xf>
    <xf numFmtId="0" fontId="3" fillId="0" borderId="2" xfId="52" applyFont="1" applyFill="1" applyBorder="1" applyAlignment="1">
      <alignment horizontal="center" vertical="center" wrapText="1"/>
    </xf>
    <xf numFmtId="0" fontId="3" fillId="0" borderId="3" xfId="52" applyFont="1" applyFill="1" applyBorder="1" applyAlignment="1">
      <alignment horizontal="center" vertical="center" wrapText="1"/>
    </xf>
    <xf numFmtId="0" fontId="3" fillId="0" borderId="6" xfId="52" applyFont="1" applyFill="1" applyBorder="1" applyAlignment="1">
      <alignment vertical="center" wrapText="1"/>
    </xf>
    <xf numFmtId="0" fontId="3" fillId="0" borderId="3" xfId="52" applyFont="1" applyFill="1" applyBorder="1" applyAlignment="1">
      <alignment vertical="center" wrapText="1"/>
    </xf>
    <xf numFmtId="0" fontId="3" fillId="0" borderId="2" xfId="52" applyFont="1" applyFill="1" applyBorder="1" applyAlignment="1">
      <alignment vertical="center" wrapText="1"/>
    </xf>
    <xf numFmtId="0" fontId="2" fillId="0" borderId="2" xfId="52" applyFont="1" applyFill="1" applyBorder="1" applyAlignment="1">
      <alignment horizontal="center" vertical="center"/>
    </xf>
    <xf numFmtId="0" fontId="2" fillId="0" borderId="6" xfId="52" applyFont="1" applyFill="1" applyBorder="1" applyAlignment="1">
      <alignment horizontal="center" vertical="center"/>
    </xf>
    <xf numFmtId="0" fontId="3" fillId="0" borderId="6" xfId="52" applyFont="1" applyFill="1" applyBorder="1" applyAlignment="1">
      <alignment horizontal="center" vertical="center"/>
    </xf>
    <xf numFmtId="0" fontId="3" fillId="0" borderId="7" xfId="52" applyFont="1" applyFill="1" applyBorder="1" applyAlignment="1">
      <alignment horizontal="center" vertical="center"/>
    </xf>
    <xf numFmtId="0" fontId="3" fillId="0" borderId="8" xfId="52" applyFont="1" applyFill="1" applyBorder="1" applyAlignment="1">
      <alignment horizontal="center" vertical="center"/>
    </xf>
    <xf numFmtId="0" fontId="3" fillId="0" borderId="9" xfId="52" applyFont="1" applyFill="1" applyBorder="1" applyAlignment="1">
      <alignment horizontal="center" vertical="center"/>
    </xf>
    <xf numFmtId="0" fontId="3" fillId="0" borderId="10" xfId="52" applyFont="1" applyFill="1" applyBorder="1" applyAlignment="1">
      <alignment horizontal="center" vertical="center"/>
    </xf>
    <xf numFmtId="0" fontId="3" fillId="0" borderId="6" xfId="52" applyFont="1" applyFill="1" applyBorder="1">
      <alignment vertical="center"/>
    </xf>
    <xf numFmtId="0" fontId="3" fillId="0" borderId="0" xfId="52" applyFont="1" applyFill="1" applyAlignment="1">
      <alignment horizontal="center" vertical="center"/>
    </xf>
    <xf numFmtId="0" fontId="3" fillId="0" borderId="0" xfId="52" applyFont="1" applyFill="1" applyAlignment="1"/>
    <xf numFmtId="0" fontId="7" fillId="0" borderId="0" xfId="52" applyFont="1" applyFill="1" applyAlignment="1"/>
    <xf numFmtId="49" fontId="0" fillId="0" borderId="0" xfId="52" applyNumberFormat="1" applyFont="1" applyFill="1" applyAlignment="1">
      <alignment horizontal="center"/>
    </xf>
    <xf numFmtId="0" fontId="0" fillId="0" borderId="0" xfId="52" applyFont="1" applyFill="1" applyAlignment="1"/>
    <xf numFmtId="0" fontId="0" fillId="0" borderId="0" xfId="52" applyFont="1" applyFill="1" applyAlignment="1">
      <alignment horizontal="center"/>
    </xf>
    <xf numFmtId="182" fontId="0" fillId="0" borderId="0" xfId="52" applyNumberFormat="1" applyFont="1" applyFill="1" applyAlignment="1">
      <alignment horizontal="center"/>
    </xf>
    <xf numFmtId="178" fontId="0" fillId="0" borderId="0" xfId="52" applyNumberFormat="1" applyFont="1" applyFill="1" applyAlignment="1"/>
    <xf numFmtId="0" fontId="8" fillId="0" borderId="0" xfId="52" applyFont="1" applyFill="1" applyAlignment="1">
      <alignment horizontal="center"/>
    </xf>
    <xf numFmtId="0" fontId="1" fillId="0" borderId="0" xfId="52" applyFont="1" applyFill="1" applyAlignment="1">
      <alignment horizontal="center" vertical="center"/>
    </xf>
    <xf numFmtId="0" fontId="9" fillId="0" borderId="0" xfId="52" applyFont="1" applyFill="1" applyAlignment="1">
      <alignment horizontal="center" vertical="center"/>
    </xf>
    <xf numFmtId="49" fontId="10" fillId="0" borderId="0" xfId="52" applyNumberFormat="1" applyFont="1" applyFill="1" applyAlignment="1">
      <alignment horizontal="left" vertical="center"/>
    </xf>
    <xf numFmtId="49" fontId="10" fillId="0" borderId="2" xfId="52" applyNumberFormat="1" applyFont="1" applyFill="1" applyBorder="1" applyAlignment="1">
      <alignment horizontal="center" vertical="center" wrapText="1"/>
    </xf>
    <xf numFmtId="0" fontId="10" fillId="0" borderId="2" xfId="52" applyFont="1" applyFill="1" applyBorder="1" applyAlignment="1">
      <alignment horizontal="center" vertical="center"/>
    </xf>
    <xf numFmtId="0" fontId="10" fillId="0" borderId="2" xfId="52" applyFont="1" applyFill="1" applyBorder="1" applyAlignment="1">
      <alignment horizontal="center" vertical="center" wrapText="1"/>
    </xf>
    <xf numFmtId="182" fontId="10" fillId="0" borderId="2" xfId="52" applyNumberFormat="1" applyFont="1" applyFill="1" applyBorder="1" applyAlignment="1">
      <alignment horizontal="center" vertical="center" wrapText="1"/>
    </xf>
    <xf numFmtId="49" fontId="11" fillId="0" borderId="2" xfId="52" applyNumberFormat="1" applyFont="1" applyFill="1" applyBorder="1" applyAlignment="1">
      <alignment horizontal="center" vertical="center"/>
    </xf>
    <xf numFmtId="0" fontId="11" fillId="0" borderId="2" xfId="52" applyFont="1" applyFill="1" applyBorder="1" applyAlignment="1">
      <alignment vertical="center"/>
    </xf>
    <xf numFmtId="178" fontId="11" fillId="0" borderId="2" xfId="52" applyNumberFormat="1" applyFont="1" applyFill="1" applyBorder="1" applyAlignment="1">
      <alignment horizontal="center" vertical="center"/>
    </xf>
    <xf numFmtId="182" fontId="11" fillId="0" borderId="2" xfId="52" applyNumberFormat="1" applyFont="1" applyFill="1" applyBorder="1" applyAlignment="1">
      <alignment horizontal="center" vertical="center"/>
    </xf>
    <xf numFmtId="0" fontId="11" fillId="0" borderId="2" xfId="52" applyFont="1" applyFill="1" applyBorder="1" applyAlignment="1">
      <alignment horizontal="center" vertical="center"/>
    </xf>
    <xf numFmtId="49" fontId="10" fillId="0" borderId="2" xfId="52" applyNumberFormat="1" applyFont="1" applyFill="1" applyBorder="1" applyAlignment="1">
      <alignment horizontal="center" vertical="center"/>
    </xf>
    <xf numFmtId="178" fontId="10" fillId="0" borderId="2" xfId="52" applyNumberFormat="1" applyFont="1" applyFill="1" applyBorder="1" applyAlignment="1">
      <alignment horizontal="center" vertical="center"/>
    </xf>
    <xf numFmtId="178" fontId="10" fillId="0" borderId="2" xfId="52" applyNumberFormat="1" applyFont="1" applyFill="1" applyBorder="1" applyAlignment="1">
      <alignment horizontal="left" vertical="center" wrapText="1"/>
    </xf>
    <xf numFmtId="178" fontId="10" fillId="0" borderId="2" xfId="52" applyNumberFormat="1" applyFont="1" applyFill="1" applyBorder="1" applyAlignment="1">
      <alignment horizontal="left" vertical="center"/>
    </xf>
    <xf numFmtId="0" fontId="10" fillId="0" borderId="2" xfId="52" applyFont="1" applyFill="1" applyBorder="1" applyAlignment="1">
      <alignment vertical="center"/>
    </xf>
    <xf numFmtId="178" fontId="10" fillId="0" borderId="2" xfId="53" applyNumberFormat="1" applyFont="1" applyFill="1" applyBorder="1" applyAlignment="1">
      <alignment horizontal="center" vertical="center"/>
    </xf>
    <xf numFmtId="0" fontId="10" fillId="0" borderId="2" xfId="52" applyFont="1" applyFill="1" applyBorder="1" applyAlignment="1" applyProtection="1">
      <alignment vertical="center"/>
    </xf>
    <xf numFmtId="0" fontId="2" fillId="0" borderId="2" xfId="52" applyFont="1" applyFill="1" applyBorder="1" applyAlignment="1">
      <alignment vertical="center"/>
    </xf>
    <xf numFmtId="178" fontId="2" fillId="0" borderId="2" xfId="52" applyNumberFormat="1" applyFont="1" applyFill="1" applyBorder="1" applyAlignment="1">
      <alignment horizontal="center" vertical="center"/>
    </xf>
    <xf numFmtId="178" fontId="2" fillId="0" borderId="3" xfId="52" applyNumberFormat="1" applyFont="1" applyFill="1" applyBorder="1" applyAlignment="1">
      <alignment horizontal="center" vertical="center"/>
    </xf>
    <xf numFmtId="183" fontId="0" fillId="0" borderId="0" xfId="52" applyNumberFormat="1" applyFont="1" applyFill="1" applyAlignment="1"/>
    <xf numFmtId="178" fontId="3" fillId="0" borderId="0" xfId="52" applyNumberFormat="1" applyFont="1" applyFill="1" applyAlignment="1"/>
    <xf numFmtId="0" fontId="3" fillId="0" borderId="2" xfId="52" applyFont="1" applyFill="1" applyBorder="1" applyAlignment="1">
      <alignment horizontal="center"/>
    </xf>
    <xf numFmtId="0" fontId="12" fillId="0" borderId="2" xfId="52" applyFont="1" applyFill="1" applyBorder="1" applyAlignment="1">
      <alignment horizontal="center"/>
    </xf>
    <xf numFmtId="177" fontId="11" fillId="0" borderId="2" xfId="52" applyNumberFormat="1" applyFont="1" applyFill="1" applyBorder="1" applyAlignment="1">
      <alignment horizontal="center" vertical="center"/>
    </xf>
    <xf numFmtId="10" fontId="11" fillId="0" borderId="2" xfId="52" applyNumberFormat="1" applyFont="1" applyFill="1" applyBorder="1" applyAlignment="1">
      <alignment horizontal="center" vertical="center"/>
    </xf>
    <xf numFmtId="178" fontId="7" fillId="0" borderId="0" xfId="52" applyNumberFormat="1" applyFont="1" applyFill="1" applyAlignment="1"/>
    <xf numFmtId="0" fontId="8" fillId="0" borderId="2" xfId="52" applyFont="1" applyFill="1" applyBorder="1" applyAlignment="1">
      <alignment horizontal="center"/>
    </xf>
    <xf numFmtId="177" fontId="10" fillId="0" borderId="2" xfId="52" applyNumberFormat="1" applyFont="1" applyFill="1" applyBorder="1" applyAlignment="1">
      <alignment horizontal="center" vertical="center"/>
    </xf>
    <xf numFmtId="10" fontId="10" fillId="0" borderId="2" xfId="52" applyNumberFormat="1" applyFont="1" applyFill="1" applyBorder="1" applyAlignment="1">
      <alignment horizontal="center" vertical="center"/>
    </xf>
    <xf numFmtId="181" fontId="10" fillId="0" borderId="2" xfId="52" applyNumberFormat="1" applyFont="1" applyFill="1" applyBorder="1" applyAlignment="1">
      <alignment horizontal="center" vertical="center"/>
    </xf>
    <xf numFmtId="10" fontId="10" fillId="0" borderId="2" xfId="52" applyNumberFormat="1" applyFont="1" applyFill="1" applyBorder="1" applyAlignment="1">
      <alignment vertical="center"/>
    </xf>
    <xf numFmtId="10" fontId="10" fillId="0" borderId="2" xfId="49" applyNumberFormat="1" applyFont="1" applyFill="1" applyBorder="1" applyAlignment="1">
      <alignment horizontal="center" vertical="center"/>
    </xf>
    <xf numFmtId="9" fontId="10" fillId="0" borderId="2" xfId="52" applyNumberFormat="1" applyFont="1" applyFill="1" applyBorder="1" applyAlignment="1">
      <alignment horizontal="center" vertical="center"/>
    </xf>
    <xf numFmtId="10" fontId="2" fillId="0" borderId="2" xfId="52" applyNumberFormat="1" applyFont="1" applyFill="1" applyBorder="1" applyAlignment="1">
      <alignment horizontal="center" vertical="center"/>
    </xf>
    <xf numFmtId="10" fontId="3" fillId="0" borderId="2" xfId="52" applyNumberFormat="1" applyFont="1" applyFill="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2" xfId="50"/>
    <cellStyle name="常规 3" xfId="51"/>
    <cellStyle name="常规 4" xfId="52"/>
    <cellStyle name="常规_平安集中供热工程修订概算2003-8-12" xfId="53"/>
    <cellStyle name="货币 2" xfId="54"/>
  </cellStyles>
  <dxfs count="1">
    <dxf>
      <fill>
        <patternFill patternType="solid">
          <bgColor indexed="34"/>
        </patternFill>
      </fill>
    </dxf>
  </dxfs>
  <tableStyles count="0" defaultTableStyle="TableStyleMedium2" defaultPivotStyle="PivotStyleLight16"/>
  <colors>
    <mruColors>
      <color rgb="00D272C3"/>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y%20Documents\&#22825;&#27700;&#22825;&#27827;&#27010;&#31639;\WINDOWS\Desktop\&#28205;&#28304;&#32473;&#27700;&#35780;&#2021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础数据"/>
      <sheetName val="固定资产投资估算表"/>
      <sheetName val="投资计划与资金筹措表"/>
      <sheetName val="流动资金估算表"/>
      <sheetName val="总成本费用估算表"/>
      <sheetName val="借款还本付息计算表"/>
      <sheetName val="固定资产折旧费估算表"/>
      <sheetName val="无形及递延资产摊销估算表"/>
      <sheetName val="产品销售收入和税金及附加估算表"/>
      <sheetName val="现金流量表（全部投资）"/>
      <sheetName val="现金流量表（自有资金）"/>
      <sheetName val="损益表"/>
      <sheetName val="资金来源与运用表"/>
      <sheetName val="资产负债表"/>
      <sheetName val="财务敏感性分析"/>
      <sheetName val="Sheet3"/>
      <sheetName val="国民经济效益费用流量表（全部投资）"/>
      <sheetName val="国民经济评价销售收入调整计算表"/>
      <sheetName val="国民经济效益费用流量表（国内投资）"/>
      <sheetName val="国民经济评价投资调整计算表"/>
      <sheetName val="国民经济评价经营费用调整计算表"/>
      <sheetName val="Sheet1"/>
      <sheetName val="Sheet2"/>
      <sheetName val="现金流量表(敏感分析用 投资+20%)"/>
      <sheetName val="现金流量表(敏感分析用 投资+15%)"/>
      <sheetName val="现金流量表(敏感分析用 投资+10%)"/>
      <sheetName val="现金流量表(敏感分析用 投资+5%)"/>
      <sheetName val="现金流量表(敏感分析用 投资-5%)"/>
      <sheetName val="现金流量表(敏感分析用 投资-10%)"/>
      <sheetName val="现金流量表(敏感分析用 投资-15%)"/>
      <sheetName val="现金流量表(敏感分析用 投资-20%)"/>
      <sheetName val="现金流量表(敏感分析用 成本+20%)"/>
      <sheetName val="现金流量表(敏感分析用 成本+15%)"/>
      <sheetName val="现金流量表(敏感分析用 成本+10%)"/>
      <sheetName val="现金流量表(敏感分析用 成本+5%)"/>
      <sheetName val="现金流量表(敏感分析用 成本-5%)"/>
      <sheetName val="现金流量表(敏感分析用 成本-10%)"/>
      <sheetName val="现金流量表(敏感分析用 成本-15%)"/>
      <sheetName val="现金流量表(敏感分析用 成本-20%)"/>
      <sheetName val="现金流量表(敏感分析用 收入+20%)"/>
      <sheetName val="现金流量表(敏感分析用 收入+15%)"/>
      <sheetName val="现金流量表(敏感分析用 收入+10%)"/>
      <sheetName val="现金流量表(敏感分析用 收入+5%)"/>
      <sheetName val="现金流量表(敏感分析用 收入-5%)"/>
      <sheetName val="现金流量表(敏感分析用 收入-10%)"/>
      <sheetName val="现金流量表(敏感分析用 收入-15%)"/>
      <sheetName val="现金流量表(敏感分析用 收入-2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2"/>
  <sheetViews>
    <sheetView tabSelected="1" view="pageBreakPreview" zoomScaleNormal="100" workbookViewId="0">
      <pane ySplit="6" topLeftCell="A8" activePane="bottomLeft" state="frozen"/>
      <selection/>
      <selection pane="bottomLeft" activeCell="B17" sqref="B17"/>
    </sheetView>
  </sheetViews>
  <sheetFormatPr defaultColWidth="9" defaultRowHeight="24.95" customHeight="1"/>
  <cols>
    <col min="1" max="1" width="6.5" style="88" customWidth="1"/>
    <col min="2" max="2" width="26.875" style="89" customWidth="1"/>
    <col min="3" max="3" width="9.25" style="90" customWidth="1"/>
    <col min="4" max="4" width="8.25" style="90" customWidth="1"/>
    <col min="5" max="5" width="11.125" style="90" customWidth="1"/>
    <col min="6" max="6" width="10.75" style="90" customWidth="1"/>
    <col min="7" max="7" width="11.625" style="91" customWidth="1"/>
    <col min="8" max="8" width="6.125" style="90" customWidth="1"/>
    <col min="9" max="9" width="8.6" style="90" customWidth="1"/>
    <col min="10" max="10" width="7.75" style="90" customWidth="1"/>
    <col min="11" max="11" width="9.25" style="89" customWidth="1"/>
    <col min="12" max="12" width="9" style="89" customWidth="1"/>
    <col min="13" max="13" width="14.125" style="92" customWidth="1"/>
    <col min="14" max="14" width="9" style="93" hidden="1" customWidth="1"/>
    <col min="15" max="15" width="14.125" style="92" hidden="1" customWidth="1"/>
    <col min="16" max="16" width="14" style="89"/>
    <col min="17" max="255" width="9" style="89"/>
    <col min="256" max="256" width="6.5" style="89" customWidth="1"/>
    <col min="257" max="257" width="29.125" style="89" customWidth="1"/>
    <col min="258" max="258" width="7.75" style="89" customWidth="1"/>
    <col min="259" max="259" width="8.25" style="89" customWidth="1"/>
    <col min="260" max="260" width="11.125" style="89" customWidth="1"/>
    <col min="261" max="261" width="9.875" style="89" customWidth="1"/>
    <col min="262" max="262" width="11.625" style="89" customWidth="1"/>
    <col min="263" max="263" width="6.125" style="89" customWidth="1"/>
    <col min="264" max="264" width="9" style="89" customWidth="1"/>
    <col min="265" max="265" width="9.875" style="89" customWidth="1"/>
    <col min="266" max="266" width="9.25" style="89" customWidth="1"/>
    <col min="267" max="511" width="9" style="89"/>
    <col min="512" max="512" width="6.5" style="89" customWidth="1"/>
    <col min="513" max="513" width="29.125" style="89" customWidth="1"/>
    <col min="514" max="514" width="7.75" style="89" customWidth="1"/>
    <col min="515" max="515" width="8.25" style="89" customWidth="1"/>
    <col min="516" max="516" width="11.125" style="89" customWidth="1"/>
    <col min="517" max="517" width="9.875" style="89" customWidth="1"/>
    <col min="518" max="518" width="11.625" style="89" customWidth="1"/>
    <col min="519" max="519" width="6.125" style="89" customWidth="1"/>
    <col min="520" max="520" width="9" style="89" customWidth="1"/>
    <col min="521" max="521" width="9.875" style="89" customWidth="1"/>
    <col min="522" max="522" width="9.25" style="89" customWidth="1"/>
    <col min="523" max="767" width="9" style="89"/>
    <col min="768" max="768" width="6.5" style="89" customWidth="1"/>
    <col min="769" max="769" width="29.125" style="89" customWidth="1"/>
    <col min="770" max="770" width="7.75" style="89" customWidth="1"/>
    <col min="771" max="771" width="8.25" style="89" customWidth="1"/>
    <col min="772" max="772" width="11.125" style="89" customWidth="1"/>
    <col min="773" max="773" width="9.875" style="89" customWidth="1"/>
    <col min="774" max="774" width="11.625" style="89" customWidth="1"/>
    <col min="775" max="775" width="6.125" style="89" customWidth="1"/>
    <col min="776" max="776" width="9" style="89" customWidth="1"/>
    <col min="777" max="777" width="9.875" style="89" customWidth="1"/>
    <col min="778" max="778" width="9.25" style="89" customWidth="1"/>
    <col min="779" max="1023" width="9" style="89"/>
    <col min="1024" max="1024" width="6.5" style="89" customWidth="1"/>
    <col min="1025" max="1025" width="29.125" style="89" customWidth="1"/>
    <col min="1026" max="1026" width="7.75" style="89" customWidth="1"/>
    <col min="1027" max="1027" width="8.25" style="89" customWidth="1"/>
    <col min="1028" max="1028" width="11.125" style="89" customWidth="1"/>
    <col min="1029" max="1029" width="9.875" style="89" customWidth="1"/>
    <col min="1030" max="1030" width="11.625" style="89" customWidth="1"/>
    <col min="1031" max="1031" width="6.125" style="89" customWidth="1"/>
    <col min="1032" max="1032" width="9" style="89" customWidth="1"/>
    <col min="1033" max="1033" width="9.875" style="89" customWidth="1"/>
    <col min="1034" max="1034" width="9.25" style="89" customWidth="1"/>
    <col min="1035" max="1279" width="9" style="89"/>
    <col min="1280" max="1280" width="6.5" style="89" customWidth="1"/>
    <col min="1281" max="1281" width="29.125" style="89" customWidth="1"/>
    <col min="1282" max="1282" width="7.75" style="89" customWidth="1"/>
    <col min="1283" max="1283" width="8.25" style="89" customWidth="1"/>
    <col min="1284" max="1284" width="11.125" style="89" customWidth="1"/>
    <col min="1285" max="1285" width="9.875" style="89" customWidth="1"/>
    <col min="1286" max="1286" width="11.625" style="89" customWidth="1"/>
    <col min="1287" max="1287" width="6.125" style="89" customWidth="1"/>
    <col min="1288" max="1288" width="9" style="89" customWidth="1"/>
    <col min="1289" max="1289" width="9.875" style="89" customWidth="1"/>
    <col min="1290" max="1290" width="9.25" style="89" customWidth="1"/>
    <col min="1291" max="1535" width="9" style="89"/>
    <col min="1536" max="1536" width="6.5" style="89" customWidth="1"/>
    <col min="1537" max="1537" width="29.125" style="89" customWidth="1"/>
    <col min="1538" max="1538" width="7.75" style="89" customWidth="1"/>
    <col min="1539" max="1539" width="8.25" style="89" customWidth="1"/>
    <col min="1540" max="1540" width="11.125" style="89" customWidth="1"/>
    <col min="1541" max="1541" width="9.875" style="89" customWidth="1"/>
    <col min="1542" max="1542" width="11.625" style="89" customWidth="1"/>
    <col min="1543" max="1543" width="6.125" style="89" customWidth="1"/>
    <col min="1544" max="1544" width="9" style="89" customWidth="1"/>
    <col min="1545" max="1545" width="9.875" style="89" customWidth="1"/>
    <col min="1546" max="1546" width="9.25" style="89" customWidth="1"/>
    <col min="1547" max="1791" width="9" style="89"/>
    <col min="1792" max="1792" width="6.5" style="89" customWidth="1"/>
    <col min="1793" max="1793" width="29.125" style="89" customWidth="1"/>
    <col min="1794" max="1794" width="7.75" style="89" customWidth="1"/>
    <col min="1795" max="1795" width="8.25" style="89" customWidth="1"/>
    <col min="1796" max="1796" width="11.125" style="89" customWidth="1"/>
    <col min="1797" max="1797" width="9.875" style="89" customWidth="1"/>
    <col min="1798" max="1798" width="11.625" style="89" customWidth="1"/>
    <col min="1799" max="1799" width="6.125" style="89" customWidth="1"/>
    <col min="1800" max="1800" width="9" style="89" customWidth="1"/>
    <col min="1801" max="1801" width="9.875" style="89" customWidth="1"/>
    <col min="1802" max="1802" width="9.25" style="89" customWidth="1"/>
    <col min="1803" max="2047" width="9" style="89"/>
    <col min="2048" max="2048" width="6.5" style="89" customWidth="1"/>
    <col min="2049" max="2049" width="29.125" style="89" customWidth="1"/>
    <col min="2050" max="2050" width="7.75" style="89" customWidth="1"/>
    <col min="2051" max="2051" width="8.25" style="89" customWidth="1"/>
    <col min="2052" max="2052" width="11.125" style="89" customWidth="1"/>
    <col min="2053" max="2053" width="9.875" style="89" customWidth="1"/>
    <col min="2054" max="2054" width="11.625" style="89" customWidth="1"/>
    <col min="2055" max="2055" width="6.125" style="89" customWidth="1"/>
    <col min="2056" max="2056" width="9" style="89" customWidth="1"/>
    <col min="2057" max="2057" width="9.875" style="89" customWidth="1"/>
    <col min="2058" max="2058" width="9.25" style="89" customWidth="1"/>
    <col min="2059" max="2303" width="9" style="89"/>
    <col min="2304" max="2304" width="6.5" style="89" customWidth="1"/>
    <col min="2305" max="2305" width="29.125" style="89" customWidth="1"/>
    <col min="2306" max="2306" width="7.75" style="89" customWidth="1"/>
    <col min="2307" max="2307" width="8.25" style="89" customWidth="1"/>
    <col min="2308" max="2308" width="11.125" style="89" customWidth="1"/>
    <col min="2309" max="2309" width="9.875" style="89" customWidth="1"/>
    <col min="2310" max="2310" width="11.625" style="89" customWidth="1"/>
    <col min="2311" max="2311" width="6.125" style="89" customWidth="1"/>
    <col min="2312" max="2312" width="9" style="89" customWidth="1"/>
    <col min="2313" max="2313" width="9.875" style="89" customWidth="1"/>
    <col min="2314" max="2314" width="9.25" style="89" customWidth="1"/>
    <col min="2315" max="2559" width="9" style="89"/>
    <col min="2560" max="2560" width="6.5" style="89" customWidth="1"/>
    <col min="2561" max="2561" width="29.125" style="89" customWidth="1"/>
    <col min="2562" max="2562" width="7.75" style="89" customWidth="1"/>
    <col min="2563" max="2563" width="8.25" style="89" customWidth="1"/>
    <col min="2564" max="2564" width="11.125" style="89" customWidth="1"/>
    <col min="2565" max="2565" width="9.875" style="89" customWidth="1"/>
    <col min="2566" max="2566" width="11.625" style="89" customWidth="1"/>
    <col min="2567" max="2567" width="6.125" style="89" customWidth="1"/>
    <col min="2568" max="2568" width="9" style="89" customWidth="1"/>
    <col min="2569" max="2569" width="9.875" style="89" customWidth="1"/>
    <col min="2570" max="2570" width="9.25" style="89" customWidth="1"/>
    <col min="2571" max="2815" width="9" style="89"/>
    <col min="2816" max="2816" width="6.5" style="89" customWidth="1"/>
    <col min="2817" max="2817" width="29.125" style="89" customWidth="1"/>
    <col min="2818" max="2818" width="7.75" style="89" customWidth="1"/>
    <col min="2819" max="2819" width="8.25" style="89" customWidth="1"/>
    <col min="2820" max="2820" width="11.125" style="89" customWidth="1"/>
    <col min="2821" max="2821" width="9.875" style="89" customWidth="1"/>
    <col min="2822" max="2822" width="11.625" style="89" customWidth="1"/>
    <col min="2823" max="2823" width="6.125" style="89" customWidth="1"/>
    <col min="2824" max="2824" width="9" style="89" customWidth="1"/>
    <col min="2825" max="2825" width="9.875" style="89" customWidth="1"/>
    <col min="2826" max="2826" width="9.25" style="89" customWidth="1"/>
    <col min="2827" max="3071" width="9" style="89"/>
    <col min="3072" max="3072" width="6.5" style="89" customWidth="1"/>
    <col min="3073" max="3073" width="29.125" style="89" customWidth="1"/>
    <col min="3074" max="3074" width="7.75" style="89" customWidth="1"/>
    <col min="3075" max="3075" width="8.25" style="89" customWidth="1"/>
    <col min="3076" max="3076" width="11.125" style="89" customWidth="1"/>
    <col min="3077" max="3077" width="9.875" style="89" customWidth="1"/>
    <col min="3078" max="3078" width="11.625" style="89" customWidth="1"/>
    <col min="3079" max="3079" width="6.125" style="89" customWidth="1"/>
    <col min="3080" max="3080" width="9" style="89" customWidth="1"/>
    <col min="3081" max="3081" width="9.875" style="89" customWidth="1"/>
    <col min="3082" max="3082" width="9.25" style="89" customWidth="1"/>
    <col min="3083" max="3327" width="9" style="89"/>
    <col min="3328" max="3328" width="6.5" style="89" customWidth="1"/>
    <col min="3329" max="3329" width="29.125" style="89" customWidth="1"/>
    <col min="3330" max="3330" width="7.75" style="89" customWidth="1"/>
    <col min="3331" max="3331" width="8.25" style="89" customWidth="1"/>
    <col min="3332" max="3332" width="11.125" style="89" customWidth="1"/>
    <col min="3333" max="3333" width="9.875" style="89" customWidth="1"/>
    <col min="3334" max="3334" width="11.625" style="89" customWidth="1"/>
    <col min="3335" max="3335" width="6.125" style="89" customWidth="1"/>
    <col min="3336" max="3336" width="9" style="89" customWidth="1"/>
    <col min="3337" max="3337" width="9.875" style="89" customWidth="1"/>
    <col min="3338" max="3338" width="9.25" style="89" customWidth="1"/>
    <col min="3339" max="3583" width="9" style="89"/>
    <col min="3584" max="3584" width="6.5" style="89" customWidth="1"/>
    <col min="3585" max="3585" width="29.125" style="89" customWidth="1"/>
    <col min="3586" max="3586" width="7.75" style="89" customWidth="1"/>
    <col min="3587" max="3587" width="8.25" style="89" customWidth="1"/>
    <col min="3588" max="3588" width="11.125" style="89" customWidth="1"/>
    <col min="3589" max="3589" width="9.875" style="89" customWidth="1"/>
    <col min="3590" max="3590" width="11.625" style="89" customWidth="1"/>
    <col min="3591" max="3591" width="6.125" style="89" customWidth="1"/>
    <col min="3592" max="3592" width="9" style="89" customWidth="1"/>
    <col min="3593" max="3593" width="9.875" style="89" customWidth="1"/>
    <col min="3594" max="3594" width="9.25" style="89" customWidth="1"/>
    <col min="3595" max="3839" width="9" style="89"/>
    <col min="3840" max="3840" width="6.5" style="89" customWidth="1"/>
    <col min="3841" max="3841" width="29.125" style="89" customWidth="1"/>
    <col min="3842" max="3842" width="7.75" style="89" customWidth="1"/>
    <col min="3843" max="3843" width="8.25" style="89" customWidth="1"/>
    <col min="3844" max="3844" width="11.125" style="89" customWidth="1"/>
    <col min="3845" max="3845" width="9.875" style="89" customWidth="1"/>
    <col min="3846" max="3846" width="11.625" style="89" customWidth="1"/>
    <col min="3847" max="3847" width="6.125" style="89" customWidth="1"/>
    <col min="3848" max="3848" width="9" style="89" customWidth="1"/>
    <col min="3849" max="3849" width="9.875" style="89" customWidth="1"/>
    <col min="3850" max="3850" width="9.25" style="89" customWidth="1"/>
    <col min="3851" max="4095" width="9" style="89"/>
    <col min="4096" max="4096" width="6.5" style="89" customWidth="1"/>
    <col min="4097" max="4097" width="29.125" style="89" customWidth="1"/>
    <col min="4098" max="4098" width="7.75" style="89" customWidth="1"/>
    <col min="4099" max="4099" width="8.25" style="89" customWidth="1"/>
    <col min="4100" max="4100" width="11.125" style="89" customWidth="1"/>
    <col min="4101" max="4101" width="9.875" style="89" customWidth="1"/>
    <col min="4102" max="4102" width="11.625" style="89" customWidth="1"/>
    <col min="4103" max="4103" width="6.125" style="89" customWidth="1"/>
    <col min="4104" max="4104" width="9" style="89" customWidth="1"/>
    <col min="4105" max="4105" width="9.875" style="89" customWidth="1"/>
    <col min="4106" max="4106" width="9.25" style="89" customWidth="1"/>
    <col min="4107" max="4351" width="9" style="89"/>
    <col min="4352" max="4352" width="6.5" style="89" customWidth="1"/>
    <col min="4353" max="4353" width="29.125" style="89" customWidth="1"/>
    <col min="4354" max="4354" width="7.75" style="89" customWidth="1"/>
    <col min="4355" max="4355" width="8.25" style="89" customWidth="1"/>
    <col min="4356" max="4356" width="11.125" style="89" customWidth="1"/>
    <col min="4357" max="4357" width="9.875" style="89" customWidth="1"/>
    <col min="4358" max="4358" width="11.625" style="89" customWidth="1"/>
    <col min="4359" max="4359" width="6.125" style="89" customWidth="1"/>
    <col min="4360" max="4360" width="9" style="89" customWidth="1"/>
    <col min="4361" max="4361" width="9.875" style="89" customWidth="1"/>
    <col min="4362" max="4362" width="9.25" style="89" customWidth="1"/>
    <col min="4363" max="4607" width="9" style="89"/>
    <col min="4608" max="4608" width="6.5" style="89" customWidth="1"/>
    <col min="4609" max="4609" width="29.125" style="89" customWidth="1"/>
    <col min="4610" max="4610" width="7.75" style="89" customWidth="1"/>
    <col min="4611" max="4611" width="8.25" style="89" customWidth="1"/>
    <col min="4612" max="4612" width="11.125" style="89" customWidth="1"/>
    <col min="4613" max="4613" width="9.875" style="89" customWidth="1"/>
    <col min="4614" max="4614" width="11.625" style="89" customWidth="1"/>
    <col min="4615" max="4615" width="6.125" style="89" customWidth="1"/>
    <col min="4616" max="4616" width="9" style="89" customWidth="1"/>
    <col min="4617" max="4617" width="9.875" style="89" customWidth="1"/>
    <col min="4618" max="4618" width="9.25" style="89" customWidth="1"/>
    <col min="4619" max="4863" width="9" style="89"/>
    <col min="4864" max="4864" width="6.5" style="89" customWidth="1"/>
    <col min="4865" max="4865" width="29.125" style="89" customWidth="1"/>
    <col min="4866" max="4866" width="7.75" style="89" customWidth="1"/>
    <col min="4867" max="4867" width="8.25" style="89" customWidth="1"/>
    <col min="4868" max="4868" width="11.125" style="89" customWidth="1"/>
    <col min="4869" max="4869" width="9.875" style="89" customWidth="1"/>
    <col min="4870" max="4870" width="11.625" style="89" customWidth="1"/>
    <col min="4871" max="4871" width="6.125" style="89" customWidth="1"/>
    <col min="4872" max="4872" width="9" style="89" customWidth="1"/>
    <col min="4873" max="4873" width="9.875" style="89" customWidth="1"/>
    <col min="4874" max="4874" width="9.25" style="89" customWidth="1"/>
    <col min="4875" max="5119" width="9" style="89"/>
    <col min="5120" max="5120" width="6.5" style="89" customWidth="1"/>
    <col min="5121" max="5121" width="29.125" style="89" customWidth="1"/>
    <col min="5122" max="5122" width="7.75" style="89" customWidth="1"/>
    <col min="5123" max="5123" width="8.25" style="89" customWidth="1"/>
    <col min="5124" max="5124" width="11.125" style="89" customWidth="1"/>
    <col min="5125" max="5125" width="9.875" style="89" customWidth="1"/>
    <col min="5126" max="5126" width="11.625" style="89" customWidth="1"/>
    <col min="5127" max="5127" width="6.125" style="89" customWidth="1"/>
    <col min="5128" max="5128" width="9" style="89" customWidth="1"/>
    <col min="5129" max="5129" width="9.875" style="89" customWidth="1"/>
    <col min="5130" max="5130" width="9.25" style="89" customWidth="1"/>
    <col min="5131" max="5375" width="9" style="89"/>
    <col min="5376" max="5376" width="6.5" style="89" customWidth="1"/>
    <col min="5377" max="5377" width="29.125" style="89" customWidth="1"/>
    <col min="5378" max="5378" width="7.75" style="89" customWidth="1"/>
    <col min="5379" max="5379" width="8.25" style="89" customWidth="1"/>
    <col min="5380" max="5380" width="11.125" style="89" customWidth="1"/>
    <col min="5381" max="5381" width="9.875" style="89" customWidth="1"/>
    <col min="5382" max="5382" width="11.625" style="89" customWidth="1"/>
    <col min="5383" max="5383" width="6.125" style="89" customWidth="1"/>
    <col min="5384" max="5384" width="9" style="89" customWidth="1"/>
    <col min="5385" max="5385" width="9.875" style="89" customWidth="1"/>
    <col min="5386" max="5386" width="9.25" style="89" customWidth="1"/>
    <col min="5387" max="5631" width="9" style="89"/>
    <col min="5632" max="5632" width="6.5" style="89" customWidth="1"/>
    <col min="5633" max="5633" width="29.125" style="89" customWidth="1"/>
    <col min="5634" max="5634" width="7.75" style="89" customWidth="1"/>
    <col min="5635" max="5635" width="8.25" style="89" customWidth="1"/>
    <col min="5636" max="5636" width="11.125" style="89" customWidth="1"/>
    <col min="5637" max="5637" width="9.875" style="89" customWidth="1"/>
    <col min="5638" max="5638" width="11.625" style="89" customWidth="1"/>
    <col min="5639" max="5639" width="6.125" style="89" customWidth="1"/>
    <col min="5640" max="5640" width="9" style="89" customWidth="1"/>
    <col min="5641" max="5641" width="9.875" style="89" customWidth="1"/>
    <col min="5642" max="5642" width="9.25" style="89" customWidth="1"/>
    <col min="5643" max="5887" width="9" style="89"/>
    <col min="5888" max="5888" width="6.5" style="89" customWidth="1"/>
    <col min="5889" max="5889" width="29.125" style="89" customWidth="1"/>
    <col min="5890" max="5890" width="7.75" style="89" customWidth="1"/>
    <col min="5891" max="5891" width="8.25" style="89" customWidth="1"/>
    <col min="5892" max="5892" width="11.125" style="89" customWidth="1"/>
    <col min="5893" max="5893" width="9.875" style="89" customWidth="1"/>
    <col min="5894" max="5894" width="11.625" style="89" customWidth="1"/>
    <col min="5895" max="5895" width="6.125" style="89" customWidth="1"/>
    <col min="5896" max="5896" width="9" style="89" customWidth="1"/>
    <col min="5897" max="5897" width="9.875" style="89" customWidth="1"/>
    <col min="5898" max="5898" width="9.25" style="89" customWidth="1"/>
    <col min="5899" max="6143" width="9" style="89"/>
    <col min="6144" max="6144" width="6.5" style="89" customWidth="1"/>
    <col min="6145" max="6145" width="29.125" style="89" customWidth="1"/>
    <col min="6146" max="6146" width="7.75" style="89" customWidth="1"/>
    <col min="6147" max="6147" width="8.25" style="89" customWidth="1"/>
    <col min="6148" max="6148" width="11.125" style="89" customWidth="1"/>
    <col min="6149" max="6149" width="9.875" style="89" customWidth="1"/>
    <col min="6150" max="6150" width="11.625" style="89" customWidth="1"/>
    <col min="6151" max="6151" width="6.125" style="89" customWidth="1"/>
    <col min="6152" max="6152" width="9" style="89" customWidth="1"/>
    <col min="6153" max="6153" width="9.875" style="89" customWidth="1"/>
    <col min="6154" max="6154" width="9.25" style="89" customWidth="1"/>
    <col min="6155" max="6399" width="9" style="89"/>
    <col min="6400" max="6400" width="6.5" style="89" customWidth="1"/>
    <col min="6401" max="6401" width="29.125" style="89" customWidth="1"/>
    <col min="6402" max="6402" width="7.75" style="89" customWidth="1"/>
    <col min="6403" max="6403" width="8.25" style="89" customWidth="1"/>
    <col min="6404" max="6404" width="11.125" style="89" customWidth="1"/>
    <col min="6405" max="6405" width="9.875" style="89" customWidth="1"/>
    <col min="6406" max="6406" width="11.625" style="89" customWidth="1"/>
    <col min="6407" max="6407" width="6.125" style="89" customWidth="1"/>
    <col min="6408" max="6408" width="9" style="89" customWidth="1"/>
    <col min="6409" max="6409" width="9.875" style="89" customWidth="1"/>
    <col min="6410" max="6410" width="9.25" style="89" customWidth="1"/>
    <col min="6411" max="6655" width="9" style="89"/>
    <col min="6656" max="6656" width="6.5" style="89" customWidth="1"/>
    <col min="6657" max="6657" width="29.125" style="89" customWidth="1"/>
    <col min="6658" max="6658" width="7.75" style="89" customWidth="1"/>
    <col min="6659" max="6659" width="8.25" style="89" customWidth="1"/>
    <col min="6660" max="6660" width="11.125" style="89" customWidth="1"/>
    <col min="6661" max="6661" width="9.875" style="89" customWidth="1"/>
    <col min="6662" max="6662" width="11.625" style="89" customWidth="1"/>
    <col min="6663" max="6663" width="6.125" style="89" customWidth="1"/>
    <col min="6664" max="6664" width="9" style="89" customWidth="1"/>
    <col min="6665" max="6665" width="9.875" style="89" customWidth="1"/>
    <col min="6666" max="6666" width="9.25" style="89" customWidth="1"/>
    <col min="6667" max="6911" width="9" style="89"/>
    <col min="6912" max="6912" width="6.5" style="89" customWidth="1"/>
    <col min="6913" max="6913" width="29.125" style="89" customWidth="1"/>
    <col min="6914" max="6914" width="7.75" style="89" customWidth="1"/>
    <col min="6915" max="6915" width="8.25" style="89" customWidth="1"/>
    <col min="6916" max="6916" width="11.125" style="89" customWidth="1"/>
    <col min="6917" max="6917" width="9.875" style="89" customWidth="1"/>
    <col min="6918" max="6918" width="11.625" style="89" customWidth="1"/>
    <col min="6919" max="6919" width="6.125" style="89" customWidth="1"/>
    <col min="6920" max="6920" width="9" style="89" customWidth="1"/>
    <col min="6921" max="6921" width="9.875" style="89" customWidth="1"/>
    <col min="6922" max="6922" width="9.25" style="89" customWidth="1"/>
    <col min="6923" max="7167" width="9" style="89"/>
    <col min="7168" max="7168" width="6.5" style="89" customWidth="1"/>
    <col min="7169" max="7169" width="29.125" style="89" customWidth="1"/>
    <col min="7170" max="7170" width="7.75" style="89" customWidth="1"/>
    <col min="7171" max="7171" width="8.25" style="89" customWidth="1"/>
    <col min="7172" max="7172" width="11.125" style="89" customWidth="1"/>
    <col min="7173" max="7173" width="9.875" style="89" customWidth="1"/>
    <col min="7174" max="7174" width="11.625" style="89" customWidth="1"/>
    <col min="7175" max="7175" width="6.125" style="89" customWidth="1"/>
    <col min="7176" max="7176" width="9" style="89" customWidth="1"/>
    <col min="7177" max="7177" width="9.875" style="89" customWidth="1"/>
    <col min="7178" max="7178" width="9.25" style="89" customWidth="1"/>
    <col min="7179" max="7423" width="9" style="89"/>
    <col min="7424" max="7424" width="6.5" style="89" customWidth="1"/>
    <col min="7425" max="7425" width="29.125" style="89" customWidth="1"/>
    <col min="7426" max="7426" width="7.75" style="89" customWidth="1"/>
    <col min="7427" max="7427" width="8.25" style="89" customWidth="1"/>
    <col min="7428" max="7428" width="11.125" style="89" customWidth="1"/>
    <col min="7429" max="7429" width="9.875" style="89" customWidth="1"/>
    <col min="7430" max="7430" width="11.625" style="89" customWidth="1"/>
    <col min="7431" max="7431" width="6.125" style="89" customWidth="1"/>
    <col min="7432" max="7432" width="9" style="89" customWidth="1"/>
    <col min="7433" max="7433" width="9.875" style="89" customWidth="1"/>
    <col min="7434" max="7434" width="9.25" style="89" customWidth="1"/>
    <col min="7435" max="7679" width="9" style="89"/>
    <col min="7680" max="7680" width="6.5" style="89" customWidth="1"/>
    <col min="7681" max="7681" width="29.125" style="89" customWidth="1"/>
    <col min="7682" max="7682" width="7.75" style="89" customWidth="1"/>
    <col min="7683" max="7683" width="8.25" style="89" customWidth="1"/>
    <col min="7684" max="7684" width="11.125" style="89" customWidth="1"/>
    <col min="7685" max="7685" width="9.875" style="89" customWidth="1"/>
    <col min="7686" max="7686" width="11.625" style="89" customWidth="1"/>
    <col min="7687" max="7687" width="6.125" style="89" customWidth="1"/>
    <col min="7688" max="7688" width="9" style="89" customWidth="1"/>
    <col min="7689" max="7689" width="9.875" style="89" customWidth="1"/>
    <col min="7690" max="7690" width="9.25" style="89" customWidth="1"/>
    <col min="7691" max="7935" width="9" style="89"/>
    <col min="7936" max="7936" width="6.5" style="89" customWidth="1"/>
    <col min="7937" max="7937" width="29.125" style="89" customWidth="1"/>
    <col min="7938" max="7938" width="7.75" style="89" customWidth="1"/>
    <col min="7939" max="7939" width="8.25" style="89" customWidth="1"/>
    <col min="7940" max="7940" width="11.125" style="89" customWidth="1"/>
    <col min="7941" max="7941" width="9.875" style="89" customWidth="1"/>
    <col min="7942" max="7942" width="11.625" style="89" customWidth="1"/>
    <col min="7943" max="7943" width="6.125" style="89" customWidth="1"/>
    <col min="7944" max="7944" width="9" style="89" customWidth="1"/>
    <col min="7945" max="7945" width="9.875" style="89" customWidth="1"/>
    <col min="7946" max="7946" width="9.25" style="89" customWidth="1"/>
    <col min="7947" max="8191" width="9" style="89"/>
    <col min="8192" max="8192" width="6.5" style="89" customWidth="1"/>
    <col min="8193" max="8193" width="29.125" style="89" customWidth="1"/>
    <col min="8194" max="8194" width="7.75" style="89" customWidth="1"/>
    <col min="8195" max="8195" width="8.25" style="89" customWidth="1"/>
    <col min="8196" max="8196" width="11.125" style="89" customWidth="1"/>
    <col min="8197" max="8197" width="9.875" style="89" customWidth="1"/>
    <col min="8198" max="8198" width="11.625" style="89" customWidth="1"/>
    <col min="8199" max="8199" width="6.125" style="89" customWidth="1"/>
    <col min="8200" max="8200" width="9" style="89" customWidth="1"/>
    <col min="8201" max="8201" width="9.875" style="89" customWidth="1"/>
    <col min="8202" max="8202" width="9.25" style="89" customWidth="1"/>
    <col min="8203" max="8447" width="9" style="89"/>
    <col min="8448" max="8448" width="6.5" style="89" customWidth="1"/>
    <col min="8449" max="8449" width="29.125" style="89" customWidth="1"/>
    <col min="8450" max="8450" width="7.75" style="89" customWidth="1"/>
    <col min="8451" max="8451" width="8.25" style="89" customWidth="1"/>
    <col min="8452" max="8452" width="11.125" style="89" customWidth="1"/>
    <col min="8453" max="8453" width="9.875" style="89" customWidth="1"/>
    <col min="8454" max="8454" width="11.625" style="89" customWidth="1"/>
    <col min="8455" max="8455" width="6.125" style="89" customWidth="1"/>
    <col min="8456" max="8456" width="9" style="89" customWidth="1"/>
    <col min="8457" max="8457" width="9.875" style="89" customWidth="1"/>
    <col min="8458" max="8458" width="9.25" style="89" customWidth="1"/>
    <col min="8459" max="8703" width="9" style="89"/>
    <col min="8704" max="8704" width="6.5" style="89" customWidth="1"/>
    <col min="8705" max="8705" width="29.125" style="89" customWidth="1"/>
    <col min="8706" max="8706" width="7.75" style="89" customWidth="1"/>
    <col min="8707" max="8707" width="8.25" style="89" customWidth="1"/>
    <col min="8708" max="8708" width="11.125" style="89" customWidth="1"/>
    <col min="8709" max="8709" width="9.875" style="89" customWidth="1"/>
    <col min="8710" max="8710" width="11.625" style="89" customWidth="1"/>
    <col min="8711" max="8711" width="6.125" style="89" customWidth="1"/>
    <col min="8712" max="8712" width="9" style="89" customWidth="1"/>
    <col min="8713" max="8713" width="9.875" style="89" customWidth="1"/>
    <col min="8714" max="8714" width="9.25" style="89" customWidth="1"/>
    <col min="8715" max="8959" width="9" style="89"/>
    <col min="8960" max="8960" width="6.5" style="89" customWidth="1"/>
    <col min="8961" max="8961" width="29.125" style="89" customWidth="1"/>
    <col min="8962" max="8962" width="7.75" style="89" customWidth="1"/>
    <col min="8963" max="8963" width="8.25" style="89" customWidth="1"/>
    <col min="8964" max="8964" width="11.125" style="89" customWidth="1"/>
    <col min="8965" max="8965" width="9.875" style="89" customWidth="1"/>
    <col min="8966" max="8966" width="11.625" style="89" customWidth="1"/>
    <col min="8967" max="8967" width="6.125" style="89" customWidth="1"/>
    <col min="8968" max="8968" width="9" style="89" customWidth="1"/>
    <col min="8969" max="8969" width="9.875" style="89" customWidth="1"/>
    <col min="8970" max="8970" width="9.25" style="89" customWidth="1"/>
    <col min="8971" max="9215" width="9" style="89"/>
    <col min="9216" max="9216" width="6.5" style="89" customWidth="1"/>
    <col min="9217" max="9217" width="29.125" style="89" customWidth="1"/>
    <col min="9218" max="9218" width="7.75" style="89" customWidth="1"/>
    <col min="9219" max="9219" width="8.25" style="89" customWidth="1"/>
    <col min="9220" max="9220" width="11.125" style="89" customWidth="1"/>
    <col min="9221" max="9221" width="9.875" style="89" customWidth="1"/>
    <col min="9222" max="9222" width="11.625" style="89" customWidth="1"/>
    <col min="9223" max="9223" width="6.125" style="89" customWidth="1"/>
    <col min="9224" max="9224" width="9" style="89" customWidth="1"/>
    <col min="9225" max="9225" width="9.875" style="89" customWidth="1"/>
    <col min="9226" max="9226" width="9.25" style="89" customWidth="1"/>
    <col min="9227" max="9471" width="9" style="89"/>
    <col min="9472" max="9472" width="6.5" style="89" customWidth="1"/>
    <col min="9473" max="9473" width="29.125" style="89" customWidth="1"/>
    <col min="9474" max="9474" width="7.75" style="89" customWidth="1"/>
    <col min="9475" max="9475" width="8.25" style="89" customWidth="1"/>
    <col min="9476" max="9476" width="11.125" style="89" customWidth="1"/>
    <col min="9477" max="9477" width="9.875" style="89" customWidth="1"/>
    <col min="9478" max="9478" width="11.625" style="89" customWidth="1"/>
    <col min="9479" max="9479" width="6.125" style="89" customWidth="1"/>
    <col min="9480" max="9480" width="9" style="89" customWidth="1"/>
    <col min="9481" max="9481" width="9.875" style="89" customWidth="1"/>
    <col min="9482" max="9482" width="9.25" style="89" customWidth="1"/>
    <col min="9483" max="9727" width="9" style="89"/>
    <col min="9728" max="9728" width="6.5" style="89" customWidth="1"/>
    <col min="9729" max="9729" width="29.125" style="89" customWidth="1"/>
    <col min="9730" max="9730" width="7.75" style="89" customWidth="1"/>
    <col min="9731" max="9731" width="8.25" style="89" customWidth="1"/>
    <col min="9732" max="9732" width="11.125" style="89" customWidth="1"/>
    <col min="9733" max="9733" width="9.875" style="89" customWidth="1"/>
    <col min="9734" max="9734" width="11.625" style="89" customWidth="1"/>
    <col min="9735" max="9735" width="6.125" style="89" customWidth="1"/>
    <col min="9736" max="9736" width="9" style="89" customWidth="1"/>
    <col min="9737" max="9737" width="9.875" style="89" customWidth="1"/>
    <col min="9738" max="9738" width="9.25" style="89" customWidth="1"/>
    <col min="9739" max="9983" width="9" style="89"/>
    <col min="9984" max="9984" width="6.5" style="89" customWidth="1"/>
    <col min="9985" max="9985" width="29.125" style="89" customWidth="1"/>
    <col min="9986" max="9986" width="7.75" style="89" customWidth="1"/>
    <col min="9987" max="9987" width="8.25" style="89" customWidth="1"/>
    <col min="9988" max="9988" width="11.125" style="89" customWidth="1"/>
    <col min="9989" max="9989" width="9.875" style="89" customWidth="1"/>
    <col min="9990" max="9990" width="11.625" style="89" customWidth="1"/>
    <col min="9991" max="9991" width="6.125" style="89" customWidth="1"/>
    <col min="9992" max="9992" width="9" style="89" customWidth="1"/>
    <col min="9993" max="9993" width="9.875" style="89" customWidth="1"/>
    <col min="9994" max="9994" width="9.25" style="89" customWidth="1"/>
    <col min="9995" max="10239" width="9" style="89"/>
    <col min="10240" max="10240" width="6.5" style="89" customWidth="1"/>
    <col min="10241" max="10241" width="29.125" style="89" customWidth="1"/>
    <col min="10242" max="10242" width="7.75" style="89" customWidth="1"/>
    <col min="10243" max="10243" width="8.25" style="89" customWidth="1"/>
    <col min="10244" max="10244" width="11.125" style="89" customWidth="1"/>
    <col min="10245" max="10245" width="9.875" style="89" customWidth="1"/>
    <col min="10246" max="10246" width="11.625" style="89" customWidth="1"/>
    <col min="10247" max="10247" width="6.125" style="89" customWidth="1"/>
    <col min="10248" max="10248" width="9" style="89" customWidth="1"/>
    <col min="10249" max="10249" width="9.875" style="89" customWidth="1"/>
    <col min="10250" max="10250" width="9.25" style="89" customWidth="1"/>
    <col min="10251" max="10495" width="9" style="89"/>
    <col min="10496" max="10496" width="6.5" style="89" customWidth="1"/>
    <col min="10497" max="10497" width="29.125" style="89" customWidth="1"/>
    <col min="10498" max="10498" width="7.75" style="89" customWidth="1"/>
    <col min="10499" max="10499" width="8.25" style="89" customWidth="1"/>
    <col min="10500" max="10500" width="11.125" style="89" customWidth="1"/>
    <col min="10501" max="10501" width="9.875" style="89" customWidth="1"/>
    <col min="10502" max="10502" width="11.625" style="89" customWidth="1"/>
    <col min="10503" max="10503" width="6.125" style="89" customWidth="1"/>
    <col min="10504" max="10504" width="9" style="89" customWidth="1"/>
    <col min="10505" max="10505" width="9.875" style="89" customWidth="1"/>
    <col min="10506" max="10506" width="9.25" style="89" customWidth="1"/>
    <col min="10507" max="10751" width="9" style="89"/>
    <col min="10752" max="10752" width="6.5" style="89" customWidth="1"/>
    <col min="10753" max="10753" width="29.125" style="89" customWidth="1"/>
    <col min="10754" max="10754" width="7.75" style="89" customWidth="1"/>
    <col min="10755" max="10755" width="8.25" style="89" customWidth="1"/>
    <col min="10756" max="10756" width="11.125" style="89" customWidth="1"/>
    <col min="10757" max="10757" width="9.875" style="89" customWidth="1"/>
    <col min="10758" max="10758" width="11.625" style="89" customWidth="1"/>
    <col min="10759" max="10759" width="6.125" style="89" customWidth="1"/>
    <col min="10760" max="10760" width="9" style="89" customWidth="1"/>
    <col min="10761" max="10761" width="9.875" style="89" customWidth="1"/>
    <col min="10762" max="10762" width="9.25" style="89" customWidth="1"/>
    <col min="10763" max="11007" width="9" style="89"/>
    <col min="11008" max="11008" width="6.5" style="89" customWidth="1"/>
    <col min="11009" max="11009" width="29.125" style="89" customWidth="1"/>
    <col min="11010" max="11010" width="7.75" style="89" customWidth="1"/>
    <col min="11011" max="11011" width="8.25" style="89" customWidth="1"/>
    <col min="11012" max="11012" width="11.125" style="89" customWidth="1"/>
    <col min="11013" max="11013" width="9.875" style="89" customWidth="1"/>
    <col min="11014" max="11014" width="11.625" style="89" customWidth="1"/>
    <col min="11015" max="11015" width="6.125" style="89" customWidth="1"/>
    <col min="11016" max="11016" width="9" style="89" customWidth="1"/>
    <col min="11017" max="11017" width="9.875" style="89" customWidth="1"/>
    <col min="11018" max="11018" width="9.25" style="89" customWidth="1"/>
    <col min="11019" max="11263" width="9" style="89"/>
    <col min="11264" max="11264" width="6.5" style="89" customWidth="1"/>
    <col min="11265" max="11265" width="29.125" style="89" customWidth="1"/>
    <col min="11266" max="11266" width="7.75" style="89" customWidth="1"/>
    <col min="11267" max="11267" width="8.25" style="89" customWidth="1"/>
    <col min="11268" max="11268" width="11.125" style="89" customWidth="1"/>
    <col min="11269" max="11269" width="9.875" style="89" customWidth="1"/>
    <col min="11270" max="11270" width="11.625" style="89" customWidth="1"/>
    <col min="11271" max="11271" width="6.125" style="89" customWidth="1"/>
    <col min="11272" max="11272" width="9" style="89" customWidth="1"/>
    <col min="11273" max="11273" width="9.875" style="89" customWidth="1"/>
    <col min="11274" max="11274" width="9.25" style="89" customWidth="1"/>
    <col min="11275" max="11519" width="9" style="89"/>
    <col min="11520" max="11520" width="6.5" style="89" customWidth="1"/>
    <col min="11521" max="11521" width="29.125" style="89" customWidth="1"/>
    <col min="11522" max="11522" width="7.75" style="89" customWidth="1"/>
    <col min="11523" max="11523" width="8.25" style="89" customWidth="1"/>
    <col min="11524" max="11524" width="11.125" style="89" customWidth="1"/>
    <col min="11525" max="11525" width="9.875" style="89" customWidth="1"/>
    <col min="11526" max="11526" width="11.625" style="89" customWidth="1"/>
    <col min="11527" max="11527" width="6.125" style="89" customWidth="1"/>
    <col min="11528" max="11528" width="9" style="89" customWidth="1"/>
    <col min="11529" max="11529" width="9.875" style="89" customWidth="1"/>
    <col min="11530" max="11530" width="9.25" style="89" customWidth="1"/>
    <col min="11531" max="11775" width="9" style="89"/>
    <col min="11776" max="11776" width="6.5" style="89" customWidth="1"/>
    <col min="11777" max="11777" width="29.125" style="89" customWidth="1"/>
    <col min="11778" max="11778" width="7.75" style="89" customWidth="1"/>
    <col min="11779" max="11779" width="8.25" style="89" customWidth="1"/>
    <col min="11780" max="11780" width="11.125" style="89" customWidth="1"/>
    <col min="11781" max="11781" width="9.875" style="89" customWidth="1"/>
    <col min="11782" max="11782" width="11.625" style="89" customWidth="1"/>
    <col min="11783" max="11783" width="6.125" style="89" customWidth="1"/>
    <col min="11784" max="11784" width="9" style="89" customWidth="1"/>
    <col min="11785" max="11785" width="9.875" style="89" customWidth="1"/>
    <col min="11786" max="11786" width="9.25" style="89" customWidth="1"/>
    <col min="11787" max="12031" width="9" style="89"/>
    <col min="12032" max="12032" width="6.5" style="89" customWidth="1"/>
    <col min="12033" max="12033" width="29.125" style="89" customWidth="1"/>
    <col min="12034" max="12034" width="7.75" style="89" customWidth="1"/>
    <col min="12035" max="12035" width="8.25" style="89" customWidth="1"/>
    <col min="12036" max="12036" width="11.125" style="89" customWidth="1"/>
    <col min="12037" max="12037" width="9.875" style="89" customWidth="1"/>
    <col min="12038" max="12038" width="11.625" style="89" customWidth="1"/>
    <col min="12039" max="12039" width="6.125" style="89" customWidth="1"/>
    <col min="12040" max="12040" width="9" style="89" customWidth="1"/>
    <col min="12041" max="12041" width="9.875" style="89" customWidth="1"/>
    <col min="12042" max="12042" width="9.25" style="89" customWidth="1"/>
    <col min="12043" max="12287" width="9" style="89"/>
    <col min="12288" max="12288" width="6.5" style="89" customWidth="1"/>
    <col min="12289" max="12289" width="29.125" style="89" customWidth="1"/>
    <col min="12290" max="12290" width="7.75" style="89" customWidth="1"/>
    <col min="12291" max="12291" width="8.25" style="89" customWidth="1"/>
    <col min="12292" max="12292" width="11.125" style="89" customWidth="1"/>
    <col min="12293" max="12293" width="9.875" style="89" customWidth="1"/>
    <col min="12294" max="12294" width="11.625" style="89" customWidth="1"/>
    <col min="12295" max="12295" width="6.125" style="89" customWidth="1"/>
    <col min="12296" max="12296" width="9" style="89" customWidth="1"/>
    <col min="12297" max="12297" width="9.875" style="89" customWidth="1"/>
    <col min="12298" max="12298" width="9.25" style="89" customWidth="1"/>
    <col min="12299" max="12543" width="9" style="89"/>
    <col min="12544" max="12544" width="6.5" style="89" customWidth="1"/>
    <col min="12545" max="12545" width="29.125" style="89" customWidth="1"/>
    <col min="12546" max="12546" width="7.75" style="89" customWidth="1"/>
    <col min="12547" max="12547" width="8.25" style="89" customWidth="1"/>
    <col min="12548" max="12548" width="11.125" style="89" customWidth="1"/>
    <col min="12549" max="12549" width="9.875" style="89" customWidth="1"/>
    <col min="12550" max="12550" width="11.625" style="89" customWidth="1"/>
    <col min="12551" max="12551" width="6.125" style="89" customWidth="1"/>
    <col min="12552" max="12552" width="9" style="89" customWidth="1"/>
    <col min="12553" max="12553" width="9.875" style="89" customWidth="1"/>
    <col min="12554" max="12554" width="9.25" style="89" customWidth="1"/>
    <col min="12555" max="12799" width="9" style="89"/>
    <col min="12800" max="12800" width="6.5" style="89" customWidth="1"/>
    <col min="12801" max="12801" width="29.125" style="89" customWidth="1"/>
    <col min="12802" max="12802" width="7.75" style="89" customWidth="1"/>
    <col min="12803" max="12803" width="8.25" style="89" customWidth="1"/>
    <col min="12804" max="12804" width="11.125" style="89" customWidth="1"/>
    <col min="12805" max="12805" width="9.875" style="89" customWidth="1"/>
    <col min="12806" max="12806" width="11.625" style="89" customWidth="1"/>
    <col min="12807" max="12807" width="6.125" style="89" customWidth="1"/>
    <col min="12808" max="12808" width="9" style="89" customWidth="1"/>
    <col min="12809" max="12809" width="9.875" style="89" customWidth="1"/>
    <col min="12810" max="12810" width="9.25" style="89" customWidth="1"/>
    <col min="12811" max="13055" width="9" style="89"/>
    <col min="13056" max="13056" width="6.5" style="89" customWidth="1"/>
    <col min="13057" max="13057" width="29.125" style="89" customWidth="1"/>
    <col min="13058" max="13058" width="7.75" style="89" customWidth="1"/>
    <col min="13059" max="13059" width="8.25" style="89" customWidth="1"/>
    <col min="13060" max="13060" width="11.125" style="89" customWidth="1"/>
    <col min="13061" max="13061" width="9.875" style="89" customWidth="1"/>
    <col min="13062" max="13062" width="11.625" style="89" customWidth="1"/>
    <col min="13063" max="13063" width="6.125" style="89" customWidth="1"/>
    <col min="13064" max="13064" width="9" style="89" customWidth="1"/>
    <col min="13065" max="13065" width="9.875" style="89" customWidth="1"/>
    <col min="13066" max="13066" width="9.25" style="89" customWidth="1"/>
    <col min="13067" max="13311" width="9" style="89"/>
    <col min="13312" max="13312" width="6.5" style="89" customWidth="1"/>
    <col min="13313" max="13313" width="29.125" style="89" customWidth="1"/>
    <col min="13314" max="13314" width="7.75" style="89" customWidth="1"/>
    <col min="13315" max="13315" width="8.25" style="89" customWidth="1"/>
    <col min="13316" max="13316" width="11.125" style="89" customWidth="1"/>
    <col min="13317" max="13317" width="9.875" style="89" customWidth="1"/>
    <col min="13318" max="13318" width="11.625" style="89" customWidth="1"/>
    <col min="13319" max="13319" width="6.125" style="89" customWidth="1"/>
    <col min="13320" max="13320" width="9" style="89" customWidth="1"/>
    <col min="13321" max="13321" width="9.875" style="89" customWidth="1"/>
    <col min="13322" max="13322" width="9.25" style="89" customWidth="1"/>
    <col min="13323" max="13567" width="9" style="89"/>
    <col min="13568" max="13568" width="6.5" style="89" customWidth="1"/>
    <col min="13569" max="13569" width="29.125" style="89" customWidth="1"/>
    <col min="13570" max="13570" width="7.75" style="89" customWidth="1"/>
    <col min="13571" max="13571" width="8.25" style="89" customWidth="1"/>
    <col min="13572" max="13572" width="11.125" style="89" customWidth="1"/>
    <col min="13573" max="13573" width="9.875" style="89" customWidth="1"/>
    <col min="13574" max="13574" width="11.625" style="89" customWidth="1"/>
    <col min="13575" max="13575" width="6.125" style="89" customWidth="1"/>
    <col min="13576" max="13576" width="9" style="89" customWidth="1"/>
    <col min="13577" max="13577" width="9.875" style="89" customWidth="1"/>
    <col min="13578" max="13578" width="9.25" style="89" customWidth="1"/>
    <col min="13579" max="13823" width="9" style="89"/>
    <col min="13824" max="13824" width="6.5" style="89" customWidth="1"/>
    <col min="13825" max="13825" width="29.125" style="89" customWidth="1"/>
    <col min="13826" max="13826" width="7.75" style="89" customWidth="1"/>
    <col min="13827" max="13827" width="8.25" style="89" customWidth="1"/>
    <col min="13828" max="13828" width="11.125" style="89" customWidth="1"/>
    <col min="13829" max="13829" width="9.875" style="89" customWidth="1"/>
    <col min="13830" max="13830" width="11.625" style="89" customWidth="1"/>
    <col min="13831" max="13831" width="6.125" style="89" customWidth="1"/>
    <col min="13832" max="13832" width="9" style="89" customWidth="1"/>
    <col min="13833" max="13833" width="9.875" style="89" customWidth="1"/>
    <col min="13834" max="13834" width="9.25" style="89" customWidth="1"/>
    <col min="13835" max="14079" width="9" style="89"/>
    <col min="14080" max="14080" width="6.5" style="89" customWidth="1"/>
    <col min="14081" max="14081" width="29.125" style="89" customWidth="1"/>
    <col min="14082" max="14082" width="7.75" style="89" customWidth="1"/>
    <col min="14083" max="14083" width="8.25" style="89" customWidth="1"/>
    <col min="14084" max="14084" width="11.125" style="89" customWidth="1"/>
    <col min="14085" max="14085" width="9.875" style="89" customWidth="1"/>
    <col min="14086" max="14086" width="11.625" style="89" customWidth="1"/>
    <col min="14087" max="14087" width="6.125" style="89" customWidth="1"/>
    <col min="14088" max="14088" width="9" style="89" customWidth="1"/>
    <col min="14089" max="14089" width="9.875" style="89" customWidth="1"/>
    <col min="14090" max="14090" width="9.25" style="89" customWidth="1"/>
    <col min="14091" max="14335" width="9" style="89"/>
    <col min="14336" max="14336" width="6.5" style="89" customWidth="1"/>
    <col min="14337" max="14337" width="29.125" style="89" customWidth="1"/>
    <col min="14338" max="14338" width="7.75" style="89" customWidth="1"/>
    <col min="14339" max="14339" width="8.25" style="89" customWidth="1"/>
    <col min="14340" max="14340" width="11.125" style="89" customWidth="1"/>
    <col min="14341" max="14341" width="9.875" style="89" customWidth="1"/>
    <col min="14342" max="14342" width="11.625" style="89" customWidth="1"/>
    <col min="14343" max="14343" width="6.125" style="89" customWidth="1"/>
    <col min="14344" max="14344" width="9" style="89" customWidth="1"/>
    <col min="14345" max="14345" width="9.875" style="89" customWidth="1"/>
    <col min="14346" max="14346" width="9.25" style="89" customWidth="1"/>
    <col min="14347" max="14591" width="9" style="89"/>
    <col min="14592" max="14592" width="6.5" style="89" customWidth="1"/>
    <col min="14593" max="14593" width="29.125" style="89" customWidth="1"/>
    <col min="14594" max="14594" width="7.75" style="89" customWidth="1"/>
    <col min="14595" max="14595" width="8.25" style="89" customWidth="1"/>
    <col min="14596" max="14596" width="11.125" style="89" customWidth="1"/>
    <col min="14597" max="14597" width="9.875" style="89" customWidth="1"/>
    <col min="14598" max="14598" width="11.625" style="89" customWidth="1"/>
    <col min="14599" max="14599" width="6.125" style="89" customWidth="1"/>
    <col min="14600" max="14600" width="9" style="89" customWidth="1"/>
    <col min="14601" max="14601" width="9.875" style="89" customWidth="1"/>
    <col min="14602" max="14602" width="9.25" style="89" customWidth="1"/>
    <col min="14603" max="14847" width="9" style="89"/>
    <col min="14848" max="14848" width="6.5" style="89" customWidth="1"/>
    <col min="14849" max="14849" width="29.125" style="89" customWidth="1"/>
    <col min="14850" max="14850" width="7.75" style="89" customWidth="1"/>
    <col min="14851" max="14851" width="8.25" style="89" customWidth="1"/>
    <col min="14852" max="14852" width="11.125" style="89" customWidth="1"/>
    <col min="14853" max="14853" width="9.875" style="89" customWidth="1"/>
    <col min="14854" max="14854" width="11.625" style="89" customWidth="1"/>
    <col min="14855" max="14855" width="6.125" style="89" customWidth="1"/>
    <col min="14856" max="14856" width="9" style="89" customWidth="1"/>
    <col min="14857" max="14857" width="9.875" style="89" customWidth="1"/>
    <col min="14858" max="14858" width="9.25" style="89" customWidth="1"/>
    <col min="14859" max="15103" width="9" style="89"/>
    <col min="15104" max="15104" width="6.5" style="89" customWidth="1"/>
    <col min="15105" max="15105" width="29.125" style="89" customWidth="1"/>
    <col min="15106" max="15106" width="7.75" style="89" customWidth="1"/>
    <col min="15107" max="15107" width="8.25" style="89" customWidth="1"/>
    <col min="15108" max="15108" width="11.125" style="89" customWidth="1"/>
    <col min="15109" max="15109" width="9.875" style="89" customWidth="1"/>
    <col min="15110" max="15110" width="11.625" style="89" customWidth="1"/>
    <col min="15111" max="15111" width="6.125" style="89" customWidth="1"/>
    <col min="15112" max="15112" width="9" style="89" customWidth="1"/>
    <col min="15113" max="15113" width="9.875" style="89" customWidth="1"/>
    <col min="15114" max="15114" width="9.25" style="89" customWidth="1"/>
    <col min="15115" max="15359" width="9" style="89"/>
    <col min="15360" max="15360" width="6.5" style="89" customWidth="1"/>
    <col min="15361" max="15361" width="29.125" style="89" customWidth="1"/>
    <col min="15362" max="15362" width="7.75" style="89" customWidth="1"/>
    <col min="15363" max="15363" width="8.25" style="89" customWidth="1"/>
    <col min="15364" max="15364" width="11.125" style="89" customWidth="1"/>
    <col min="15365" max="15365" width="9.875" style="89" customWidth="1"/>
    <col min="15366" max="15366" width="11.625" style="89" customWidth="1"/>
    <col min="15367" max="15367" width="6.125" style="89" customWidth="1"/>
    <col min="15368" max="15368" width="9" style="89" customWidth="1"/>
    <col min="15369" max="15369" width="9.875" style="89" customWidth="1"/>
    <col min="15370" max="15370" width="9.25" style="89" customWidth="1"/>
    <col min="15371" max="15615" width="9" style="89"/>
    <col min="15616" max="15616" width="6.5" style="89" customWidth="1"/>
    <col min="15617" max="15617" width="29.125" style="89" customWidth="1"/>
    <col min="15618" max="15618" width="7.75" style="89" customWidth="1"/>
    <col min="15619" max="15619" width="8.25" style="89" customWidth="1"/>
    <col min="15620" max="15620" width="11.125" style="89" customWidth="1"/>
    <col min="15621" max="15621" width="9.875" style="89" customWidth="1"/>
    <col min="15622" max="15622" width="11.625" style="89" customWidth="1"/>
    <col min="15623" max="15623" width="6.125" style="89" customWidth="1"/>
    <col min="15624" max="15624" width="9" style="89" customWidth="1"/>
    <col min="15625" max="15625" width="9.875" style="89" customWidth="1"/>
    <col min="15626" max="15626" width="9.25" style="89" customWidth="1"/>
    <col min="15627" max="15871" width="9" style="89"/>
    <col min="15872" max="15872" width="6.5" style="89" customWidth="1"/>
    <col min="15873" max="15873" width="29.125" style="89" customWidth="1"/>
    <col min="15874" max="15874" width="7.75" style="89" customWidth="1"/>
    <col min="15875" max="15875" width="8.25" style="89" customWidth="1"/>
    <col min="15876" max="15876" width="11.125" style="89" customWidth="1"/>
    <col min="15877" max="15877" width="9.875" style="89" customWidth="1"/>
    <col min="15878" max="15878" width="11.625" style="89" customWidth="1"/>
    <col min="15879" max="15879" width="6.125" style="89" customWidth="1"/>
    <col min="15880" max="15880" width="9" style="89" customWidth="1"/>
    <col min="15881" max="15881" width="9.875" style="89" customWidth="1"/>
    <col min="15882" max="15882" width="9.25" style="89" customWidth="1"/>
    <col min="15883" max="16127" width="9" style="89"/>
    <col min="16128" max="16128" width="6.5" style="89" customWidth="1"/>
    <col min="16129" max="16129" width="29.125" style="89" customWidth="1"/>
    <col min="16130" max="16130" width="7.75" style="89" customWidth="1"/>
    <col min="16131" max="16131" width="8.25" style="89" customWidth="1"/>
    <col min="16132" max="16132" width="11.125" style="89" customWidth="1"/>
    <col min="16133" max="16133" width="9.875" style="89" customWidth="1"/>
    <col min="16134" max="16134" width="11.625" style="89" customWidth="1"/>
    <col min="16135" max="16135" width="6.125" style="89" customWidth="1"/>
    <col min="16136" max="16136" width="9" style="89" customWidth="1"/>
    <col min="16137" max="16137" width="9.875" style="89" customWidth="1"/>
    <col min="16138" max="16138" width="9.25" style="89" customWidth="1"/>
    <col min="16139" max="16384" width="9" style="89"/>
  </cols>
  <sheetData>
    <row r="1" ht="24.75" customHeight="1" spans="1:11">
      <c r="A1" s="94" t="s">
        <v>0</v>
      </c>
      <c r="B1" s="95"/>
      <c r="C1" s="95"/>
      <c r="D1" s="95"/>
      <c r="E1" s="95"/>
      <c r="F1" s="95"/>
      <c r="G1" s="95"/>
      <c r="H1" s="95"/>
      <c r="I1" s="95"/>
      <c r="J1" s="95"/>
      <c r="K1" s="95"/>
    </row>
    <row r="2" s="86" customFormat="1" ht="19.5" customHeight="1" spans="1:15">
      <c r="A2" s="96" t="s">
        <v>1</v>
      </c>
      <c r="B2" s="96"/>
      <c r="C2" s="96"/>
      <c r="D2" s="96"/>
      <c r="E2" s="96"/>
      <c r="F2" s="96"/>
      <c r="G2" s="96"/>
      <c r="H2" s="96"/>
      <c r="I2" s="96"/>
      <c r="J2" s="96"/>
      <c r="K2" s="96"/>
      <c r="M2" s="117"/>
      <c r="N2" s="118" t="s">
        <v>2</v>
      </c>
      <c r="O2" s="117" t="s">
        <v>3</v>
      </c>
    </row>
    <row r="3" s="86" customFormat="1" ht="15" customHeight="1" spans="1:15">
      <c r="A3" s="97" t="s">
        <v>4</v>
      </c>
      <c r="B3" s="98" t="s">
        <v>5</v>
      </c>
      <c r="C3" s="98" t="s">
        <v>6</v>
      </c>
      <c r="D3" s="98"/>
      <c r="E3" s="98"/>
      <c r="F3" s="98"/>
      <c r="G3" s="98"/>
      <c r="H3" s="98" t="s">
        <v>7</v>
      </c>
      <c r="I3" s="98"/>
      <c r="J3" s="98"/>
      <c r="K3" s="99" t="s">
        <v>8</v>
      </c>
      <c r="M3" s="117"/>
      <c r="N3" s="119"/>
      <c r="O3" s="117"/>
    </row>
    <row r="4" s="86" customFormat="1" ht="12" customHeight="1" spans="1:15">
      <c r="A4" s="97"/>
      <c r="B4" s="98"/>
      <c r="C4" s="99" t="s">
        <v>9</v>
      </c>
      <c r="D4" s="99" t="s">
        <v>10</v>
      </c>
      <c r="E4" s="99" t="s">
        <v>11</v>
      </c>
      <c r="F4" s="99" t="s">
        <v>12</v>
      </c>
      <c r="G4" s="100" t="s">
        <v>13</v>
      </c>
      <c r="H4" s="98" t="s">
        <v>14</v>
      </c>
      <c r="I4" s="98" t="s">
        <v>15</v>
      </c>
      <c r="J4" s="98" t="s">
        <v>16</v>
      </c>
      <c r="K4" s="98"/>
      <c r="M4" s="117"/>
      <c r="N4" s="119"/>
      <c r="O4" s="117"/>
    </row>
    <row r="5" s="87" customFormat="1" ht="18" customHeight="1" spans="1:15">
      <c r="A5" s="101"/>
      <c r="B5" s="102" t="s">
        <v>17</v>
      </c>
      <c r="C5" s="103">
        <f>SUM(C8,C31,C46,C49,C50)</f>
        <v>0</v>
      </c>
      <c r="D5" s="103">
        <f>SUM(D8,D31,D46,D49,D50)</f>
        <v>0</v>
      </c>
      <c r="E5" s="103">
        <f>SUM(E8,E31,E46,E49,E50)</f>
        <v>1814.60282379</v>
      </c>
      <c r="F5" s="103">
        <f>F31+F46</f>
        <v>258.506752386891</v>
      </c>
      <c r="G5" s="104">
        <f>G8+G31+G46-0.01</f>
        <v>2073.09957617689</v>
      </c>
      <c r="H5" s="105"/>
      <c r="I5" s="105"/>
      <c r="J5" s="120"/>
      <c r="K5" s="121">
        <f>G5/G$5</f>
        <v>1</v>
      </c>
      <c r="M5" s="122"/>
      <c r="N5" s="123"/>
      <c r="O5" s="122"/>
    </row>
    <row r="6" ht="18" hidden="1" customHeight="1" spans="1:14">
      <c r="A6" s="106"/>
      <c r="B6" s="102" t="s">
        <v>18</v>
      </c>
      <c r="C6" s="103">
        <f>SUM(C8,C31,C46)</f>
        <v>0</v>
      </c>
      <c r="D6" s="103">
        <f>SUM(D8,D31,D46)</f>
        <v>0</v>
      </c>
      <c r="E6" s="103">
        <f>SUM(E8,E31,E46)</f>
        <v>1814.60282379</v>
      </c>
      <c r="F6" s="103">
        <f>SUM(F8,F31,F46)</f>
        <v>258.506752386891</v>
      </c>
      <c r="G6" s="104">
        <f>SUM(C6:F6)</f>
        <v>2073.10957617689</v>
      </c>
      <c r="H6" s="98"/>
      <c r="I6" s="98"/>
      <c r="J6" s="124"/>
      <c r="K6" s="125">
        <f>G6/G$5</f>
        <v>1.00000482369497</v>
      </c>
      <c r="N6" s="123"/>
    </row>
    <row r="7" ht="18" hidden="1" customHeight="1" spans="1:14">
      <c r="A7" s="106"/>
      <c r="B7" s="102"/>
      <c r="C7" s="103"/>
      <c r="D7" s="103"/>
      <c r="E7" s="103"/>
      <c r="F7" s="103"/>
      <c r="G7" s="103"/>
      <c r="H7" s="98"/>
      <c r="I7" s="98"/>
      <c r="J7" s="124"/>
      <c r="K7" s="125"/>
      <c r="N7" s="123"/>
    </row>
    <row r="8" s="87" customFormat="1" ht="18" customHeight="1" spans="1:15">
      <c r="A8" s="101" t="s">
        <v>19</v>
      </c>
      <c r="B8" s="102" t="s">
        <v>20</v>
      </c>
      <c r="C8" s="103">
        <f>SUM(C9,)</f>
        <v>0</v>
      </c>
      <c r="D8" s="103">
        <f t="shared" ref="D8:F8" si="0">SUM(D9,)</f>
        <v>0</v>
      </c>
      <c r="E8" s="103">
        <f t="shared" si="0"/>
        <v>1814.60282379</v>
      </c>
      <c r="F8" s="103">
        <f t="shared" si="0"/>
        <v>0</v>
      </c>
      <c r="G8" s="104">
        <f>SUM(C8:F8)</f>
        <v>1814.60282379</v>
      </c>
      <c r="H8" s="98"/>
      <c r="I8" s="124"/>
      <c r="J8" s="107"/>
      <c r="K8" s="121">
        <f>G8/G$5</f>
        <v>0.875309051548987</v>
      </c>
      <c r="M8" s="122"/>
      <c r="N8" s="123"/>
      <c r="O8" s="122"/>
    </row>
    <row r="9" s="87" customFormat="1" ht="18" customHeight="1" spans="1:15">
      <c r="A9" s="101" t="s">
        <v>21</v>
      </c>
      <c r="B9" s="102" t="s">
        <v>22</v>
      </c>
      <c r="C9" s="103">
        <f>SUM(C10:C30)</f>
        <v>0</v>
      </c>
      <c r="D9" s="103">
        <f>SUM(D10:D30)</f>
        <v>0</v>
      </c>
      <c r="E9" s="103">
        <f>SUM(E10:E30)</f>
        <v>1814.60282379</v>
      </c>
      <c r="F9" s="103">
        <f>SUM(F10:F30)</f>
        <v>0</v>
      </c>
      <c r="G9" s="104">
        <f>SUM(C9:F9)</f>
        <v>1814.60282379</v>
      </c>
      <c r="H9" s="107" t="s">
        <v>23</v>
      </c>
      <c r="I9" s="124">
        <f>SUM(I10:I30)</f>
        <v>42017</v>
      </c>
      <c r="J9" s="107">
        <f>G9/I9*10000</f>
        <v>431.873485443987</v>
      </c>
      <c r="K9" s="121"/>
      <c r="M9" s="122"/>
      <c r="N9" s="123"/>
      <c r="O9" s="122"/>
    </row>
    <row r="10" s="87" customFormat="1" ht="15.75" spans="1:15">
      <c r="A10" s="106" t="s">
        <v>24</v>
      </c>
      <c r="B10" s="108" t="str">
        <f>单项概算!B4</f>
        <v>新利社区片区天然气管道工程</v>
      </c>
      <c r="C10" s="107"/>
      <c r="D10" s="107"/>
      <c r="E10" s="107">
        <f>单项概算!H69/10000</f>
        <v>99.35986679</v>
      </c>
      <c r="F10" s="107"/>
      <c r="G10" s="107">
        <f t="shared" ref="G10:G35" si="1">SUM(C10:F10)</f>
        <v>99.35986679</v>
      </c>
      <c r="H10" s="107" t="s">
        <v>23</v>
      </c>
      <c r="I10" s="124">
        <v>3050</v>
      </c>
      <c r="J10" s="107">
        <f t="shared" ref="J10:J14" si="2">G10/I10*10000</f>
        <v>325.77005504918</v>
      </c>
      <c r="K10" s="125"/>
      <c r="M10" s="122"/>
      <c r="N10" s="123" t="e">
        <f>'2024燃气概算'!#REF!</f>
        <v>#REF!</v>
      </c>
      <c r="O10" s="122" t="e">
        <f t="shared" ref="O10:O14" si="3">G10/N10*10000</f>
        <v>#REF!</v>
      </c>
    </row>
    <row r="11" s="87" customFormat="1" ht="18" customHeight="1" spans="1:15">
      <c r="A11" s="106" t="s">
        <v>25</v>
      </c>
      <c r="B11" s="109" t="str">
        <f>单项概算!B70</f>
        <v>唐徕社区片区天然气管道工程</v>
      </c>
      <c r="C11" s="107"/>
      <c r="D11" s="107"/>
      <c r="E11" s="107">
        <f>单项概算!H136/10000</f>
        <v>188.443713</v>
      </c>
      <c r="F11" s="107"/>
      <c r="G11" s="107">
        <f t="shared" si="1"/>
        <v>188.443713</v>
      </c>
      <c r="H11" s="107" t="s">
        <v>23</v>
      </c>
      <c r="I11" s="124">
        <f>SUM(单项概算!F71:F77)</f>
        <v>3035</v>
      </c>
      <c r="J11" s="107">
        <f t="shared" si="2"/>
        <v>620.901855024712</v>
      </c>
      <c r="K11" s="125"/>
      <c r="M11" s="122"/>
      <c r="N11" s="123" t="e">
        <f>'2024燃气概算'!#REF!</f>
        <v>#REF!</v>
      </c>
      <c r="O11" s="122" t="e">
        <f t="shared" si="3"/>
        <v>#REF!</v>
      </c>
    </row>
    <row r="12" s="87" customFormat="1" ht="18" customHeight="1" spans="1:15">
      <c r="A12" s="106" t="s">
        <v>26</v>
      </c>
      <c r="B12" s="109" t="str">
        <f>单项概算!B137</f>
        <v>星海社区片区天然气管道工程</v>
      </c>
      <c r="C12" s="107"/>
      <c r="D12" s="107"/>
      <c r="E12" s="107">
        <f>单项概算!H176/10000</f>
        <v>16.13825871</v>
      </c>
      <c r="F12" s="107"/>
      <c r="G12" s="107">
        <f t="shared" si="1"/>
        <v>16.13825871</v>
      </c>
      <c r="H12" s="107" t="s">
        <v>23</v>
      </c>
      <c r="I12" s="124">
        <f>SUM(单项概算!F138:F140)</f>
        <v>491</v>
      </c>
      <c r="J12" s="107">
        <f t="shared" si="2"/>
        <v>328.6814401222</v>
      </c>
      <c r="K12" s="125"/>
      <c r="M12" s="122"/>
      <c r="N12" s="123" t="e">
        <f>'2024燃气概算'!#REF!</f>
        <v>#REF!</v>
      </c>
      <c r="O12" s="122" t="e">
        <f t="shared" si="3"/>
        <v>#REF!</v>
      </c>
    </row>
    <row r="13" s="87" customFormat="1" ht="18" customHeight="1" spans="1:15">
      <c r="A13" s="106" t="s">
        <v>27</v>
      </c>
      <c r="B13" s="109" t="str">
        <f>单项概算!B177</f>
        <v>和平社区片区天然气管道工程</v>
      </c>
      <c r="C13" s="107"/>
      <c r="D13" s="107"/>
      <c r="E13" s="107">
        <f>单项概算!H246/10000</f>
        <v>130.648244625</v>
      </c>
      <c r="F13" s="107"/>
      <c r="G13" s="107">
        <f t="shared" si="1"/>
        <v>130.648244625</v>
      </c>
      <c r="H13" s="107" t="s">
        <v>23</v>
      </c>
      <c r="I13" s="124">
        <f>SUM(单项概算!F178:F185)</f>
        <v>2984</v>
      </c>
      <c r="J13" s="107">
        <f t="shared" si="2"/>
        <v>437.829238019437</v>
      </c>
      <c r="K13" s="125"/>
      <c r="M13" s="122"/>
      <c r="N13" s="123" t="e">
        <f>'2024燃气概算'!#REF!</f>
        <v>#REF!</v>
      </c>
      <c r="O13" s="122" t="e">
        <f t="shared" si="3"/>
        <v>#REF!</v>
      </c>
    </row>
    <row r="14" s="87" customFormat="1" ht="17.25" customHeight="1" spans="1:15">
      <c r="A14" s="106" t="s">
        <v>28</v>
      </c>
      <c r="B14" s="109" t="str">
        <f>单项概算!B247</f>
        <v>玉皇阁社区片区一</v>
      </c>
      <c r="C14" s="107"/>
      <c r="D14" s="107"/>
      <c r="E14" s="107">
        <f>单项概算!H314/10000</f>
        <v>95.90150781</v>
      </c>
      <c r="F14" s="107"/>
      <c r="G14" s="107">
        <f t="shared" si="1"/>
        <v>95.90150781</v>
      </c>
      <c r="H14" s="107" t="s">
        <v>23</v>
      </c>
      <c r="I14" s="124">
        <f>SUM(单项概算!F248:F255)</f>
        <v>2424</v>
      </c>
      <c r="J14" s="107">
        <f t="shared" si="2"/>
        <v>395.633283044554</v>
      </c>
      <c r="K14" s="125"/>
      <c r="M14" s="122"/>
      <c r="N14" s="123" t="e">
        <f>'2024燃气概算'!#REF!</f>
        <v>#REF!</v>
      </c>
      <c r="O14" s="122" t="e">
        <f t="shared" si="3"/>
        <v>#REF!</v>
      </c>
    </row>
    <row r="15" s="87" customFormat="1" ht="17.25" customHeight="1" spans="1:15">
      <c r="A15" s="106" t="s">
        <v>29</v>
      </c>
      <c r="B15" s="109" t="str">
        <f>单项概算!B315</f>
        <v>玉皇阁社区片区二</v>
      </c>
      <c r="C15" s="107"/>
      <c r="D15" s="107"/>
      <c r="E15" s="107">
        <f>单项概算!H376/10000</f>
        <v>178.64673792</v>
      </c>
      <c r="F15" s="107"/>
      <c r="G15" s="107">
        <f t="shared" ref="G15:G25" si="4">SUM(C15:F15)</f>
        <v>178.64673792</v>
      </c>
      <c r="H15" s="107" t="s">
        <v>23</v>
      </c>
      <c r="I15" s="124">
        <f>SUM(单项概算!F316:F322)</f>
        <v>4517</v>
      </c>
      <c r="J15" s="107">
        <f t="shared" ref="J15:J25" si="5">G15/I15*10000</f>
        <v>395.498644941333</v>
      </c>
      <c r="K15" s="125"/>
      <c r="M15" s="122"/>
      <c r="N15" s="123" t="e">
        <f>'2024燃气概算'!#REF!</f>
        <v>#REF!</v>
      </c>
      <c r="O15" s="122" t="e">
        <f t="shared" ref="O15:O25" si="6">G15/N15*10000</f>
        <v>#REF!</v>
      </c>
    </row>
    <row r="16" s="87" customFormat="1" ht="17.25" customHeight="1" spans="1:15">
      <c r="A16" s="106" t="s">
        <v>30</v>
      </c>
      <c r="B16" s="109" t="str">
        <f>单项概算!B377</f>
        <v>玉皇阁社区片区三</v>
      </c>
      <c r="C16" s="107"/>
      <c r="D16" s="107"/>
      <c r="E16" s="107">
        <f>单项概算!H433/10000</f>
        <v>183.0736982</v>
      </c>
      <c r="F16" s="107"/>
      <c r="G16" s="107">
        <f t="shared" si="4"/>
        <v>183.0736982</v>
      </c>
      <c r="H16" s="107" t="s">
        <v>23</v>
      </c>
      <c r="I16" s="124">
        <f>SUM(单项概算!F378:F383)</f>
        <v>4517</v>
      </c>
      <c r="J16" s="107">
        <f t="shared" si="5"/>
        <v>405.29930971884</v>
      </c>
      <c r="K16" s="125"/>
      <c r="M16" s="122"/>
      <c r="N16" s="123" t="e">
        <f>'2024燃气概算'!#REF!</f>
        <v>#REF!</v>
      </c>
      <c r="O16" s="122" t="e">
        <f t="shared" si="6"/>
        <v>#REF!</v>
      </c>
    </row>
    <row r="17" s="87" customFormat="1" ht="17.25" customHeight="1" spans="1:15">
      <c r="A17" s="106" t="s">
        <v>31</v>
      </c>
      <c r="B17" s="109" t="str">
        <f>单项概算!B434</f>
        <v>东苑社区片区</v>
      </c>
      <c r="C17" s="107"/>
      <c r="D17" s="107"/>
      <c r="E17" s="107">
        <f>单项概算!H495/10000</f>
        <v>122.126183075</v>
      </c>
      <c r="F17" s="107"/>
      <c r="G17" s="107">
        <f t="shared" si="4"/>
        <v>122.126183075</v>
      </c>
      <c r="H17" s="107" t="s">
        <v>23</v>
      </c>
      <c r="I17" s="124">
        <f>SUM(单项概算!F435:F440)</f>
        <v>2814</v>
      </c>
      <c r="J17" s="107">
        <f t="shared" si="5"/>
        <v>433.994964729922</v>
      </c>
      <c r="K17" s="125"/>
      <c r="M17" s="122"/>
      <c r="N17" s="123" t="e">
        <f>'2024燃气概算'!#REF!</f>
        <v>#REF!</v>
      </c>
      <c r="O17" s="122" t="e">
        <f t="shared" si="6"/>
        <v>#REF!</v>
      </c>
    </row>
    <row r="18" s="87" customFormat="1" ht="17.25" customHeight="1" spans="1:15">
      <c r="A18" s="106" t="s">
        <v>32</v>
      </c>
      <c r="B18" s="109" t="str">
        <f>单项概算!B496</f>
        <v>古城社区片区一</v>
      </c>
      <c r="C18" s="107"/>
      <c r="D18" s="107"/>
      <c r="E18" s="107">
        <f>单项概算!H547/10000</f>
        <v>106.470817815</v>
      </c>
      <c r="F18" s="107"/>
      <c r="G18" s="107">
        <f t="shared" si="4"/>
        <v>106.470817815</v>
      </c>
      <c r="H18" s="107" t="s">
        <v>23</v>
      </c>
      <c r="I18" s="124">
        <f>SUM(单项概算!F497:F501)</f>
        <v>2182</v>
      </c>
      <c r="J18" s="107">
        <f t="shared" si="5"/>
        <v>487.950585769936</v>
      </c>
      <c r="K18" s="125"/>
      <c r="M18" s="122"/>
      <c r="N18" s="123" t="e">
        <f>'2024燃气概算'!#REF!</f>
        <v>#REF!</v>
      </c>
      <c r="O18" s="122" t="e">
        <f t="shared" si="6"/>
        <v>#REF!</v>
      </c>
    </row>
    <row r="19" s="87" customFormat="1" ht="17.25" customHeight="1" spans="1:15">
      <c r="A19" s="106" t="s">
        <v>33</v>
      </c>
      <c r="B19" s="109" t="str">
        <f>单项概算!B548</f>
        <v>古城社区片区二</v>
      </c>
      <c r="C19" s="107"/>
      <c r="D19" s="107"/>
      <c r="E19" s="107">
        <f>单项概算!H637/10000</f>
        <v>166.598225255</v>
      </c>
      <c r="F19" s="107"/>
      <c r="G19" s="107">
        <f t="shared" si="4"/>
        <v>166.598225255</v>
      </c>
      <c r="H19" s="107" t="s">
        <v>23</v>
      </c>
      <c r="I19" s="124">
        <f>SUM(单项概算!F549:F556)</f>
        <v>4050</v>
      </c>
      <c r="J19" s="107">
        <f t="shared" si="5"/>
        <v>411.353642604938</v>
      </c>
      <c r="K19" s="125"/>
      <c r="M19" s="122"/>
      <c r="N19" s="123" t="e">
        <f>'2024燃气概算'!#REF!</f>
        <v>#REF!</v>
      </c>
      <c r="O19" s="122" t="e">
        <f t="shared" si="6"/>
        <v>#REF!</v>
      </c>
    </row>
    <row r="20" s="87" customFormat="1" ht="17.25" customHeight="1" spans="1:15">
      <c r="A20" s="106" t="s">
        <v>34</v>
      </c>
      <c r="B20" s="109" t="str">
        <f>单项概算!B638</f>
        <v>铁合金小区东侧小二楼</v>
      </c>
      <c r="C20" s="107"/>
      <c r="D20" s="107"/>
      <c r="E20" s="107">
        <f>单项概算!H675/10000</f>
        <v>5.42441043</v>
      </c>
      <c r="F20" s="107"/>
      <c r="G20" s="107">
        <f t="shared" si="4"/>
        <v>5.42441043</v>
      </c>
      <c r="H20" s="107" t="s">
        <v>23</v>
      </c>
      <c r="I20" s="124">
        <f>SUM(单项概算!F639:F642)</f>
        <v>171</v>
      </c>
      <c r="J20" s="107">
        <f t="shared" si="5"/>
        <v>317.216984210526</v>
      </c>
      <c r="K20" s="125"/>
      <c r="M20" s="122"/>
      <c r="N20" s="123" t="e">
        <f>'2024燃气概算'!#REF!</f>
        <v>#REF!</v>
      </c>
      <c r="O20" s="122" t="e">
        <f t="shared" si="6"/>
        <v>#REF!</v>
      </c>
    </row>
    <row r="21" s="87" customFormat="1" ht="15.75" spans="1:15">
      <c r="A21" s="106" t="s">
        <v>35</v>
      </c>
      <c r="B21" s="108" t="str">
        <f>单项概算!B676</f>
        <v>阳光社区（畜牧小区、运输小区等）</v>
      </c>
      <c r="C21" s="107"/>
      <c r="D21" s="107"/>
      <c r="E21" s="107">
        <f>单项概算!H720/10000</f>
        <v>23.33605841</v>
      </c>
      <c r="F21" s="107"/>
      <c r="G21" s="107">
        <f t="shared" si="4"/>
        <v>23.33605841</v>
      </c>
      <c r="H21" s="107" t="s">
        <v>23</v>
      </c>
      <c r="I21" s="124">
        <f>SUM(单项概算!F677:F683)</f>
        <v>693</v>
      </c>
      <c r="J21" s="107">
        <f t="shared" si="5"/>
        <v>336.73965959596</v>
      </c>
      <c r="K21" s="125"/>
      <c r="M21" s="122"/>
      <c r="N21" s="123" t="e">
        <f>'2024燃气概算'!#REF!</f>
        <v>#REF!</v>
      </c>
      <c r="O21" s="122" t="e">
        <f t="shared" si="6"/>
        <v>#REF!</v>
      </c>
    </row>
    <row r="22" s="87" customFormat="1" ht="24" spans="1:15">
      <c r="A22" s="106" t="s">
        <v>36</v>
      </c>
      <c r="B22" s="108" t="str">
        <f>单项概算!B721</f>
        <v>饮马湖社区（兰宁小区、舜玉楼、国志楼等）</v>
      </c>
      <c r="C22" s="107"/>
      <c r="D22" s="107"/>
      <c r="E22" s="107">
        <f>单项概算!H773/10000</f>
        <v>41.060899955</v>
      </c>
      <c r="F22" s="107"/>
      <c r="G22" s="107">
        <f t="shared" si="4"/>
        <v>41.060899955</v>
      </c>
      <c r="H22" s="107" t="s">
        <v>23</v>
      </c>
      <c r="I22" s="124">
        <f>SUM(单项概算!F722:F727)</f>
        <v>1238</v>
      </c>
      <c r="J22" s="107">
        <f t="shared" si="5"/>
        <v>331.671243578352</v>
      </c>
      <c r="K22" s="125"/>
      <c r="M22" s="122"/>
      <c r="N22" s="123" t="e">
        <f>'2024燃气概算'!#REF!</f>
        <v>#REF!</v>
      </c>
      <c r="O22" s="122" t="e">
        <f t="shared" si="6"/>
        <v>#REF!</v>
      </c>
    </row>
    <row r="23" s="87" customFormat="1" ht="15.75" spans="1:15">
      <c r="A23" s="106" t="s">
        <v>37</v>
      </c>
      <c r="B23" s="108" t="str">
        <f>单项概算!B774</f>
        <v>明苑社区（天主教堂对面自建房）</v>
      </c>
      <c r="C23" s="107"/>
      <c r="D23" s="107"/>
      <c r="E23" s="107">
        <f>单项概算!H810/10000</f>
        <v>15.983523435</v>
      </c>
      <c r="F23" s="107"/>
      <c r="G23" s="107">
        <f t="shared" si="4"/>
        <v>15.983523435</v>
      </c>
      <c r="H23" s="107" t="s">
        <v>23</v>
      </c>
      <c r="I23" s="124">
        <f>SUM(单项概算!F775:F778)</f>
        <v>398</v>
      </c>
      <c r="J23" s="107">
        <f t="shared" si="5"/>
        <v>401.59606620603</v>
      </c>
      <c r="K23" s="125"/>
      <c r="M23" s="122"/>
      <c r="N23" s="123" t="e">
        <f>'2024燃气概算'!#REF!</f>
        <v>#REF!</v>
      </c>
      <c r="O23" s="122" t="e">
        <f t="shared" si="6"/>
        <v>#REF!</v>
      </c>
    </row>
    <row r="24" s="87" customFormat="1" ht="17.25" customHeight="1" spans="1:15">
      <c r="A24" s="106" t="s">
        <v>38</v>
      </c>
      <c r="B24" s="109" t="str">
        <f>单项概算!B811</f>
        <v>鑫盛社区</v>
      </c>
      <c r="C24" s="107"/>
      <c r="D24" s="107"/>
      <c r="E24" s="107">
        <f>单项概算!H866/10000</f>
        <v>107.73377852</v>
      </c>
      <c r="F24" s="107"/>
      <c r="G24" s="107">
        <f t="shared" si="4"/>
        <v>107.73377852</v>
      </c>
      <c r="H24" s="107" t="s">
        <v>23</v>
      </c>
      <c r="I24" s="124">
        <f>SUM(单项概算!F812:F819)</f>
        <v>3055</v>
      </c>
      <c r="J24" s="107">
        <f t="shared" si="5"/>
        <v>352.647392864157</v>
      </c>
      <c r="K24" s="125"/>
      <c r="M24" s="122"/>
      <c r="N24" s="123" t="e">
        <f>'2024燃气概算'!#REF!</f>
        <v>#REF!</v>
      </c>
      <c r="O24" s="122" t="e">
        <f t="shared" si="6"/>
        <v>#REF!</v>
      </c>
    </row>
    <row r="25" s="87" customFormat="1" ht="17.25" customHeight="1" spans="1:15">
      <c r="A25" s="106" t="s">
        <v>39</v>
      </c>
      <c r="B25" s="109" t="str">
        <f>单项概算!B867</f>
        <v>玉龚路（怀通街-鼓楼北街）</v>
      </c>
      <c r="C25" s="107"/>
      <c r="D25" s="107"/>
      <c r="E25" s="107">
        <f>单项概算!H905/10000</f>
        <v>54.9403489</v>
      </c>
      <c r="F25" s="107"/>
      <c r="G25" s="107">
        <f t="shared" si="4"/>
        <v>54.9403489</v>
      </c>
      <c r="H25" s="107" t="s">
        <v>23</v>
      </c>
      <c r="I25" s="124">
        <f>SUM(单项概算!F868)</f>
        <v>467</v>
      </c>
      <c r="J25" s="107">
        <f t="shared" si="5"/>
        <v>1176.45286723769</v>
      </c>
      <c r="K25" s="125"/>
      <c r="M25" s="122"/>
      <c r="N25" s="123" t="e">
        <f>'2024燃气概算'!#REF!</f>
        <v>#REF!</v>
      </c>
      <c r="O25" s="122" t="e">
        <f t="shared" si="6"/>
        <v>#REF!</v>
      </c>
    </row>
    <row r="26" s="87" customFormat="1" ht="17.25" customHeight="1" spans="1:15">
      <c r="A26" s="106" t="s">
        <v>40</v>
      </c>
      <c r="B26" s="109" t="str">
        <f>单项概算!B906</f>
        <v>翰林大街（玉龚路-鼓楼北街）</v>
      </c>
      <c r="C26" s="107"/>
      <c r="D26" s="107"/>
      <c r="E26" s="107">
        <f>单项概算!H941/10000</f>
        <v>33.5368891</v>
      </c>
      <c r="F26" s="107"/>
      <c r="G26" s="107">
        <f t="shared" ref="G26:G30" si="7">SUM(C26:F26)</f>
        <v>33.5368891</v>
      </c>
      <c r="H26" s="107" t="s">
        <v>23</v>
      </c>
      <c r="I26" s="124">
        <f>单项概算!F907</f>
        <v>283</v>
      </c>
      <c r="J26" s="107">
        <f t="shared" ref="J26:J30" si="8">G26/I26*10000</f>
        <v>1185.04908480565</v>
      </c>
      <c r="K26" s="125"/>
      <c r="M26" s="122"/>
      <c r="N26" s="123"/>
      <c r="O26" s="122"/>
    </row>
    <row r="27" s="87" customFormat="1" ht="17.25" customHeight="1" spans="1:15">
      <c r="A27" s="106" t="s">
        <v>41</v>
      </c>
      <c r="B27" s="109" t="str">
        <f>单项概算!B942</f>
        <v>人民东路（翰林大街-鼓楼北街）</v>
      </c>
      <c r="C27" s="107"/>
      <c r="D27" s="107"/>
      <c r="E27" s="107">
        <f>单项概算!H977/10000</f>
        <v>39.2183878</v>
      </c>
      <c r="F27" s="107"/>
      <c r="G27" s="107">
        <f t="shared" si="7"/>
        <v>39.2183878</v>
      </c>
      <c r="H27" s="107" t="s">
        <v>23</v>
      </c>
      <c r="I27" s="124">
        <f>单项概算!F943</f>
        <v>364</v>
      </c>
      <c r="J27" s="107">
        <f t="shared" si="8"/>
        <v>1077.42823626374</v>
      </c>
      <c r="K27" s="125"/>
      <c r="M27" s="122"/>
      <c r="N27" s="123"/>
      <c r="O27" s="122"/>
    </row>
    <row r="28" s="87" customFormat="1" ht="17.25" customHeight="1" spans="1:15">
      <c r="A28" s="106" t="s">
        <v>42</v>
      </c>
      <c r="B28" s="109" t="str">
        <f>单项概算!B978</f>
        <v>鼓楼南街（永安东路-唐徕渠）</v>
      </c>
      <c r="C28" s="107"/>
      <c r="D28" s="107"/>
      <c r="E28" s="107">
        <f>单项概算!H1010/10000</f>
        <v>42.6372875</v>
      </c>
      <c r="F28" s="107"/>
      <c r="G28" s="107">
        <f t="shared" si="7"/>
        <v>42.6372875</v>
      </c>
      <c r="H28" s="107" t="s">
        <v>23</v>
      </c>
      <c r="I28" s="124">
        <f>SUM(单项概算!F979:F980)</f>
        <v>865</v>
      </c>
      <c r="J28" s="107">
        <f t="shared" si="8"/>
        <v>492.91661849711</v>
      </c>
      <c r="K28" s="125"/>
      <c r="M28" s="122"/>
      <c r="N28" s="123"/>
      <c r="O28" s="122"/>
    </row>
    <row r="29" s="87" customFormat="1" ht="17.25" customHeight="1" spans="1:15">
      <c r="A29" s="106" t="s">
        <v>43</v>
      </c>
      <c r="B29" s="109" t="s">
        <v>44</v>
      </c>
      <c r="C29" s="107"/>
      <c r="D29" s="107"/>
      <c r="E29" s="107">
        <f>单项概算!H1075/10000</f>
        <v>160.39360654</v>
      </c>
      <c r="F29" s="107"/>
      <c r="G29" s="107">
        <f t="shared" si="7"/>
        <v>160.39360654</v>
      </c>
      <c r="H29" s="107" t="s">
        <v>23</v>
      </c>
      <c r="I29" s="124">
        <f>SUM(单项概算!F1012:F1019)</f>
        <v>4399</v>
      </c>
      <c r="J29" s="107">
        <f t="shared" si="8"/>
        <v>364.613790725165</v>
      </c>
      <c r="K29" s="125"/>
      <c r="M29" s="122"/>
      <c r="N29" s="123"/>
      <c r="O29" s="122"/>
    </row>
    <row r="30" s="87" customFormat="1" ht="17.25" customHeight="1" spans="1:15">
      <c r="A30" s="106" t="s">
        <v>45</v>
      </c>
      <c r="B30" s="109" t="s">
        <v>46</v>
      </c>
      <c r="C30" s="107"/>
      <c r="D30" s="107"/>
      <c r="E30" s="107">
        <f>I30*1465.19/10000</f>
        <v>2.93038</v>
      </c>
      <c r="F30" s="107"/>
      <c r="G30" s="107">
        <f t="shared" si="7"/>
        <v>2.93038</v>
      </c>
      <c r="H30" s="107" t="s">
        <v>47</v>
      </c>
      <c r="I30" s="124">
        <v>20</v>
      </c>
      <c r="J30" s="107">
        <f t="shared" si="8"/>
        <v>1465.19</v>
      </c>
      <c r="K30" s="125"/>
      <c r="M30" s="122"/>
      <c r="N30" s="123"/>
      <c r="O30" s="122"/>
    </row>
    <row r="31" s="87" customFormat="1" ht="18" customHeight="1" spans="1:15">
      <c r="A31" s="101" t="s">
        <v>48</v>
      </c>
      <c r="B31" s="102" t="s">
        <v>49</v>
      </c>
      <c r="C31" s="103"/>
      <c r="D31" s="103"/>
      <c r="E31" s="103"/>
      <c r="F31" s="103">
        <f>SUM(F32:F45)</f>
        <v>198.124920071059</v>
      </c>
      <c r="G31" s="103">
        <f t="shared" si="1"/>
        <v>198.124920071059</v>
      </c>
      <c r="H31" s="105"/>
      <c r="I31" s="105"/>
      <c r="J31" s="103"/>
      <c r="K31" s="121">
        <f>G31/G$5</f>
        <v>0.0955694180577816</v>
      </c>
      <c r="M31" s="122"/>
      <c r="N31" s="123"/>
      <c r="O31" s="122"/>
    </row>
    <row r="32" s="87" customFormat="1" ht="18" customHeight="1" spans="1:15">
      <c r="A32" s="106">
        <v>1</v>
      </c>
      <c r="B32" s="110" t="s">
        <v>50</v>
      </c>
      <c r="C32" s="107"/>
      <c r="D32" s="107"/>
      <c r="E32" s="107"/>
      <c r="F32" s="107">
        <f>IF(G8&lt;=1000,G8*2%,IF(G8&lt;=5000,20+(G8-1000)*1.5%,IF(G8&lt;=10000,80+(G8-5000)*1.2%,IF(G8&lt;=50000,140+(G8-10000)*1%,IF(G8&lt;=100000,540+(G8-50000)*0.8%,940+(G8-100000)*0.4%)))))*1.2</f>
        <v>38.66285082822</v>
      </c>
      <c r="G32" s="107">
        <f t="shared" si="1"/>
        <v>38.66285082822</v>
      </c>
      <c r="H32" s="98"/>
      <c r="I32" s="126"/>
      <c r="J32" s="98"/>
      <c r="K32" s="127"/>
      <c r="M32" s="122"/>
      <c r="N32" s="93"/>
      <c r="O32" s="122"/>
    </row>
    <row r="33" ht="18" customHeight="1" spans="1:11">
      <c r="A33" s="106">
        <v>2</v>
      </c>
      <c r="B33" s="110" t="s">
        <v>51</v>
      </c>
      <c r="C33" s="107"/>
      <c r="D33" s="107"/>
      <c r="E33" s="98"/>
      <c r="F33" s="107">
        <f>G8*I33</f>
        <v>27.21904235685</v>
      </c>
      <c r="G33" s="107">
        <f t="shared" si="1"/>
        <v>27.21904235685</v>
      </c>
      <c r="H33" s="98"/>
      <c r="I33" s="126">
        <v>0.015</v>
      </c>
      <c r="J33" s="98"/>
      <c r="K33" s="127"/>
    </row>
    <row r="34" ht="18" customHeight="1" spans="1:11">
      <c r="A34" s="106">
        <v>3</v>
      </c>
      <c r="B34" s="110" t="s">
        <v>52</v>
      </c>
      <c r="C34" s="107"/>
      <c r="D34" s="107"/>
      <c r="E34" s="98"/>
      <c r="F34" s="107">
        <f>G8*I34</f>
        <v>45.36507059475</v>
      </c>
      <c r="G34" s="107">
        <f t="shared" si="1"/>
        <v>45.36507059475</v>
      </c>
      <c r="H34" s="98"/>
      <c r="I34" s="126">
        <v>0.025</v>
      </c>
      <c r="J34" s="98"/>
      <c r="K34" s="127"/>
    </row>
    <row r="35" ht="18" customHeight="1" spans="1:11">
      <c r="A35" s="106">
        <v>4</v>
      </c>
      <c r="B35" s="110" t="s">
        <v>53</v>
      </c>
      <c r="C35" s="107"/>
      <c r="D35" s="107"/>
      <c r="E35" s="98"/>
      <c r="F35" s="107">
        <f>G8*I35</f>
        <v>14.51682259032</v>
      </c>
      <c r="G35" s="107">
        <f t="shared" si="1"/>
        <v>14.51682259032</v>
      </c>
      <c r="H35" s="98"/>
      <c r="I35" s="125">
        <v>0.008</v>
      </c>
      <c r="J35" s="98"/>
      <c r="K35" s="127"/>
    </row>
    <row r="36" ht="18" customHeight="1" spans="1:11">
      <c r="A36" s="106">
        <v>5</v>
      </c>
      <c r="B36" s="110" t="s">
        <v>54</v>
      </c>
      <c r="C36" s="107"/>
      <c r="D36" s="107"/>
      <c r="E36" s="98"/>
      <c r="F36" s="107">
        <f>G8*I36</f>
        <v>3.62920564758</v>
      </c>
      <c r="G36" s="107">
        <f t="shared" ref="G36:G47" si="9">SUM(C36:F36)</f>
        <v>3.62920564758</v>
      </c>
      <c r="H36" s="98"/>
      <c r="I36" s="126">
        <v>0.002</v>
      </c>
      <c r="J36" s="98"/>
      <c r="K36" s="127"/>
    </row>
    <row r="37" ht="18" customHeight="1" spans="1:11">
      <c r="A37" s="106">
        <v>6</v>
      </c>
      <c r="B37" s="110" t="s">
        <v>55</v>
      </c>
      <c r="C37" s="107"/>
      <c r="D37" s="107"/>
      <c r="E37" s="98"/>
      <c r="F37" s="107">
        <f>G8*I37</f>
        <v>8.165712707055</v>
      </c>
      <c r="G37" s="107">
        <f t="shared" si="9"/>
        <v>8.165712707055</v>
      </c>
      <c r="H37" s="98"/>
      <c r="I37" s="125">
        <v>0.0045</v>
      </c>
      <c r="J37" s="98"/>
      <c r="K37" s="127"/>
    </row>
    <row r="38" ht="18" customHeight="1" spans="1:11">
      <c r="A38" s="106">
        <v>7</v>
      </c>
      <c r="B38" s="110" t="s">
        <v>56</v>
      </c>
      <c r="C38" s="107"/>
      <c r="D38" s="107"/>
      <c r="E38" s="98"/>
      <c r="F38" s="107">
        <f>G8*I38</f>
        <v>3.62920564758</v>
      </c>
      <c r="G38" s="107">
        <f t="shared" si="9"/>
        <v>3.62920564758</v>
      </c>
      <c r="H38" s="98"/>
      <c r="I38" s="126">
        <v>0.002</v>
      </c>
      <c r="J38" s="98"/>
      <c r="K38" s="127"/>
    </row>
    <row r="39" ht="18" customHeight="1" spans="1:11">
      <c r="A39" s="106">
        <v>8</v>
      </c>
      <c r="B39" s="110" t="s">
        <v>57</v>
      </c>
      <c r="C39" s="107"/>
      <c r="D39" s="107"/>
      <c r="E39" s="98"/>
      <c r="F39" s="107">
        <f>G8*I39</f>
        <v>9.07301411895</v>
      </c>
      <c r="G39" s="107">
        <f t="shared" si="9"/>
        <v>9.07301411895</v>
      </c>
      <c r="H39" s="98"/>
      <c r="I39" s="125">
        <v>0.005</v>
      </c>
      <c r="J39" s="98"/>
      <c r="K39" s="127"/>
    </row>
    <row r="40" ht="18" customHeight="1" spans="1:11">
      <c r="A40" s="106">
        <v>10</v>
      </c>
      <c r="B40" s="110" t="s">
        <v>58</v>
      </c>
      <c r="C40" s="107"/>
      <c r="D40" s="107"/>
      <c r="E40" s="98"/>
      <c r="F40" s="107">
        <f>G8*I40</f>
        <v>4.536507059475</v>
      </c>
      <c r="G40" s="107">
        <f t="shared" si="9"/>
        <v>4.536507059475</v>
      </c>
      <c r="H40" s="98"/>
      <c r="I40" s="125">
        <v>0.0025</v>
      </c>
      <c r="J40" s="98"/>
      <c r="K40" s="127"/>
    </row>
    <row r="41" ht="18" customHeight="1" spans="1:11">
      <c r="A41" s="106">
        <v>11</v>
      </c>
      <c r="B41" s="110" t="s">
        <v>59</v>
      </c>
      <c r="C41" s="107"/>
      <c r="D41" s="107"/>
      <c r="E41" s="98"/>
      <c r="F41" s="107">
        <f>G8*I41</f>
        <v>5.44380847137</v>
      </c>
      <c r="G41" s="107">
        <f t="shared" si="9"/>
        <v>5.44380847137</v>
      </c>
      <c r="H41" s="98"/>
      <c r="I41" s="125">
        <v>0.003</v>
      </c>
      <c r="J41" s="98"/>
      <c r="K41" s="127"/>
    </row>
    <row r="42" ht="18" customHeight="1" spans="1:11">
      <c r="A42" s="106">
        <v>12</v>
      </c>
      <c r="B42" s="110" t="s">
        <v>60</v>
      </c>
      <c r="C42" s="107"/>
      <c r="D42" s="107"/>
      <c r="E42" s="98"/>
      <c r="F42" s="111">
        <f>G9*I42</f>
        <v>6.351109883265</v>
      </c>
      <c r="G42" s="107">
        <f t="shared" si="9"/>
        <v>6.351109883265</v>
      </c>
      <c r="H42" s="98"/>
      <c r="I42" s="128">
        <v>0.0035</v>
      </c>
      <c r="J42" s="98"/>
      <c r="K42" s="127"/>
    </row>
    <row r="43" ht="17.25" customHeight="1" spans="1:11">
      <c r="A43" s="106">
        <v>13</v>
      </c>
      <c r="B43" s="112" t="s">
        <v>61</v>
      </c>
      <c r="C43" s="107"/>
      <c r="D43" s="107"/>
      <c r="E43" s="98"/>
      <c r="F43" s="107">
        <f>G8*I43</f>
        <v>5.44380847137</v>
      </c>
      <c r="G43" s="107">
        <f t="shared" si="9"/>
        <v>5.44380847137</v>
      </c>
      <c r="H43" s="98"/>
      <c r="I43" s="125">
        <v>0.003</v>
      </c>
      <c r="J43" s="98"/>
      <c r="K43" s="127"/>
    </row>
    <row r="44" ht="17.25" customHeight="1" spans="1:11">
      <c r="A44" s="106">
        <v>13</v>
      </c>
      <c r="B44" s="112" t="s">
        <v>62</v>
      </c>
      <c r="C44" s="107"/>
      <c r="D44" s="107"/>
      <c r="E44" s="98"/>
      <c r="F44" s="107">
        <f>G9*I44</f>
        <v>1.088761694274</v>
      </c>
      <c r="G44" s="107">
        <f t="shared" si="9"/>
        <v>1.088761694274</v>
      </c>
      <c r="H44" s="98"/>
      <c r="I44" s="125">
        <v>0.0006</v>
      </c>
      <c r="J44" s="98"/>
      <c r="K44" s="127"/>
    </row>
    <row r="45" ht="18" customHeight="1" spans="1:11">
      <c r="A45" s="106">
        <v>14</v>
      </c>
      <c r="B45" s="110" t="s">
        <v>63</v>
      </c>
      <c r="C45" s="107"/>
      <c r="D45" s="107"/>
      <c r="E45" s="98"/>
      <c r="F45" s="107">
        <v>25</v>
      </c>
      <c r="G45" s="107">
        <f t="shared" si="9"/>
        <v>25</v>
      </c>
      <c r="H45" s="98"/>
      <c r="I45" s="98"/>
      <c r="J45" s="98"/>
      <c r="K45" s="127"/>
    </row>
    <row r="46" ht="18" customHeight="1" spans="1:11">
      <c r="A46" s="101" t="s">
        <v>64</v>
      </c>
      <c r="B46" s="102" t="s">
        <v>65</v>
      </c>
      <c r="C46" s="103"/>
      <c r="D46" s="103"/>
      <c r="E46" s="103"/>
      <c r="F46" s="103">
        <f>SUM(F47:F47)</f>
        <v>60.3818323158318</v>
      </c>
      <c r="G46" s="103">
        <f t="shared" si="9"/>
        <v>60.3818323158318</v>
      </c>
      <c r="H46" s="105"/>
      <c r="I46" s="105"/>
      <c r="J46" s="103"/>
      <c r="K46" s="121">
        <f>G46/G$5</f>
        <v>0.029126354088203</v>
      </c>
    </row>
    <row r="47" s="87" customFormat="1" ht="18" customHeight="1" spans="1:15">
      <c r="A47" s="106">
        <v>1</v>
      </c>
      <c r="B47" s="110" t="s">
        <v>66</v>
      </c>
      <c r="C47" s="107"/>
      <c r="D47" s="107"/>
      <c r="E47" s="107"/>
      <c r="F47" s="107">
        <f>(G8+G31)*I47</f>
        <v>60.3818323158318</v>
      </c>
      <c r="G47" s="107">
        <f t="shared" si="9"/>
        <v>60.3818323158318</v>
      </c>
      <c r="H47" s="98"/>
      <c r="I47" s="129">
        <v>0.03</v>
      </c>
      <c r="J47" s="98"/>
      <c r="K47" s="125"/>
      <c r="M47" s="122"/>
      <c r="N47" s="93"/>
      <c r="O47" s="122"/>
    </row>
    <row r="48" ht="18" hidden="1" customHeight="1" spans="1:11">
      <c r="A48" s="106"/>
      <c r="B48" s="110"/>
      <c r="C48" s="107"/>
      <c r="D48" s="107"/>
      <c r="E48" s="107"/>
      <c r="F48" s="107"/>
      <c r="G48" s="107"/>
      <c r="H48" s="98"/>
      <c r="I48" s="129"/>
      <c r="J48" s="98"/>
      <c r="K48" s="125"/>
    </row>
    <row r="49" ht="18" hidden="1" customHeight="1" spans="1:11">
      <c r="A49" s="65" t="s">
        <v>67</v>
      </c>
      <c r="B49" s="113" t="s">
        <v>68</v>
      </c>
      <c r="C49" s="114"/>
      <c r="D49" s="114"/>
      <c r="E49" s="114"/>
      <c r="F49" s="114"/>
      <c r="G49" s="115">
        <f>SUM(C49:F49)</f>
        <v>0</v>
      </c>
      <c r="H49" s="77"/>
      <c r="I49" s="77"/>
      <c r="J49" s="114"/>
      <c r="K49" s="130">
        <f>G49/G$5</f>
        <v>0</v>
      </c>
    </row>
    <row r="50" s="87" customFormat="1" ht="18" hidden="1" customHeight="1" spans="1:15">
      <c r="A50" s="65" t="s">
        <v>69</v>
      </c>
      <c r="B50" s="113" t="s">
        <v>70</v>
      </c>
      <c r="C50" s="114"/>
      <c r="D50" s="114"/>
      <c r="E50" s="114"/>
      <c r="F50" s="114">
        <v>0</v>
      </c>
      <c r="G50" s="115">
        <f>SUM(C50:F50)</f>
        <v>0</v>
      </c>
      <c r="H50" s="77"/>
      <c r="I50" s="77"/>
      <c r="J50" s="114"/>
      <c r="K50" s="130">
        <f>G50/G$5</f>
        <v>0</v>
      </c>
      <c r="M50" s="122"/>
      <c r="N50" s="93"/>
      <c r="O50" s="122"/>
    </row>
    <row r="51" s="87" customFormat="1" ht="18" hidden="1" customHeight="1" spans="1:15">
      <c r="A51" s="40"/>
      <c r="B51" s="69"/>
      <c r="C51" s="51"/>
      <c r="D51" s="51"/>
      <c r="E51" s="51"/>
      <c r="F51" s="51"/>
      <c r="G51" s="51"/>
      <c r="H51" s="41"/>
      <c r="I51" s="41"/>
      <c r="J51" s="41"/>
      <c r="K51" s="131"/>
      <c r="M51" s="122"/>
      <c r="N51" s="93"/>
      <c r="O51" s="122"/>
    </row>
    <row r="52" ht="18" hidden="1" customHeight="1"/>
    <row r="57" customHeight="1" spans="2:2">
      <c r="B57" s="116"/>
    </row>
    <row r="58" customHeight="1" spans="2:2">
      <c r="B58" s="116"/>
    </row>
    <row r="59" customHeight="1" spans="2:2">
      <c r="B59" s="116"/>
    </row>
    <row r="60" customHeight="1" spans="2:2">
      <c r="B60" s="116"/>
    </row>
    <row r="61" customHeight="1" spans="2:2">
      <c r="B61" s="116"/>
    </row>
    <row r="62" customHeight="1" spans="2:2">
      <c r="B62" s="116"/>
    </row>
  </sheetData>
  <mergeCells count="7">
    <mergeCell ref="A1:K1"/>
    <mergeCell ref="A2:K2"/>
    <mergeCell ref="C3:G3"/>
    <mergeCell ref="H3:J3"/>
    <mergeCell ref="A3:A4"/>
    <mergeCell ref="B3:B4"/>
    <mergeCell ref="K3:K4"/>
  </mergeCells>
  <conditionalFormatting sqref="G52:G65551 G49:G50 G3:G6 G8:G47">
    <cfRule type="cellIs" dxfId="0" priority="3" stopIfTrue="1" operator="equal">
      <formula>0</formula>
    </cfRule>
  </conditionalFormatting>
  <printOptions horizontalCentered="1"/>
  <pageMargins left="0.748031496062992" right="0.748031496062992" top="0.984251968503937" bottom="0.984251968503937" header="0.511811023622047" footer="0.511811023622047"/>
  <pageSetup paperSize="9" firstPageNumber="3" orientation="landscape" useFirstPageNumber="1"/>
  <headerFooter alignWithMargins="0" scaleWithDoc="0">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76"/>
  <sheetViews>
    <sheetView view="pageBreakPreview" zoomScaleNormal="100" workbookViewId="0">
      <selection activeCell="C7" sqref="C7"/>
    </sheetView>
  </sheetViews>
  <sheetFormatPr defaultColWidth="9" defaultRowHeight="24.95" customHeight="1"/>
  <cols>
    <col min="1" max="1" width="5.375" style="37" customWidth="1"/>
    <col min="2" max="2" width="27.625" style="38" customWidth="1"/>
    <col min="3" max="3" width="26" style="38" customWidth="1"/>
    <col min="4" max="4" width="8" style="38" customWidth="1"/>
    <col min="5" max="5" width="4.75" style="38" customWidth="1"/>
    <col min="6" max="6" width="8.5" style="38" customWidth="1"/>
    <col min="7" max="7" width="13.625" style="38" customWidth="1"/>
    <col min="8" max="8" width="9.375" style="38" customWidth="1"/>
    <col min="9" max="9" width="16.625" style="38" customWidth="1"/>
    <col min="10" max="10" width="12.75" style="39" hidden="1" customWidth="1"/>
    <col min="11" max="11" width="13.625" style="39" hidden="1" customWidth="1"/>
    <col min="12" max="12" width="9.375" style="39" hidden="1" customWidth="1"/>
    <col min="13" max="13" width="12.625" style="39" hidden="1" customWidth="1"/>
    <col min="14" max="21" width="9" style="39" hidden="1" customWidth="1"/>
    <col min="22" max="258" width="9" style="39"/>
    <col min="259" max="259" width="5.375" style="39" customWidth="1"/>
    <col min="260" max="260" width="19.5" style="39" customWidth="1"/>
    <col min="261" max="261" width="34.75" style="39" customWidth="1"/>
    <col min="262" max="262" width="8.5" style="39" customWidth="1"/>
    <col min="263" max="263" width="7.625" style="39" customWidth="1"/>
    <col min="264" max="264" width="18.875" style="39" customWidth="1"/>
    <col min="265" max="265" width="16.625" style="39" customWidth="1"/>
    <col min="266" max="266" width="12.625" style="39" customWidth="1"/>
    <col min="267" max="267" width="13.625" style="39" customWidth="1"/>
    <col min="268" max="268" width="9.375" style="39" customWidth="1"/>
    <col min="269" max="269" width="12.625" style="39" customWidth="1"/>
    <col min="270" max="514" width="9" style="39"/>
    <col min="515" max="515" width="5.375" style="39" customWidth="1"/>
    <col min="516" max="516" width="19.5" style="39" customWidth="1"/>
    <col min="517" max="517" width="34.75" style="39" customWidth="1"/>
    <col min="518" max="518" width="8.5" style="39" customWidth="1"/>
    <col min="519" max="519" width="7.625" style="39" customWidth="1"/>
    <col min="520" max="520" width="18.875" style="39" customWidth="1"/>
    <col min="521" max="521" width="16.625" style="39" customWidth="1"/>
    <col min="522" max="522" width="12.625" style="39" customWidth="1"/>
    <col min="523" max="523" width="13.625" style="39" customWidth="1"/>
    <col min="524" max="524" width="9.375" style="39" customWidth="1"/>
    <col min="525" max="525" width="12.625" style="39" customWidth="1"/>
    <col min="526" max="770" width="9" style="39"/>
    <col min="771" max="771" width="5.375" style="39" customWidth="1"/>
    <col min="772" max="772" width="19.5" style="39" customWidth="1"/>
    <col min="773" max="773" width="34.75" style="39" customWidth="1"/>
    <col min="774" max="774" width="8.5" style="39" customWidth="1"/>
    <col min="775" max="775" width="7.625" style="39" customWidth="1"/>
    <col min="776" max="776" width="18.875" style="39" customWidth="1"/>
    <col min="777" max="777" width="16.625" style="39" customWidth="1"/>
    <col min="778" max="778" width="12.625" style="39" customWidth="1"/>
    <col min="779" max="779" width="13.625" style="39" customWidth="1"/>
    <col min="780" max="780" width="9.375" style="39" customWidth="1"/>
    <col min="781" max="781" width="12.625" style="39" customWidth="1"/>
    <col min="782" max="1026" width="9" style="39"/>
    <col min="1027" max="1027" width="5.375" style="39" customWidth="1"/>
    <col min="1028" max="1028" width="19.5" style="39" customWidth="1"/>
    <col min="1029" max="1029" width="34.75" style="39" customWidth="1"/>
    <col min="1030" max="1030" width="8.5" style="39" customWidth="1"/>
    <col min="1031" max="1031" width="7.625" style="39" customWidth="1"/>
    <col min="1032" max="1032" width="18.875" style="39" customWidth="1"/>
    <col min="1033" max="1033" width="16.625" style="39" customWidth="1"/>
    <col min="1034" max="1034" width="12.625" style="39" customWidth="1"/>
    <col min="1035" max="1035" width="13.625" style="39" customWidth="1"/>
    <col min="1036" max="1036" width="9.375" style="39" customWidth="1"/>
    <col min="1037" max="1037" width="12.625" style="39" customWidth="1"/>
    <col min="1038" max="1282" width="9" style="39"/>
    <col min="1283" max="1283" width="5.375" style="39" customWidth="1"/>
    <col min="1284" max="1284" width="19.5" style="39" customWidth="1"/>
    <col min="1285" max="1285" width="34.75" style="39" customWidth="1"/>
    <col min="1286" max="1286" width="8.5" style="39" customWidth="1"/>
    <col min="1287" max="1287" width="7.625" style="39" customWidth="1"/>
    <col min="1288" max="1288" width="18.875" style="39" customWidth="1"/>
    <col min="1289" max="1289" width="16.625" style="39" customWidth="1"/>
    <col min="1290" max="1290" width="12.625" style="39" customWidth="1"/>
    <col min="1291" max="1291" width="13.625" style="39" customWidth="1"/>
    <col min="1292" max="1292" width="9.375" style="39" customWidth="1"/>
    <col min="1293" max="1293" width="12.625" style="39" customWidth="1"/>
    <col min="1294" max="1538" width="9" style="39"/>
    <col min="1539" max="1539" width="5.375" style="39" customWidth="1"/>
    <col min="1540" max="1540" width="19.5" style="39" customWidth="1"/>
    <col min="1541" max="1541" width="34.75" style="39" customWidth="1"/>
    <col min="1542" max="1542" width="8.5" style="39" customWidth="1"/>
    <col min="1543" max="1543" width="7.625" style="39" customWidth="1"/>
    <col min="1544" max="1544" width="18.875" style="39" customWidth="1"/>
    <col min="1545" max="1545" width="16.625" style="39" customWidth="1"/>
    <col min="1546" max="1546" width="12.625" style="39" customWidth="1"/>
    <col min="1547" max="1547" width="13.625" style="39" customWidth="1"/>
    <col min="1548" max="1548" width="9.375" style="39" customWidth="1"/>
    <col min="1549" max="1549" width="12.625" style="39" customWidth="1"/>
    <col min="1550" max="1794" width="9" style="39"/>
    <col min="1795" max="1795" width="5.375" style="39" customWidth="1"/>
    <col min="1796" max="1796" width="19.5" style="39" customWidth="1"/>
    <col min="1797" max="1797" width="34.75" style="39" customWidth="1"/>
    <col min="1798" max="1798" width="8.5" style="39" customWidth="1"/>
    <col min="1799" max="1799" width="7.625" style="39" customWidth="1"/>
    <col min="1800" max="1800" width="18.875" style="39" customWidth="1"/>
    <col min="1801" max="1801" width="16.625" style="39" customWidth="1"/>
    <col min="1802" max="1802" width="12.625" style="39" customWidth="1"/>
    <col min="1803" max="1803" width="13.625" style="39" customWidth="1"/>
    <col min="1804" max="1804" width="9.375" style="39" customWidth="1"/>
    <col min="1805" max="1805" width="12.625" style="39" customWidth="1"/>
    <col min="1806" max="2050" width="9" style="39"/>
    <col min="2051" max="2051" width="5.375" style="39" customWidth="1"/>
    <col min="2052" max="2052" width="19.5" style="39" customWidth="1"/>
    <col min="2053" max="2053" width="34.75" style="39" customWidth="1"/>
    <col min="2054" max="2054" width="8.5" style="39" customWidth="1"/>
    <col min="2055" max="2055" width="7.625" style="39" customWidth="1"/>
    <col min="2056" max="2056" width="18.875" style="39" customWidth="1"/>
    <col min="2057" max="2057" width="16.625" style="39" customWidth="1"/>
    <col min="2058" max="2058" width="12.625" style="39" customWidth="1"/>
    <col min="2059" max="2059" width="13.625" style="39" customWidth="1"/>
    <col min="2060" max="2060" width="9.375" style="39" customWidth="1"/>
    <col min="2061" max="2061" width="12.625" style="39" customWidth="1"/>
    <col min="2062" max="2306" width="9" style="39"/>
    <col min="2307" max="2307" width="5.375" style="39" customWidth="1"/>
    <col min="2308" max="2308" width="19.5" style="39" customWidth="1"/>
    <col min="2309" max="2309" width="34.75" style="39" customWidth="1"/>
    <col min="2310" max="2310" width="8.5" style="39" customWidth="1"/>
    <col min="2311" max="2311" width="7.625" style="39" customWidth="1"/>
    <col min="2312" max="2312" width="18.875" style="39" customWidth="1"/>
    <col min="2313" max="2313" width="16.625" style="39" customWidth="1"/>
    <col min="2314" max="2314" width="12.625" style="39" customWidth="1"/>
    <col min="2315" max="2315" width="13.625" style="39" customWidth="1"/>
    <col min="2316" max="2316" width="9.375" style="39" customWidth="1"/>
    <col min="2317" max="2317" width="12.625" style="39" customWidth="1"/>
    <col min="2318" max="2562" width="9" style="39"/>
    <col min="2563" max="2563" width="5.375" style="39" customWidth="1"/>
    <col min="2564" max="2564" width="19.5" style="39" customWidth="1"/>
    <col min="2565" max="2565" width="34.75" style="39" customWidth="1"/>
    <col min="2566" max="2566" width="8.5" style="39" customWidth="1"/>
    <col min="2567" max="2567" width="7.625" style="39" customWidth="1"/>
    <col min="2568" max="2568" width="18.875" style="39" customWidth="1"/>
    <col min="2569" max="2569" width="16.625" style="39" customWidth="1"/>
    <col min="2570" max="2570" width="12.625" style="39" customWidth="1"/>
    <col min="2571" max="2571" width="13.625" style="39" customWidth="1"/>
    <col min="2572" max="2572" width="9.375" style="39" customWidth="1"/>
    <col min="2573" max="2573" width="12.625" style="39" customWidth="1"/>
    <col min="2574" max="2818" width="9" style="39"/>
    <col min="2819" max="2819" width="5.375" style="39" customWidth="1"/>
    <col min="2820" max="2820" width="19.5" style="39" customWidth="1"/>
    <col min="2821" max="2821" width="34.75" style="39" customWidth="1"/>
    <col min="2822" max="2822" width="8.5" style="39" customWidth="1"/>
    <col min="2823" max="2823" width="7.625" style="39" customWidth="1"/>
    <col min="2824" max="2824" width="18.875" style="39" customWidth="1"/>
    <col min="2825" max="2825" width="16.625" style="39" customWidth="1"/>
    <col min="2826" max="2826" width="12.625" style="39" customWidth="1"/>
    <col min="2827" max="2827" width="13.625" style="39" customWidth="1"/>
    <col min="2828" max="2828" width="9.375" style="39" customWidth="1"/>
    <col min="2829" max="2829" width="12.625" style="39" customWidth="1"/>
    <col min="2830" max="3074" width="9" style="39"/>
    <col min="3075" max="3075" width="5.375" style="39" customWidth="1"/>
    <col min="3076" max="3076" width="19.5" style="39" customWidth="1"/>
    <col min="3077" max="3077" width="34.75" style="39" customWidth="1"/>
    <col min="3078" max="3078" width="8.5" style="39" customWidth="1"/>
    <col min="3079" max="3079" width="7.625" style="39" customWidth="1"/>
    <col min="3080" max="3080" width="18.875" style="39" customWidth="1"/>
    <col min="3081" max="3081" width="16.625" style="39" customWidth="1"/>
    <col min="3082" max="3082" width="12.625" style="39" customWidth="1"/>
    <col min="3083" max="3083" width="13.625" style="39" customWidth="1"/>
    <col min="3084" max="3084" width="9.375" style="39" customWidth="1"/>
    <col min="3085" max="3085" width="12.625" style="39" customWidth="1"/>
    <col min="3086" max="3330" width="9" style="39"/>
    <col min="3331" max="3331" width="5.375" style="39" customWidth="1"/>
    <col min="3332" max="3332" width="19.5" style="39" customWidth="1"/>
    <col min="3333" max="3333" width="34.75" style="39" customWidth="1"/>
    <col min="3334" max="3334" width="8.5" style="39" customWidth="1"/>
    <col min="3335" max="3335" width="7.625" style="39" customWidth="1"/>
    <col min="3336" max="3336" width="18.875" style="39" customWidth="1"/>
    <col min="3337" max="3337" width="16.625" style="39" customWidth="1"/>
    <col min="3338" max="3338" width="12.625" style="39" customWidth="1"/>
    <col min="3339" max="3339" width="13.625" style="39" customWidth="1"/>
    <col min="3340" max="3340" width="9.375" style="39" customWidth="1"/>
    <col min="3341" max="3341" width="12.625" style="39" customWidth="1"/>
    <col min="3342" max="3586" width="9" style="39"/>
    <col min="3587" max="3587" width="5.375" style="39" customWidth="1"/>
    <col min="3588" max="3588" width="19.5" style="39" customWidth="1"/>
    <col min="3589" max="3589" width="34.75" style="39" customWidth="1"/>
    <col min="3590" max="3590" width="8.5" style="39" customWidth="1"/>
    <col min="3591" max="3591" width="7.625" style="39" customWidth="1"/>
    <col min="3592" max="3592" width="18.875" style="39" customWidth="1"/>
    <col min="3593" max="3593" width="16.625" style="39" customWidth="1"/>
    <col min="3594" max="3594" width="12.625" style="39" customWidth="1"/>
    <col min="3595" max="3595" width="13.625" style="39" customWidth="1"/>
    <col min="3596" max="3596" width="9.375" style="39" customWidth="1"/>
    <col min="3597" max="3597" width="12.625" style="39" customWidth="1"/>
    <col min="3598" max="3842" width="9" style="39"/>
    <col min="3843" max="3843" width="5.375" style="39" customWidth="1"/>
    <col min="3844" max="3844" width="19.5" style="39" customWidth="1"/>
    <col min="3845" max="3845" width="34.75" style="39" customWidth="1"/>
    <col min="3846" max="3846" width="8.5" style="39" customWidth="1"/>
    <col min="3847" max="3847" width="7.625" style="39" customWidth="1"/>
    <col min="3848" max="3848" width="18.875" style="39" customWidth="1"/>
    <col min="3849" max="3849" width="16.625" style="39" customWidth="1"/>
    <col min="3850" max="3850" width="12.625" style="39" customWidth="1"/>
    <col min="3851" max="3851" width="13.625" style="39" customWidth="1"/>
    <col min="3852" max="3852" width="9.375" style="39" customWidth="1"/>
    <col min="3853" max="3853" width="12.625" style="39" customWidth="1"/>
    <col min="3854" max="4098" width="9" style="39"/>
    <col min="4099" max="4099" width="5.375" style="39" customWidth="1"/>
    <col min="4100" max="4100" width="19.5" style="39" customWidth="1"/>
    <col min="4101" max="4101" width="34.75" style="39" customWidth="1"/>
    <col min="4102" max="4102" width="8.5" style="39" customWidth="1"/>
    <col min="4103" max="4103" width="7.625" style="39" customWidth="1"/>
    <col min="4104" max="4104" width="18.875" style="39" customWidth="1"/>
    <col min="4105" max="4105" width="16.625" style="39" customWidth="1"/>
    <col min="4106" max="4106" width="12.625" style="39" customWidth="1"/>
    <col min="4107" max="4107" width="13.625" style="39" customWidth="1"/>
    <col min="4108" max="4108" width="9.375" style="39" customWidth="1"/>
    <col min="4109" max="4109" width="12.625" style="39" customWidth="1"/>
    <col min="4110" max="4354" width="9" style="39"/>
    <col min="4355" max="4355" width="5.375" style="39" customWidth="1"/>
    <col min="4356" max="4356" width="19.5" style="39" customWidth="1"/>
    <col min="4357" max="4357" width="34.75" style="39" customWidth="1"/>
    <col min="4358" max="4358" width="8.5" style="39" customWidth="1"/>
    <col min="4359" max="4359" width="7.625" style="39" customWidth="1"/>
    <col min="4360" max="4360" width="18.875" style="39" customWidth="1"/>
    <col min="4361" max="4361" width="16.625" style="39" customWidth="1"/>
    <col min="4362" max="4362" width="12.625" style="39" customWidth="1"/>
    <col min="4363" max="4363" width="13.625" style="39" customWidth="1"/>
    <col min="4364" max="4364" width="9.375" style="39" customWidth="1"/>
    <col min="4365" max="4365" width="12.625" style="39" customWidth="1"/>
    <col min="4366" max="4610" width="9" style="39"/>
    <col min="4611" max="4611" width="5.375" style="39" customWidth="1"/>
    <col min="4612" max="4612" width="19.5" style="39" customWidth="1"/>
    <col min="4613" max="4613" width="34.75" style="39" customWidth="1"/>
    <col min="4614" max="4614" width="8.5" style="39" customWidth="1"/>
    <col min="4615" max="4615" width="7.625" style="39" customWidth="1"/>
    <col min="4616" max="4616" width="18.875" style="39" customWidth="1"/>
    <col min="4617" max="4617" width="16.625" style="39" customWidth="1"/>
    <col min="4618" max="4618" width="12.625" style="39" customWidth="1"/>
    <col min="4619" max="4619" width="13.625" style="39" customWidth="1"/>
    <col min="4620" max="4620" width="9.375" style="39" customWidth="1"/>
    <col min="4621" max="4621" width="12.625" style="39" customWidth="1"/>
    <col min="4622" max="4866" width="9" style="39"/>
    <col min="4867" max="4867" width="5.375" style="39" customWidth="1"/>
    <col min="4868" max="4868" width="19.5" style="39" customWidth="1"/>
    <col min="4869" max="4869" width="34.75" style="39" customWidth="1"/>
    <col min="4870" max="4870" width="8.5" style="39" customWidth="1"/>
    <col min="4871" max="4871" width="7.625" style="39" customWidth="1"/>
    <col min="4872" max="4872" width="18.875" style="39" customWidth="1"/>
    <col min="4873" max="4873" width="16.625" style="39" customWidth="1"/>
    <col min="4874" max="4874" width="12.625" style="39" customWidth="1"/>
    <col min="4875" max="4875" width="13.625" style="39" customWidth="1"/>
    <col min="4876" max="4876" width="9.375" style="39" customWidth="1"/>
    <col min="4877" max="4877" width="12.625" style="39" customWidth="1"/>
    <col min="4878" max="5122" width="9" style="39"/>
    <col min="5123" max="5123" width="5.375" style="39" customWidth="1"/>
    <col min="5124" max="5124" width="19.5" style="39" customWidth="1"/>
    <col min="5125" max="5125" width="34.75" style="39" customWidth="1"/>
    <col min="5126" max="5126" width="8.5" style="39" customWidth="1"/>
    <col min="5127" max="5127" width="7.625" style="39" customWidth="1"/>
    <col min="5128" max="5128" width="18.875" style="39" customWidth="1"/>
    <col min="5129" max="5129" width="16.625" style="39" customWidth="1"/>
    <col min="5130" max="5130" width="12.625" style="39" customWidth="1"/>
    <col min="5131" max="5131" width="13.625" style="39" customWidth="1"/>
    <col min="5132" max="5132" width="9.375" style="39" customWidth="1"/>
    <col min="5133" max="5133" width="12.625" style="39" customWidth="1"/>
    <col min="5134" max="5378" width="9" style="39"/>
    <col min="5379" max="5379" width="5.375" style="39" customWidth="1"/>
    <col min="5380" max="5380" width="19.5" style="39" customWidth="1"/>
    <col min="5381" max="5381" width="34.75" style="39" customWidth="1"/>
    <col min="5382" max="5382" width="8.5" style="39" customWidth="1"/>
    <col min="5383" max="5383" width="7.625" style="39" customWidth="1"/>
    <col min="5384" max="5384" width="18.875" style="39" customWidth="1"/>
    <col min="5385" max="5385" width="16.625" style="39" customWidth="1"/>
    <col min="5386" max="5386" width="12.625" style="39" customWidth="1"/>
    <col min="5387" max="5387" width="13.625" style="39" customWidth="1"/>
    <col min="5388" max="5388" width="9.375" style="39" customWidth="1"/>
    <col min="5389" max="5389" width="12.625" style="39" customWidth="1"/>
    <col min="5390" max="5634" width="9" style="39"/>
    <col min="5635" max="5635" width="5.375" style="39" customWidth="1"/>
    <col min="5636" max="5636" width="19.5" style="39" customWidth="1"/>
    <col min="5637" max="5637" width="34.75" style="39" customWidth="1"/>
    <col min="5638" max="5638" width="8.5" style="39" customWidth="1"/>
    <col min="5639" max="5639" width="7.625" style="39" customWidth="1"/>
    <col min="5640" max="5640" width="18.875" style="39" customWidth="1"/>
    <col min="5641" max="5641" width="16.625" style="39" customWidth="1"/>
    <col min="5642" max="5642" width="12.625" style="39" customWidth="1"/>
    <col min="5643" max="5643" width="13.625" style="39" customWidth="1"/>
    <col min="5644" max="5644" width="9.375" style="39" customWidth="1"/>
    <col min="5645" max="5645" width="12.625" style="39" customWidth="1"/>
    <col min="5646" max="5890" width="9" style="39"/>
    <col min="5891" max="5891" width="5.375" style="39" customWidth="1"/>
    <col min="5892" max="5892" width="19.5" style="39" customWidth="1"/>
    <col min="5893" max="5893" width="34.75" style="39" customWidth="1"/>
    <col min="5894" max="5894" width="8.5" style="39" customWidth="1"/>
    <col min="5895" max="5895" width="7.625" style="39" customWidth="1"/>
    <col min="5896" max="5896" width="18.875" style="39" customWidth="1"/>
    <col min="5897" max="5897" width="16.625" style="39" customWidth="1"/>
    <col min="5898" max="5898" width="12.625" style="39" customWidth="1"/>
    <col min="5899" max="5899" width="13.625" style="39" customWidth="1"/>
    <col min="5900" max="5900" width="9.375" style="39" customWidth="1"/>
    <col min="5901" max="5901" width="12.625" style="39" customWidth="1"/>
    <col min="5902" max="6146" width="9" style="39"/>
    <col min="6147" max="6147" width="5.375" style="39" customWidth="1"/>
    <col min="6148" max="6148" width="19.5" style="39" customWidth="1"/>
    <col min="6149" max="6149" width="34.75" style="39" customWidth="1"/>
    <col min="6150" max="6150" width="8.5" style="39" customWidth="1"/>
    <col min="6151" max="6151" width="7.625" style="39" customWidth="1"/>
    <col min="6152" max="6152" width="18.875" style="39" customWidth="1"/>
    <col min="6153" max="6153" width="16.625" style="39" customWidth="1"/>
    <col min="6154" max="6154" width="12.625" style="39" customWidth="1"/>
    <col min="6155" max="6155" width="13.625" style="39" customWidth="1"/>
    <col min="6156" max="6156" width="9.375" style="39" customWidth="1"/>
    <col min="6157" max="6157" width="12.625" style="39" customWidth="1"/>
    <col min="6158" max="6402" width="9" style="39"/>
    <col min="6403" max="6403" width="5.375" style="39" customWidth="1"/>
    <col min="6404" max="6404" width="19.5" style="39" customWidth="1"/>
    <col min="6405" max="6405" width="34.75" style="39" customWidth="1"/>
    <col min="6406" max="6406" width="8.5" style="39" customWidth="1"/>
    <col min="6407" max="6407" width="7.625" style="39" customWidth="1"/>
    <col min="6408" max="6408" width="18.875" style="39" customWidth="1"/>
    <col min="6409" max="6409" width="16.625" style="39" customWidth="1"/>
    <col min="6410" max="6410" width="12.625" style="39" customWidth="1"/>
    <col min="6411" max="6411" width="13.625" style="39" customWidth="1"/>
    <col min="6412" max="6412" width="9.375" style="39" customWidth="1"/>
    <col min="6413" max="6413" width="12.625" style="39" customWidth="1"/>
    <col min="6414" max="6658" width="9" style="39"/>
    <col min="6659" max="6659" width="5.375" style="39" customWidth="1"/>
    <col min="6660" max="6660" width="19.5" style="39" customWidth="1"/>
    <col min="6661" max="6661" width="34.75" style="39" customWidth="1"/>
    <col min="6662" max="6662" width="8.5" style="39" customWidth="1"/>
    <col min="6663" max="6663" width="7.625" style="39" customWidth="1"/>
    <col min="6664" max="6664" width="18.875" style="39" customWidth="1"/>
    <col min="6665" max="6665" width="16.625" style="39" customWidth="1"/>
    <col min="6666" max="6666" width="12.625" style="39" customWidth="1"/>
    <col min="6667" max="6667" width="13.625" style="39" customWidth="1"/>
    <col min="6668" max="6668" width="9.375" style="39" customWidth="1"/>
    <col min="6669" max="6669" width="12.625" style="39" customWidth="1"/>
    <col min="6670" max="6914" width="9" style="39"/>
    <col min="6915" max="6915" width="5.375" style="39" customWidth="1"/>
    <col min="6916" max="6916" width="19.5" style="39" customWidth="1"/>
    <col min="6917" max="6917" width="34.75" style="39" customWidth="1"/>
    <col min="6918" max="6918" width="8.5" style="39" customWidth="1"/>
    <col min="6919" max="6919" width="7.625" style="39" customWidth="1"/>
    <col min="6920" max="6920" width="18.875" style="39" customWidth="1"/>
    <col min="6921" max="6921" width="16.625" style="39" customWidth="1"/>
    <col min="6922" max="6922" width="12.625" style="39" customWidth="1"/>
    <col min="6923" max="6923" width="13.625" style="39" customWidth="1"/>
    <col min="6924" max="6924" width="9.375" style="39" customWidth="1"/>
    <col min="6925" max="6925" width="12.625" style="39" customWidth="1"/>
    <col min="6926" max="7170" width="9" style="39"/>
    <col min="7171" max="7171" width="5.375" style="39" customWidth="1"/>
    <col min="7172" max="7172" width="19.5" style="39" customWidth="1"/>
    <col min="7173" max="7173" width="34.75" style="39" customWidth="1"/>
    <col min="7174" max="7174" width="8.5" style="39" customWidth="1"/>
    <col min="7175" max="7175" width="7.625" style="39" customWidth="1"/>
    <col min="7176" max="7176" width="18.875" style="39" customWidth="1"/>
    <col min="7177" max="7177" width="16.625" style="39" customWidth="1"/>
    <col min="7178" max="7178" width="12.625" style="39" customWidth="1"/>
    <col min="7179" max="7179" width="13.625" style="39" customWidth="1"/>
    <col min="7180" max="7180" width="9.375" style="39" customWidth="1"/>
    <col min="7181" max="7181" width="12.625" style="39" customWidth="1"/>
    <col min="7182" max="7426" width="9" style="39"/>
    <col min="7427" max="7427" width="5.375" style="39" customWidth="1"/>
    <col min="7428" max="7428" width="19.5" style="39" customWidth="1"/>
    <col min="7429" max="7429" width="34.75" style="39" customWidth="1"/>
    <col min="7430" max="7430" width="8.5" style="39" customWidth="1"/>
    <col min="7431" max="7431" width="7.625" style="39" customWidth="1"/>
    <col min="7432" max="7432" width="18.875" style="39" customWidth="1"/>
    <col min="7433" max="7433" width="16.625" style="39" customWidth="1"/>
    <col min="7434" max="7434" width="12.625" style="39" customWidth="1"/>
    <col min="7435" max="7435" width="13.625" style="39" customWidth="1"/>
    <col min="7436" max="7436" width="9.375" style="39" customWidth="1"/>
    <col min="7437" max="7437" width="12.625" style="39" customWidth="1"/>
    <col min="7438" max="7682" width="9" style="39"/>
    <col min="7683" max="7683" width="5.375" style="39" customWidth="1"/>
    <col min="7684" max="7684" width="19.5" style="39" customWidth="1"/>
    <col min="7685" max="7685" width="34.75" style="39" customWidth="1"/>
    <col min="7686" max="7686" width="8.5" style="39" customWidth="1"/>
    <col min="7687" max="7687" width="7.625" style="39" customWidth="1"/>
    <col min="7688" max="7688" width="18.875" style="39" customWidth="1"/>
    <col min="7689" max="7689" width="16.625" style="39" customWidth="1"/>
    <col min="7690" max="7690" width="12.625" style="39" customWidth="1"/>
    <col min="7691" max="7691" width="13.625" style="39" customWidth="1"/>
    <col min="7692" max="7692" width="9.375" style="39" customWidth="1"/>
    <col min="7693" max="7693" width="12.625" style="39" customWidth="1"/>
    <col min="7694" max="7938" width="9" style="39"/>
    <col min="7939" max="7939" width="5.375" style="39" customWidth="1"/>
    <col min="7940" max="7940" width="19.5" style="39" customWidth="1"/>
    <col min="7941" max="7941" width="34.75" style="39" customWidth="1"/>
    <col min="7942" max="7942" width="8.5" style="39" customWidth="1"/>
    <col min="7943" max="7943" width="7.625" style="39" customWidth="1"/>
    <col min="7944" max="7944" width="18.875" style="39" customWidth="1"/>
    <col min="7945" max="7945" width="16.625" style="39" customWidth="1"/>
    <col min="7946" max="7946" width="12.625" style="39" customWidth="1"/>
    <col min="7947" max="7947" width="13.625" style="39" customWidth="1"/>
    <col min="7948" max="7948" width="9.375" style="39" customWidth="1"/>
    <col min="7949" max="7949" width="12.625" style="39" customWidth="1"/>
    <col min="7950" max="8194" width="9" style="39"/>
    <col min="8195" max="8195" width="5.375" style="39" customWidth="1"/>
    <col min="8196" max="8196" width="19.5" style="39" customWidth="1"/>
    <col min="8197" max="8197" width="34.75" style="39" customWidth="1"/>
    <col min="8198" max="8198" width="8.5" style="39" customWidth="1"/>
    <col min="8199" max="8199" width="7.625" style="39" customWidth="1"/>
    <col min="8200" max="8200" width="18.875" style="39" customWidth="1"/>
    <col min="8201" max="8201" width="16.625" style="39" customWidth="1"/>
    <col min="8202" max="8202" width="12.625" style="39" customWidth="1"/>
    <col min="8203" max="8203" width="13.625" style="39" customWidth="1"/>
    <col min="8204" max="8204" width="9.375" style="39" customWidth="1"/>
    <col min="8205" max="8205" width="12.625" style="39" customWidth="1"/>
    <col min="8206" max="8450" width="9" style="39"/>
    <col min="8451" max="8451" width="5.375" style="39" customWidth="1"/>
    <col min="8452" max="8452" width="19.5" style="39" customWidth="1"/>
    <col min="8453" max="8453" width="34.75" style="39" customWidth="1"/>
    <col min="8454" max="8454" width="8.5" style="39" customWidth="1"/>
    <col min="8455" max="8455" width="7.625" style="39" customWidth="1"/>
    <col min="8456" max="8456" width="18.875" style="39" customWidth="1"/>
    <col min="8457" max="8457" width="16.625" style="39" customWidth="1"/>
    <col min="8458" max="8458" width="12.625" style="39" customWidth="1"/>
    <col min="8459" max="8459" width="13.625" style="39" customWidth="1"/>
    <col min="8460" max="8460" width="9.375" style="39" customWidth="1"/>
    <col min="8461" max="8461" width="12.625" style="39" customWidth="1"/>
    <col min="8462" max="8706" width="9" style="39"/>
    <col min="8707" max="8707" width="5.375" style="39" customWidth="1"/>
    <col min="8708" max="8708" width="19.5" style="39" customWidth="1"/>
    <col min="8709" max="8709" width="34.75" style="39" customWidth="1"/>
    <col min="8710" max="8710" width="8.5" style="39" customWidth="1"/>
    <col min="8711" max="8711" width="7.625" style="39" customWidth="1"/>
    <col min="8712" max="8712" width="18.875" style="39" customWidth="1"/>
    <col min="8713" max="8713" width="16.625" style="39" customWidth="1"/>
    <col min="8714" max="8714" width="12.625" style="39" customWidth="1"/>
    <col min="8715" max="8715" width="13.625" style="39" customWidth="1"/>
    <col min="8716" max="8716" width="9.375" style="39" customWidth="1"/>
    <col min="8717" max="8717" width="12.625" style="39" customWidth="1"/>
    <col min="8718" max="8962" width="9" style="39"/>
    <col min="8963" max="8963" width="5.375" style="39" customWidth="1"/>
    <col min="8964" max="8964" width="19.5" style="39" customWidth="1"/>
    <col min="8965" max="8965" width="34.75" style="39" customWidth="1"/>
    <col min="8966" max="8966" width="8.5" style="39" customWidth="1"/>
    <col min="8967" max="8967" width="7.625" style="39" customWidth="1"/>
    <col min="8968" max="8968" width="18.875" style="39" customWidth="1"/>
    <col min="8969" max="8969" width="16.625" style="39" customWidth="1"/>
    <col min="8970" max="8970" width="12.625" style="39" customWidth="1"/>
    <col min="8971" max="8971" width="13.625" style="39" customWidth="1"/>
    <col min="8972" max="8972" width="9.375" style="39" customWidth="1"/>
    <col min="8973" max="8973" width="12.625" style="39" customWidth="1"/>
    <col min="8974" max="9218" width="9" style="39"/>
    <col min="9219" max="9219" width="5.375" style="39" customWidth="1"/>
    <col min="9220" max="9220" width="19.5" style="39" customWidth="1"/>
    <col min="9221" max="9221" width="34.75" style="39" customWidth="1"/>
    <col min="9222" max="9222" width="8.5" style="39" customWidth="1"/>
    <col min="9223" max="9223" width="7.625" style="39" customWidth="1"/>
    <col min="9224" max="9224" width="18.875" style="39" customWidth="1"/>
    <col min="9225" max="9225" width="16.625" style="39" customWidth="1"/>
    <col min="9226" max="9226" width="12.625" style="39" customWidth="1"/>
    <col min="9227" max="9227" width="13.625" style="39" customWidth="1"/>
    <col min="9228" max="9228" width="9.375" style="39" customWidth="1"/>
    <col min="9229" max="9229" width="12.625" style="39" customWidth="1"/>
    <col min="9230" max="9474" width="9" style="39"/>
    <col min="9475" max="9475" width="5.375" style="39" customWidth="1"/>
    <col min="9476" max="9476" width="19.5" style="39" customWidth="1"/>
    <col min="9477" max="9477" width="34.75" style="39" customWidth="1"/>
    <col min="9478" max="9478" width="8.5" style="39" customWidth="1"/>
    <col min="9479" max="9479" width="7.625" style="39" customWidth="1"/>
    <col min="9480" max="9480" width="18.875" style="39" customWidth="1"/>
    <col min="9481" max="9481" width="16.625" style="39" customWidth="1"/>
    <col min="9482" max="9482" width="12.625" style="39" customWidth="1"/>
    <col min="9483" max="9483" width="13.625" style="39" customWidth="1"/>
    <col min="9484" max="9484" width="9.375" style="39" customWidth="1"/>
    <col min="9485" max="9485" width="12.625" style="39" customWidth="1"/>
    <col min="9486" max="9730" width="9" style="39"/>
    <col min="9731" max="9731" width="5.375" style="39" customWidth="1"/>
    <col min="9732" max="9732" width="19.5" style="39" customWidth="1"/>
    <col min="9733" max="9733" width="34.75" style="39" customWidth="1"/>
    <col min="9734" max="9734" width="8.5" style="39" customWidth="1"/>
    <col min="9735" max="9735" width="7.625" style="39" customWidth="1"/>
    <col min="9736" max="9736" width="18.875" style="39" customWidth="1"/>
    <col min="9737" max="9737" width="16.625" style="39" customWidth="1"/>
    <col min="9738" max="9738" width="12.625" style="39" customWidth="1"/>
    <col min="9739" max="9739" width="13.625" style="39" customWidth="1"/>
    <col min="9740" max="9740" width="9.375" style="39" customWidth="1"/>
    <col min="9741" max="9741" width="12.625" style="39" customWidth="1"/>
    <col min="9742" max="9986" width="9" style="39"/>
    <col min="9987" max="9987" width="5.375" style="39" customWidth="1"/>
    <col min="9988" max="9988" width="19.5" style="39" customWidth="1"/>
    <col min="9989" max="9989" width="34.75" style="39" customWidth="1"/>
    <col min="9990" max="9990" width="8.5" style="39" customWidth="1"/>
    <col min="9991" max="9991" width="7.625" style="39" customWidth="1"/>
    <col min="9992" max="9992" width="18.875" style="39" customWidth="1"/>
    <col min="9993" max="9993" width="16.625" style="39" customWidth="1"/>
    <col min="9994" max="9994" width="12.625" style="39" customWidth="1"/>
    <col min="9995" max="9995" width="13.625" style="39" customWidth="1"/>
    <col min="9996" max="9996" width="9.375" style="39" customWidth="1"/>
    <col min="9997" max="9997" width="12.625" style="39" customWidth="1"/>
    <col min="9998" max="10242" width="9" style="39"/>
    <col min="10243" max="10243" width="5.375" style="39" customWidth="1"/>
    <col min="10244" max="10244" width="19.5" style="39" customWidth="1"/>
    <col min="10245" max="10245" width="34.75" style="39" customWidth="1"/>
    <col min="10246" max="10246" width="8.5" style="39" customWidth="1"/>
    <col min="10247" max="10247" width="7.625" style="39" customWidth="1"/>
    <col min="10248" max="10248" width="18.875" style="39" customWidth="1"/>
    <col min="10249" max="10249" width="16.625" style="39" customWidth="1"/>
    <col min="10250" max="10250" width="12.625" style="39" customWidth="1"/>
    <col min="10251" max="10251" width="13.625" style="39" customWidth="1"/>
    <col min="10252" max="10252" width="9.375" style="39" customWidth="1"/>
    <col min="10253" max="10253" width="12.625" style="39" customWidth="1"/>
    <col min="10254" max="10498" width="9" style="39"/>
    <col min="10499" max="10499" width="5.375" style="39" customWidth="1"/>
    <col min="10500" max="10500" width="19.5" style="39" customWidth="1"/>
    <col min="10501" max="10501" width="34.75" style="39" customWidth="1"/>
    <col min="10502" max="10502" width="8.5" style="39" customWidth="1"/>
    <col min="10503" max="10503" width="7.625" style="39" customWidth="1"/>
    <col min="10504" max="10504" width="18.875" style="39" customWidth="1"/>
    <col min="10505" max="10505" width="16.625" style="39" customWidth="1"/>
    <col min="10506" max="10506" width="12.625" style="39" customWidth="1"/>
    <col min="10507" max="10507" width="13.625" style="39" customWidth="1"/>
    <col min="10508" max="10508" width="9.375" style="39" customWidth="1"/>
    <col min="10509" max="10509" width="12.625" style="39" customWidth="1"/>
    <col min="10510" max="10754" width="9" style="39"/>
    <col min="10755" max="10755" width="5.375" style="39" customWidth="1"/>
    <col min="10756" max="10756" width="19.5" style="39" customWidth="1"/>
    <col min="10757" max="10757" width="34.75" style="39" customWidth="1"/>
    <col min="10758" max="10758" width="8.5" style="39" customWidth="1"/>
    <col min="10759" max="10759" width="7.625" style="39" customWidth="1"/>
    <col min="10760" max="10760" width="18.875" style="39" customWidth="1"/>
    <col min="10761" max="10761" width="16.625" style="39" customWidth="1"/>
    <col min="10762" max="10762" width="12.625" style="39" customWidth="1"/>
    <col min="10763" max="10763" width="13.625" style="39" customWidth="1"/>
    <col min="10764" max="10764" width="9.375" style="39" customWidth="1"/>
    <col min="10765" max="10765" width="12.625" style="39" customWidth="1"/>
    <col min="10766" max="11010" width="9" style="39"/>
    <col min="11011" max="11011" width="5.375" style="39" customWidth="1"/>
    <col min="11012" max="11012" width="19.5" style="39" customWidth="1"/>
    <col min="11013" max="11013" width="34.75" style="39" customWidth="1"/>
    <col min="11014" max="11014" width="8.5" style="39" customWidth="1"/>
    <col min="11015" max="11015" width="7.625" style="39" customWidth="1"/>
    <col min="11016" max="11016" width="18.875" style="39" customWidth="1"/>
    <col min="11017" max="11017" width="16.625" style="39" customWidth="1"/>
    <col min="11018" max="11018" width="12.625" style="39" customWidth="1"/>
    <col min="11019" max="11019" width="13.625" style="39" customWidth="1"/>
    <col min="11020" max="11020" width="9.375" style="39" customWidth="1"/>
    <col min="11021" max="11021" width="12.625" style="39" customWidth="1"/>
    <col min="11022" max="11266" width="9" style="39"/>
    <col min="11267" max="11267" width="5.375" style="39" customWidth="1"/>
    <col min="11268" max="11268" width="19.5" style="39" customWidth="1"/>
    <col min="11269" max="11269" width="34.75" style="39" customWidth="1"/>
    <col min="11270" max="11270" width="8.5" style="39" customWidth="1"/>
    <col min="11271" max="11271" width="7.625" style="39" customWidth="1"/>
    <col min="11272" max="11272" width="18.875" style="39" customWidth="1"/>
    <col min="11273" max="11273" width="16.625" style="39" customWidth="1"/>
    <col min="11274" max="11274" width="12.625" style="39" customWidth="1"/>
    <col min="11275" max="11275" width="13.625" style="39" customWidth="1"/>
    <col min="11276" max="11276" width="9.375" style="39" customWidth="1"/>
    <col min="11277" max="11277" width="12.625" style="39" customWidth="1"/>
    <col min="11278" max="11522" width="9" style="39"/>
    <col min="11523" max="11523" width="5.375" style="39" customWidth="1"/>
    <col min="11524" max="11524" width="19.5" style="39" customWidth="1"/>
    <col min="11525" max="11525" width="34.75" style="39" customWidth="1"/>
    <col min="11526" max="11526" width="8.5" style="39" customWidth="1"/>
    <col min="11527" max="11527" width="7.625" style="39" customWidth="1"/>
    <col min="11528" max="11528" width="18.875" style="39" customWidth="1"/>
    <col min="11529" max="11529" width="16.625" style="39" customWidth="1"/>
    <col min="11530" max="11530" width="12.625" style="39" customWidth="1"/>
    <col min="11531" max="11531" width="13.625" style="39" customWidth="1"/>
    <col min="11532" max="11532" width="9.375" style="39" customWidth="1"/>
    <col min="11533" max="11533" width="12.625" style="39" customWidth="1"/>
    <col min="11534" max="11778" width="9" style="39"/>
    <col min="11779" max="11779" width="5.375" style="39" customWidth="1"/>
    <col min="11780" max="11780" width="19.5" style="39" customWidth="1"/>
    <col min="11781" max="11781" width="34.75" style="39" customWidth="1"/>
    <col min="11782" max="11782" width="8.5" style="39" customWidth="1"/>
    <col min="11783" max="11783" width="7.625" style="39" customWidth="1"/>
    <col min="11784" max="11784" width="18.875" style="39" customWidth="1"/>
    <col min="11785" max="11785" width="16.625" style="39" customWidth="1"/>
    <col min="11786" max="11786" width="12.625" style="39" customWidth="1"/>
    <col min="11787" max="11787" width="13.625" style="39" customWidth="1"/>
    <col min="11788" max="11788" width="9.375" style="39" customWidth="1"/>
    <col min="11789" max="11789" width="12.625" style="39" customWidth="1"/>
    <col min="11790" max="12034" width="9" style="39"/>
    <col min="12035" max="12035" width="5.375" style="39" customWidth="1"/>
    <col min="12036" max="12036" width="19.5" style="39" customWidth="1"/>
    <col min="12037" max="12037" width="34.75" style="39" customWidth="1"/>
    <col min="12038" max="12038" width="8.5" style="39" customWidth="1"/>
    <col min="12039" max="12039" width="7.625" style="39" customWidth="1"/>
    <col min="12040" max="12040" width="18.875" style="39" customWidth="1"/>
    <col min="12041" max="12041" width="16.625" style="39" customWidth="1"/>
    <col min="12042" max="12042" width="12.625" style="39" customWidth="1"/>
    <col min="12043" max="12043" width="13.625" style="39" customWidth="1"/>
    <col min="12044" max="12044" width="9.375" style="39" customWidth="1"/>
    <col min="12045" max="12045" width="12.625" style="39" customWidth="1"/>
    <col min="12046" max="12290" width="9" style="39"/>
    <col min="12291" max="12291" width="5.375" style="39" customWidth="1"/>
    <col min="12292" max="12292" width="19.5" style="39" customWidth="1"/>
    <col min="12293" max="12293" width="34.75" style="39" customWidth="1"/>
    <col min="12294" max="12294" width="8.5" style="39" customWidth="1"/>
    <col min="12295" max="12295" width="7.625" style="39" customWidth="1"/>
    <col min="12296" max="12296" width="18.875" style="39" customWidth="1"/>
    <col min="12297" max="12297" width="16.625" style="39" customWidth="1"/>
    <col min="12298" max="12298" width="12.625" style="39" customWidth="1"/>
    <col min="12299" max="12299" width="13.625" style="39" customWidth="1"/>
    <col min="12300" max="12300" width="9.375" style="39" customWidth="1"/>
    <col min="12301" max="12301" width="12.625" style="39" customWidth="1"/>
    <col min="12302" max="12546" width="9" style="39"/>
    <col min="12547" max="12547" width="5.375" style="39" customWidth="1"/>
    <col min="12548" max="12548" width="19.5" style="39" customWidth="1"/>
    <col min="12549" max="12549" width="34.75" style="39" customWidth="1"/>
    <col min="12550" max="12550" width="8.5" style="39" customWidth="1"/>
    <col min="12551" max="12551" width="7.625" style="39" customWidth="1"/>
    <col min="12552" max="12552" width="18.875" style="39" customWidth="1"/>
    <col min="12553" max="12553" width="16.625" style="39" customWidth="1"/>
    <col min="12554" max="12554" width="12.625" style="39" customWidth="1"/>
    <col min="12555" max="12555" width="13.625" style="39" customWidth="1"/>
    <col min="12556" max="12556" width="9.375" style="39" customWidth="1"/>
    <col min="12557" max="12557" width="12.625" style="39" customWidth="1"/>
    <col min="12558" max="12802" width="9" style="39"/>
    <col min="12803" max="12803" width="5.375" style="39" customWidth="1"/>
    <col min="12804" max="12804" width="19.5" style="39" customWidth="1"/>
    <col min="12805" max="12805" width="34.75" style="39" customWidth="1"/>
    <col min="12806" max="12806" width="8.5" style="39" customWidth="1"/>
    <col min="12807" max="12807" width="7.625" style="39" customWidth="1"/>
    <col min="12808" max="12808" width="18.875" style="39" customWidth="1"/>
    <col min="12809" max="12809" width="16.625" style="39" customWidth="1"/>
    <col min="12810" max="12810" width="12.625" style="39" customWidth="1"/>
    <col min="12811" max="12811" width="13.625" style="39" customWidth="1"/>
    <col min="12812" max="12812" width="9.375" style="39" customWidth="1"/>
    <col min="12813" max="12813" width="12.625" style="39" customWidth="1"/>
    <col min="12814" max="13058" width="9" style="39"/>
    <col min="13059" max="13059" width="5.375" style="39" customWidth="1"/>
    <col min="13060" max="13060" width="19.5" style="39" customWidth="1"/>
    <col min="13061" max="13061" width="34.75" style="39" customWidth="1"/>
    <col min="13062" max="13062" width="8.5" style="39" customWidth="1"/>
    <col min="13063" max="13063" width="7.625" style="39" customWidth="1"/>
    <col min="13064" max="13064" width="18.875" style="39" customWidth="1"/>
    <col min="13065" max="13065" width="16.625" style="39" customWidth="1"/>
    <col min="13066" max="13066" width="12.625" style="39" customWidth="1"/>
    <col min="13067" max="13067" width="13.625" style="39" customWidth="1"/>
    <col min="13068" max="13068" width="9.375" style="39" customWidth="1"/>
    <col min="13069" max="13069" width="12.625" style="39" customWidth="1"/>
    <col min="13070" max="13314" width="9" style="39"/>
    <col min="13315" max="13315" width="5.375" style="39" customWidth="1"/>
    <col min="13316" max="13316" width="19.5" style="39" customWidth="1"/>
    <col min="13317" max="13317" width="34.75" style="39" customWidth="1"/>
    <col min="13318" max="13318" width="8.5" style="39" customWidth="1"/>
    <col min="13319" max="13319" width="7.625" style="39" customWidth="1"/>
    <col min="13320" max="13320" width="18.875" style="39" customWidth="1"/>
    <col min="13321" max="13321" width="16.625" style="39" customWidth="1"/>
    <col min="13322" max="13322" width="12.625" style="39" customWidth="1"/>
    <col min="13323" max="13323" width="13.625" style="39" customWidth="1"/>
    <col min="13324" max="13324" width="9.375" style="39" customWidth="1"/>
    <col min="13325" max="13325" width="12.625" style="39" customWidth="1"/>
    <col min="13326" max="13570" width="9" style="39"/>
    <col min="13571" max="13571" width="5.375" style="39" customWidth="1"/>
    <col min="13572" max="13572" width="19.5" style="39" customWidth="1"/>
    <col min="13573" max="13573" width="34.75" style="39" customWidth="1"/>
    <col min="13574" max="13574" width="8.5" style="39" customWidth="1"/>
    <col min="13575" max="13575" width="7.625" style="39" customWidth="1"/>
    <col min="13576" max="13576" width="18.875" style="39" customWidth="1"/>
    <col min="13577" max="13577" width="16.625" style="39" customWidth="1"/>
    <col min="13578" max="13578" width="12.625" style="39" customWidth="1"/>
    <col min="13579" max="13579" width="13.625" style="39" customWidth="1"/>
    <col min="13580" max="13580" width="9.375" style="39" customWidth="1"/>
    <col min="13581" max="13581" width="12.625" style="39" customWidth="1"/>
    <col min="13582" max="13826" width="9" style="39"/>
    <col min="13827" max="13827" width="5.375" style="39" customWidth="1"/>
    <col min="13828" max="13828" width="19.5" style="39" customWidth="1"/>
    <col min="13829" max="13829" width="34.75" style="39" customWidth="1"/>
    <col min="13830" max="13830" width="8.5" style="39" customWidth="1"/>
    <col min="13831" max="13831" width="7.625" style="39" customWidth="1"/>
    <col min="13832" max="13832" width="18.875" style="39" customWidth="1"/>
    <col min="13833" max="13833" width="16.625" style="39" customWidth="1"/>
    <col min="13834" max="13834" width="12.625" style="39" customWidth="1"/>
    <col min="13835" max="13835" width="13.625" style="39" customWidth="1"/>
    <col min="13836" max="13836" width="9.375" style="39" customWidth="1"/>
    <col min="13837" max="13837" width="12.625" style="39" customWidth="1"/>
    <col min="13838" max="14082" width="9" style="39"/>
    <col min="14083" max="14083" width="5.375" style="39" customWidth="1"/>
    <col min="14084" max="14084" width="19.5" style="39" customWidth="1"/>
    <col min="14085" max="14085" width="34.75" style="39" customWidth="1"/>
    <col min="14086" max="14086" width="8.5" style="39" customWidth="1"/>
    <col min="14087" max="14087" width="7.625" style="39" customWidth="1"/>
    <col min="14088" max="14088" width="18.875" style="39" customWidth="1"/>
    <col min="14089" max="14089" width="16.625" style="39" customWidth="1"/>
    <col min="14090" max="14090" width="12.625" style="39" customWidth="1"/>
    <col min="14091" max="14091" width="13.625" style="39" customWidth="1"/>
    <col min="14092" max="14092" width="9.375" style="39" customWidth="1"/>
    <col min="14093" max="14093" width="12.625" style="39" customWidth="1"/>
    <col min="14094" max="14338" width="9" style="39"/>
    <col min="14339" max="14339" width="5.375" style="39" customWidth="1"/>
    <col min="14340" max="14340" width="19.5" style="39" customWidth="1"/>
    <col min="14341" max="14341" width="34.75" style="39" customWidth="1"/>
    <col min="14342" max="14342" width="8.5" style="39" customWidth="1"/>
    <col min="14343" max="14343" width="7.625" style="39" customWidth="1"/>
    <col min="14344" max="14344" width="18.875" style="39" customWidth="1"/>
    <col min="14345" max="14345" width="16.625" style="39" customWidth="1"/>
    <col min="14346" max="14346" width="12.625" style="39" customWidth="1"/>
    <col min="14347" max="14347" width="13.625" style="39" customWidth="1"/>
    <col min="14348" max="14348" width="9.375" style="39" customWidth="1"/>
    <col min="14349" max="14349" width="12.625" style="39" customWidth="1"/>
    <col min="14350" max="14594" width="9" style="39"/>
    <col min="14595" max="14595" width="5.375" style="39" customWidth="1"/>
    <col min="14596" max="14596" width="19.5" style="39" customWidth="1"/>
    <col min="14597" max="14597" width="34.75" style="39" customWidth="1"/>
    <col min="14598" max="14598" width="8.5" style="39" customWidth="1"/>
    <col min="14599" max="14599" width="7.625" style="39" customWidth="1"/>
    <col min="14600" max="14600" width="18.875" style="39" customWidth="1"/>
    <col min="14601" max="14601" width="16.625" style="39" customWidth="1"/>
    <col min="14602" max="14602" width="12.625" style="39" customWidth="1"/>
    <col min="14603" max="14603" width="13.625" style="39" customWidth="1"/>
    <col min="14604" max="14604" width="9.375" style="39" customWidth="1"/>
    <col min="14605" max="14605" width="12.625" style="39" customWidth="1"/>
    <col min="14606" max="14850" width="9" style="39"/>
    <col min="14851" max="14851" width="5.375" style="39" customWidth="1"/>
    <col min="14852" max="14852" width="19.5" style="39" customWidth="1"/>
    <col min="14853" max="14853" width="34.75" style="39" customWidth="1"/>
    <col min="14854" max="14854" width="8.5" style="39" customWidth="1"/>
    <col min="14855" max="14855" width="7.625" style="39" customWidth="1"/>
    <col min="14856" max="14856" width="18.875" style="39" customWidth="1"/>
    <col min="14857" max="14857" width="16.625" style="39" customWidth="1"/>
    <col min="14858" max="14858" width="12.625" style="39" customWidth="1"/>
    <col min="14859" max="14859" width="13.625" style="39" customWidth="1"/>
    <col min="14860" max="14860" width="9.375" style="39" customWidth="1"/>
    <col min="14861" max="14861" width="12.625" style="39" customWidth="1"/>
    <col min="14862" max="15106" width="9" style="39"/>
    <col min="15107" max="15107" width="5.375" style="39" customWidth="1"/>
    <col min="15108" max="15108" width="19.5" style="39" customWidth="1"/>
    <col min="15109" max="15109" width="34.75" style="39" customWidth="1"/>
    <col min="15110" max="15110" width="8.5" style="39" customWidth="1"/>
    <col min="15111" max="15111" width="7.625" style="39" customWidth="1"/>
    <col min="15112" max="15112" width="18.875" style="39" customWidth="1"/>
    <col min="15113" max="15113" width="16.625" style="39" customWidth="1"/>
    <col min="15114" max="15114" width="12.625" style="39" customWidth="1"/>
    <col min="15115" max="15115" width="13.625" style="39" customWidth="1"/>
    <col min="15116" max="15116" width="9.375" style="39" customWidth="1"/>
    <col min="15117" max="15117" width="12.625" style="39" customWidth="1"/>
    <col min="15118" max="15362" width="9" style="39"/>
    <col min="15363" max="15363" width="5.375" style="39" customWidth="1"/>
    <col min="15364" max="15364" width="19.5" style="39" customWidth="1"/>
    <col min="15365" max="15365" width="34.75" style="39" customWidth="1"/>
    <col min="15366" max="15366" width="8.5" style="39" customWidth="1"/>
    <col min="15367" max="15367" width="7.625" style="39" customWidth="1"/>
    <col min="15368" max="15368" width="18.875" style="39" customWidth="1"/>
    <col min="15369" max="15369" width="16.625" style="39" customWidth="1"/>
    <col min="15370" max="15370" width="12.625" style="39" customWidth="1"/>
    <col min="15371" max="15371" width="13.625" style="39" customWidth="1"/>
    <col min="15372" max="15372" width="9.375" style="39" customWidth="1"/>
    <col min="15373" max="15373" width="12.625" style="39" customWidth="1"/>
    <col min="15374" max="15618" width="9" style="39"/>
    <col min="15619" max="15619" width="5.375" style="39" customWidth="1"/>
    <col min="15620" max="15620" width="19.5" style="39" customWidth="1"/>
    <col min="15621" max="15621" width="34.75" style="39" customWidth="1"/>
    <col min="15622" max="15622" width="8.5" style="39" customWidth="1"/>
    <col min="15623" max="15623" width="7.625" style="39" customWidth="1"/>
    <col min="15624" max="15624" width="18.875" style="39" customWidth="1"/>
    <col min="15625" max="15625" width="16.625" style="39" customWidth="1"/>
    <col min="15626" max="15626" width="12.625" style="39" customWidth="1"/>
    <col min="15627" max="15627" width="13.625" style="39" customWidth="1"/>
    <col min="15628" max="15628" width="9.375" style="39" customWidth="1"/>
    <col min="15629" max="15629" width="12.625" style="39" customWidth="1"/>
    <col min="15630" max="15874" width="9" style="39"/>
    <col min="15875" max="15875" width="5.375" style="39" customWidth="1"/>
    <col min="15876" max="15876" width="19.5" style="39" customWidth="1"/>
    <col min="15877" max="15877" width="34.75" style="39" customWidth="1"/>
    <col min="15878" max="15878" width="8.5" style="39" customWidth="1"/>
    <col min="15879" max="15879" width="7.625" style="39" customWidth="1"/>
    <col min="15880" max="15880" width="18.875" style="39" customWidth="1"/>
    <col min="15881" max="15881" width="16.625" style="39" customWidth="1"/>
    <col min="15882" max="15882" width="12.625" style="39" customWidth="1"/>
    <col min="15883" max="15883" width="13.625" style="39" customWidth="1"/>
    <col min="15884" max="15884" width="9.375" style="39" customWidth="1"/>
    <col min="15885" max="15885" width="12.625" style="39" customWidth="1"/>
    <col min="15886" max="16130" width="9" style="39"/>
    <col min="16131" max="16131" width="5.375" style="39" customWidth="1"/>
    <col min="16132" max="16132" width="19.5" style="39" customWidth="1"/>
    <col min="16133" max="16133" width="34.75" style="39" customWidth="1"/>
    <col min="16134" max="16134" width="8.5" style="39" customWidth="1"/>
    <col min="16135" max="16135" width="7.625" style="39" customWidth="1"/>
    <col min="16136" max="16136" width="18.875" style="39" customWidth="1"/>
    <col min="16137" max="16137" width="16.625" style="39" customWidth="1"/>
    <col min="16138" max="16138" width="12.625" style="39" customWidth="1"/>
    <col min="16139" max="16139" width="13.625" style="39" customWidth="1"/>
    <col min="16140" max="16140" width="9.375" style="39" customWidth="1"/>
    <col min="16141" max="16141" width="12.625" style="39" customWidth="1"/>
    <col min="16142" max="16384" width="9" style="39"/>
  </cols>
  <sheetData>
    <row r="1" s="2" customFormat="1" ht="20.25" customHeight="1" spans="1:15">
      <c r="A1" s="6" t="s">
        <v>71</v>
      </c>
      <c r="B1" s="6"/>
      <c r="C1" s="6"/>
      <c r="D1" s="6"/>
      <c r="E1" s="6"/>
      <c r="F1" s="6"/>
      <c r="G1" s="6"/>
      <c r="H1" s="6"/>
      <c r="I1" s="6"/>
      <c r="K1" s="21"/>
      <c r="L1" s="21"/>
      <c r="M1" s="21"/>
      <c r="N1" s="22"/>
      <c r="O1" s="21"/>
    </row>
    <row r="2" s="2" customFormat="1" ht="18" customHeight="1" spans="1:15">
      <c r="A2" s="7" t="s">
        <v>72</v>
      </c>
      <c r="B2" s="7"/>
      <c r="C2" s="7"/>
      <c r="D2" s="7"/>
      <c r="E2" s="7"/>
      <c r="F2" s="6"/>
      <c r="G2" s="6"/>
      <c r="H2" s="6"/>
      <c r="I2" s="6"/>
      <c r="K2" s="21"/>
      <c r="L2" s="21"/>
      <c r="M2" s="21"/>
      <c r="N2" s="22"/>
      <c r="O2" s="21"/>
    </row>
    <row r="3" customHeight="1" spans="1:11">
      <c r="A3" s="40" t="s">
        <v>73</v>
      </c>
      <c r="B3" s="41" t="s">
        <v>74</v>
      </c>
      <c r="C3" s="41" t="s">
        <v>75</v>
      </c>
      <c r="D3" s="41" t="s">
        <v>76</v>
      </c>
      <c r="E3" s="41" t="s">
        <v>14</v>
      </c>
      <c r="F3" s="41" t="s">
        <v>77</v>
      </c>
      <c r="G3" s="9" t="s">
        <v>78</v>
      </c>
      <c r="H3" s="9" t="s">
        <v>79</v>
      </c>
      <c r="I3" s="41" t="s">
        <v>80</v>
      </c>
      <c r="K3" s="52" t="s">
        <v>81</v>
      </c>
    </row>
    <row r="4" ht="18.95" customHeight="1" spans="1:17">
      <c r="A4" s="42">
        <v>1</v>
      </c>
      <c r="B4" s="43" t="s">
        <v>82</v>
      </c>
      <c r="C4" s="44"/>
      <c r="D4" s="44"/>
      <c r="E4" s="44"/>
      <c r="F4" s="44"/>
      <c r="G4" s="44"/>
      <c r="H4" s="44"/>
      <c r="I4" s="53"/>
      <c r="K4" s="54" t="s">
        <v>83</v>
      </c>
      <c r="L4" s="55"/>
      <c r="M4" s="55"/>
      <c r="N4" s="55"/>
      <c r="O4" s="55"/>
      <c r="P4" s="55"/>
      <c r="Q4" s="55"/>
    </row>
    <row r="5" ht="18.95" customHeight="1" spans="1:17">
      <c r="A5" s="40"/>
      <c r="B5" s="45" t="s">
        <v>84</v>
      </c>
      <c r="C5" s="41" t="s">
        <v>85</v>
      </c>
      <c r="D5" s="41" t="s">
        <v>86</v>
      </c>
      <c r="E5" s="41" t="s">
        <v>23</v>
      </c>
      <c r="F5" s="41">
        <v>192</v>
      </c>
      <c r="G5" s="17">
        <v>67.71</v>
      </c>
      <c r="H5" s="46">
        <f>F5*G5</f>
        <v>13000.32</v>
      </c>
      <c r="I5" s="41"/>
      <c r="J5" s="56">
        <f>H5/$H$69</f>
        <v>0.0130840755125775</v>
      </c>
      <c r="K5" s="55"/>
      <c r="L5" s="55"/>
      <c r="M5" s="55"/>
      <c r="N5" s="55"/>
      <c r="O5" s="55"/>
      <c r="P5" s="55"/>
      <c r="Q5" s="55"/>
    </row>
    <row r="6" ht="18.95" customHeight="1" spans="1:17">
      <c r="A6" s="40"/>
      <c r="B6" s="45" t="s">
        <v>84</v>
      </c>
      <c r="C6" s="41" t="s">
        <v>87</v>
      </c>
      <c r="D6" s="41" t="s">
        <v>86</v>
      </c>
      <c r="E6" s="41" t="s">
        <v>23</v>
      </c>
      <c r="F6" s="41">
        <v>259</v>
      </c>
      <c r="G6" s="41">
        <v>39.37</v>
      </c>
      <c r="H6" s="46">
        <f t="shared" ref="H6:H73" si="0">F6*G6</f>
        <v>10196.83</v>
      </c>
      <c r="I6" s="41"/>
      <c r="J6" s="56">
        <f t="shared" ref="J6:J69" si="1">H6/$H$69</f>
        <v>0.0102625238231763</v>
      </c>
      <c r="K6" s="55"/>
      <c r="L6" s="55"/>
      <c r="M6" s="55"/>
      <c r="N6" s="55"/>
      <c r="O6" s="55"/>
      <c r="P6" s="55"/>
      <c r="Q6" s="55"/>
    </row>
    <row r="7" ht="18.95" customHeight="1" spans="1:17">
      <c r="A7" s="40"/>
      <c r="B7" s="45" t="s">
        <v>84</v>
      </c>
      <c r="C7" s="41" t="s">
        <v>88</v>
      </c>
      <c r="D7" s="41" t="s">
        <v>86</v>
      </c>
      <c r="E7" s="41" t="s">
        <v>23</v>
      </c>
      <c r="F7" s="41">
        <v>170</v>
      </c>
      <c r="G7" s="41">
        <v>31.5</v>
      </c>
      <c r="H7" s="46">
        <f t="shared" si="0"/>
        <v>5355</v>
      </c>
      <c r="I7" s="41"/>
      <c r="J7" s="56">
        <f t="shared" si="1"/>
        <v>0.00538949997921993</v>
      </c>
      <c r="K7" s="55"/>
      <c r="L7" s="55"/>
      <c r="M7" s="55"/>
      <c r="N7" s="55"/>
      <c r="O7" s="55"/>
      <c r="P7" s="55"/>
      <c r="Q7" s="55"/>
    </row>
    <row r="8" ht="18.95" customHeight="1" spans="1:17">
      <c r="A8" s="40"/>
      <c r="B8" s="45" t="s">
        <v>89</v>
      </c>
      <c r="C8" s="41" t="s">
        <v>90</v>
      </c>
      <c r="D8" s="41" t="s">
        <v>91</v>
      </c>
      <c r="E8" s="41" t="s">
        <v>23</v>
      </c>
      <c r="F8" s="41">
        <v>625</v>
      </c>
      <c r="G8" s="41">
        <v>91.41</v>
      </c>
      <c r="H8" s="46">
        <f t="shared" si="0"/>
        <v>57131.25</v>
      </c>
      <c r="I8" s="41"/>
      <c r="J8" s="56">
        <f t="shared" si="1"/>
        <v>0.0574993222572939</v>
      </c>
      <c r="K8" s="55"/>
      <c r="L8" s="55"/>
      <c r="M8" s="55"/>
      <c r="N8" s="55"/>
      <c r="O8" s="55"/>
      <c r="P8" s="55"/>
      <c r="Q8" s="55"/>
    </row>
    <row r="9" ht="18.95" customHeight="1" spans="1:17">
      <c r="A9" s="40"/>
      <c r="B9" s="45" t="s">
        <v>89</v>
      </c>
      <c r="C9" s="41" t="s">
        <v>92</v>
      </c>
      <c r="D9" s="41" t="s">
        <v>91</v>
      </c>
      <c r="E9" s="41" t="s">
        <v>23</v>
      </c>
      <c r="F9" s="41">
        <v>1804</v>
      </c>
      <c r="G9" s="41">
        <v>77.13</v>
      </c>
      <c r="H9" s="46">
        <f t="shared" si="0"/>
        <v>139142.52</v>
      </c>
      <c r="I9" s="41"/>
      <c r="J9" s="56">
        <f t="shared" si="1"/>
        <v>0.140038955863419</v>
      </c>
      <c r="K9" s="55"/>
      <c r="L9" s="55"/>
      <c r="M9" s="55"/>
      <c r="N9" s="55"/>
      <c r="O9" s="55"/>
      <c r="P9" s="55"/>
      <c r="Q9" s="55"/>
    </row>
    <row r="10" ht="18.95" customHeight="1" spans="1:17">
      <c r="A10" s="40"/>
      <c r="B10" s="45" t="s">
        <v>93</v>
      </c>
      <c r="C10" s="41" t="s">
        <v>94</v>
      </c>
      <c r="D10" s="41" t="s">
        <v>95</v>
      </c>
      <c r="E10" s="41" t="s">
        <v>96</v>
      </c>
      <c r="F10" s="41">
        <v>1</v>
      </c>
      <c r="G10" s="41">
        <v>112.63</v>
      </c>
      <c r="H10" s="46">
        <f t="shared" si="0"/>
        <v>112.63</v>
      </c>
      <c r="I10" s="41" t="s">
        <v>97</v>
      </c>
      <c r="J10" s="56">
        <f t="shared" si="1"/>
        <v>0.00011335562701392</v>
      </c>
      <c r="K10" s="55"/>
      <c r="L10" s="55"/>
      <c r="M10" s="55"/>
      <c r="N10" s="55"/>
      <c r="O10" s="55"/>
      <c r="P10" s="55"/>
      <c r="Q10" s="55"/>
    </row>
    <row r="11" ht="18.95" customHeight="1" spans="1:17">
      <c r="A11" s="40"/>
      <c r="B11" s="45" t="s">
        <v>93</v>
      </c>
      <c r="C11" s="41" t="s">
        <v>98</v>
      </c>
      <c r="D11" s="41" t="s">
        <v>95</v>
      </c>
      <c r="E11" s="41" t="s">
        <v>96</v>
      </c>
      <c r="F11" s="41">
        <v>5</v>
      </c>
      <c r="G11" s="41">
        <v>56.95</v>
      </c>
      <c r="H11" s="46">
        <f t="shared" si="0"/>
        <v>284.75</v>
      </c>
      <c r="I11" s="41" t="s">
        <v>97</v>
      </c>
      <c r="J11" s="56">
        <f t="shared" si="1"/>
        <v>0.000286584522704552</v>
      </c>
      <c r="K11" s="55"/>
      <c r="L11" s="55"/>
      <c r="M11" s="55"/>
      <c r="N11" s="55"/>
      <c r="O11" s="55"/>
      <c r="P11" s="55"/>
      <c r="Q11" s="55"/>
    </row>
    <row r="12" ht="18.95" customHeight="1" spans="1:17">
      <c r="A12" s="40"/>
      <c r="B12" s="45" t="s">
        <v>93</v>
      </c>
      <c r="C12" s="41" t="s">
        <v>99</v>
      </c>
      <c r="D12" s="41" t="s">
        <v>95</v>
      </c>
      <c r="E12" s="41" t="s">
        <v>96</v>
      </c>
      <c r="F12" s="41">
        <v>22</v>
      </c>
      <c r="G12" s="41">
        <v>40.19</v>
      </c>
      <c r="H12" s="46">
        <f t="shared" si="0"/>
        <v>884.18</v>
      </c>
      <c r="I12" s="41" t="s">
        <v>97</v>
      </c>
      <c r="J12" s="56">
        <f t="shared" si="1"/>
        <v>0.000889876394328044</v>
      </c>
      <c r="K12" s="55"/>
      <c r="L12" s="55"/>
      <c r="M12" s="55"/>
      <c r="N12" s="55"/>
      <c r="O12" s="55"/>
      <c r="P12" s="55"/>
      <c r="Q12" s="55"/>
    </row>
    <row r="13" ht="18.95" customHeight="1" spans="1:17">
      <c r="A13" s="40"/>
      <c r="B13" s="45" t="s">
        <v>100</v>
      </c>
      <c r="C13" s="41" t="s">
        <v>98</v>
      </c>
      <c r="D13" s="41" t="s">
        <v>91</v>
      </c>
      <c r="E13" s="41" t="s">
        <v>96</v>
      </c>
      <c r="F13" s="41">
        <v>1</v>
      </c>
      <c r="G13" s="17">
        <v>132.78</v>
      </c>
      <c r="H13" s="46">
        <f t="shared" si="0"/>
        <v>132.78</v>
      </c>
      <c r="I13" s="41"/>
      <c r="J13" s="56">
        <f t="shared" si="1"/>
        <v>0.000133635444862899</v>
      </c>
      <c r="K13" s="55"/>
      <c r="L13" s="55"/>
      <c r="M13" s="55"/>
      <c r="N13" s="55"/>
      <c r="O13" s="55"/>
      <c r="P13" s="55"/>
      <c r="Q13" s="55"/>
    </row>
    <row r="14" ht="18.95" customHeight="1" spans="1:17">
      <c r="A14" s="40"/>
      <c r="B14" s="45" t="s">
        <v>100</v>
      </c>
      <c r="C14" s="41" t="s">
        <v>101</v>
      </c>
      <c r="D14" s="41" t="s">
        <v>91</v>
      </c>
      <c r="E14" s="41" t="s">
        <v>96</v>
      </c>
      <c r="F14" s="41">
        <v>145</v>
      </c>
      <c r="G14" s="17">
        <v>68.16</v>
      </c>
      <c r="H14" s="46">
        <f t="shared" si="0"/>
        <v>9883.2</v>
      </c>
      <c r="I14" s="41"/>
      <c r="J14" s="56">
        <f t="shared" si="1"/>
        <v>0.00994687323895918</v>
      </c>
      <c r="K14" s="55"/>
      <c r="L14" s="55"/>
      <c r="M14" s="55"/>
      <c r="N14" s="55"/>
      <c r="O14" s="55"/>
      <c r="P14" s="55"/>
      <c r="Q14" s="55"/>
    </row>
    <row r="15" ht="18.95" customHeight="1" spans="1:17">
      <c r="A15" s="40"/>
      <c r="B15" s="45" t="s">
        <v>100</v>
      </c>
      <c r="C15" s="41" t="s">
        <v>102</v>
      </c>
      <c r="D15" s="41" t="s">
        <v>91</v>
      </c>
      <c r="E15" s="41" t="s">
        <v>96</v>
      </c>
      <c r="F15" s="41">
        <v>281</v>
      </c>
      <c r="G15" s="17">
        <v>57.26</v>
      </c>
      <c r="H15" s="46">
        <f t="shared" si="0"/>
        <v>16090.06</v>
      </c>
      <c r="I15" s="41"/>
      <c r="J15" s="56">
        <f t="shared" si="1"/>
        <v>0.0161937213885429</v>
      </c>
      <c r="K15" s="55"/>
      <c r="L15" s="55"/>
      <c r="M15" s="55"/>
      <c r="N15" s="55"/>
      <c r="O15" s="55"/>
      <c r="P15" s="55"/>
      <c r="Q15" s="55"/>
    </row>
    <row r="16" ht="18.95" customHeight="1" spans="1:10">
      <c r="A16" s="40"/>
      <c r="B16" s="45" t="s">
        <v>103</v>
      </c>
      <c r="C16" s="41" t="s">
        <v>104</v>
      </c>
      <c r="D16" s="41" t="s">
        <v>91</v>
      </c>
      <c r="E16" s="41" t="s">
        <v>96</v>
      </c>
      <c r="F16" s="41">
        <v>1</v>
      </c>
      <c r="G16" s="41">
        <v>176.41</v>
      </c>
      <c r="H16" s="46">
        <f t="shared" si="0"/>
        <v>176.41</v>
      </c>
      <c r="I16" s="41"/>
      <c r="J16" s="56">
        <f t="shared" si="1"/>
        <v>0.000177546534329447</v>
      </c>
    </row>
    <row r="17" ht="18.95" customHeight="1" spans="1:10">
      <c r="A17" s="40"/>
      <c r="B17" s="45" t="s">
        <v>103</v>
      </c>
      <c r="C17" s="41" t="s">
        <v>105</v>
      </c>
      <c r="D17" s="41" t="s">
        <v>91</v>
      </c>
      <c r="E17" s="41" t="s">
        <v>96</v>
      </c>
      <c r="F17" s="41">
        <v>4</v>
      </c>
      <c r="G17" s="41">
        <v>127.06</v>
      </c>
      <c r="H17" s="46">
        <f t="shared" si="0"/>
        <v>508.24</v>
      </c>
      <c r="I17" s="41"/>
      <c r="J17" s="56">
        <f t="shared" si="1"/>
        <v>0.000511514373377916</v>
      </c>
    </row>
    <row r="18" ht="18.95" customHeight="1" spans="1:10">
      <c r="A18" s="40"/>
      <c r="B18" s="45" t="s">
        <v>103</v>
      </c>
      <c r="C18" s="41" t="s">
        <v>106</v>
      </c>
      <c r="D18" s="41" t="s">
        <v>91</v>
      </c>
      <c r="E18" s="41" t="s">
        <v>96</v>
      </c>
      <c r="F18" s="41">
        <v>54</v>
      </c>
      <c r="G18" s="41">
        <v>127.06</v>
      </c>
      <c r="H18" s="46">
        <f t="shared" si="0"/>
        <v>6861.24</v>
      </c>
      <c r="I18" s="41"/>
      <c r="J18" s="56">
        <f t="shared" si="1"/>
        <v>0.00690544404060186</v>
      </c>
    </row>
    <row r="19" ht="18.95" customHeight="1" spans="1:10">
      <c r="A19" s="40"/>
      <c r="B19" s="45" t="s">
        <v>103</v>
      </c>
      <c r="C19" s="41" t="s">
        <v>107</v>
      </c>
      <c r="D19" s="41" t="s">
        <v>91</v>
      </c>
      <c r="E19" s="41" t="s">
        <v>96</v>
      </c>
      <c r="F19" s="41">
        <v>60</v>
      </c>
      <c r="G19" s="41">
        <v>98.5</v>
      </c>
      <c r="H19" s="46">
        <f t="shared" si="0"/>
        <v>5910</v>
      </c>
      <c r="I19" s="41"/>
      <c r="J19" s="56">
        <f t="shared" si="1"/>
        <v>0.00594807560731836</v>
      </c>
    </row>
    <row r="20" ht="18.95" customHeight="1" spans="1:10">
      <c r="A20" s="40"/>
      <c r="B20" s="45" t="s">
        <v>108</v>
      </c>
      <c r="C20" s="41" t="s">
        <v>101</v>
      </c>
      <c r="D20" s="41" t="s">
        <v>91</v>
      </c>
      <c r="E20" s="41" t="s">
        <v>96</v>
      </c>
      <c r="F20" s="41">
        <v>8</v>
      </c>
      <c r="G20" s="41">
        <v>52.2</v>
      </c>
      <c r="H20" s="46">
        <f t="shared" si="0"/>
        <v>417.6</v>
      </c>
      <c r="I20" s="41"/>
      <c r="J20" s="56">
        <f t="shared" si="1"/>
        <v>0.000420290418547571</v>
      </c>
    </row>
    <row r="21" ht="18.95" customHeight="1" spans="1:10">
      <c r="A21" s="40"/>
      <c r="B21" s="45" t="s">
        <v>108</v>
      </c>
      <c r="C21" s="41" t="s">
        <v>102</v>
      </c>
      <c r="D21" s="41" t="s">
        <v>91</v>
      </c>
      <c r="E21" s="41" t="s">
        <v>96</v>
      </c>
      <c r="F21" s="41">
        <v>75</v>
      </c>
      <c r="G21" s="41">
        <v>45</v>
      </c>
      <c r="H21" s="46">
        <f t="shared" si="0"/>
        <v>3375</v>
      </c>
      <c r="I21" s="41"/>
      <c r="J21" s="56">
        <f t="shared" si="1"/>
        <v>0.00339674368438231</v>
      </c>
    </row>
    <row r="22" ht="18.95" customHeight="1" spans="1:10">
      <c r="A22" s="40"/>
      <c r="B22" s="45" t="s">
        <v>109</v>
      </c>
      <c r="C22" s="41" t="s">
        <v>110</v>
      </c>
      <c r="D22" s="41" t="s">
        <v>91</v>
      </c>
      <c r="E22" s="41" t="s">
        <v>96</v>
      </c>
      <c r="F22" s="41">
        <v>1</v>
      </c>
      <c r="G22" s="41">
        <v>82.3</v>
      </c>
      <c r="H22" s="46">
        <f t="shared" si="0"/>
        <v>82.3</v>
      </c>
      <c r="I22" s="41"/>
      <c r="J22" s="56">
        <f t="shared" si="1"/>
        <v>8.28302237702708e-5</v>
      </c>
    </row>
    <row r="23" ht="18.95" customHeight="1" spans="1:10">
      <c r="A23" s="40"/>
      <c r="B23" s="45" t="s">
        <v>111</v>
      </c>
      <c r="C23" s="41" t="s">
        <v>112</v>
      </c>
      <c r="D23" s="41" t="s">
        <v>86</v>
      </c>
      <c r="E23" s="41" t="s">
        <v>96</v>
      </c>
      <c r="F23" s="41">
        <v>2</v>
      </c>
      <c r="G23" s="41">
        <v>94.07</v>
      </c>
      <c r="H23" s="46">
        <f t="shared" si="0"/>
        <v>188.14</v>
      </c>
      <c r="I23" s="41"/>
      <c r="J23" s="56">
        <f t="shared" si="1"/>
        <v>0.0001893521057125</v>
      </c>
    </row>
    <row r="24" ht="18.95" customHeight="1" spans="1:10">
      <c r="A24" s="40"/>
      <c r="B24" s="45" t="s">
        <v>111</v>
      </c>
      <c r="C24" s="41" t="s">
        <v>113</v>
      </c>
      <c r="D24" s="41" t="s">
        <v>86</v>
      </c>
      <c r="E24" s="41" t="s">
        <v>96</v>
      </c>
      <c r="F24" s="41">
        <v>2</v>
      </c>
      <c r="G24" s="41">
        <v>94.07</v>
      </c>
      <c r="H24" s="46">
        <f t="shared" si="0"/>
        <v>188.14</v>
      </c>
      <c r="I24" s="41"/>
      <c r="J24" s="56">
        <f t="shared" si="1"/>
        <v>0.0001893521057125</v>
      </c>
    </row>
    <row r="25" ht="18.95" customHeight="1" spans="1:10">
      <c r="A25" s="40"/>
      <c r="B25" s="45" t="s">
        <v>111</v>
      </c>
      <c r="C25" s="41" t="s">
        <v>114</v>
      </c>
      <c r="D25" s="41" t="s">
        <v>86</v>
      </c>
      <c r="E25" s="41" t="s">
        <v>96</v>
      </c>
      <c r="F25" s="41">
        <v>7</v>
      </c>
      <c r="G25" s="41">
        <v>94.07</v>
      </c>
      <c r="H25" s="46">
        <f t="shared" si="0"/>
        <v>658.49</v>
      </c>
      <c r="I25" s="41"/>
      <c r="J25" s="56">
        <f t="shared" si="1"/>
        <v>0.00066273236999375</v>
      </c>
    </row>
    <row r="26" ht="18.95" customHeight="1" spans="1:10">
      <c r="A26" s="40"/>
      <c r="B26" s="45" t="s">
        <v>111</v>
      </c>
      <c r="C26" s="41" t="s">
        <v>115</v>
      </c>
      <c r="D26" s="41" t="s">
        <v>86</v>
      </c>
      <c r="E26" s="41" t="s">
        <v>96</v>
      </c>
      <c r="F26" s="41">
        <v>11</v>
      </c>
      <c r="G26" s="41">
        <v>85.5</v>
      </c>
      <c r="H26" s="46">
        <f t="shared" si="0"/>
        <v>940.5</v>
      </c>
      <c r="I26" s="41"/>
      <c r="J26" s="56">
        <f t="shared" si="1"/>
        <v>0.00094655924004787</v>
      </c>
    </row>
    <row r="27" ht="18.95" customHeight="1" spans="1:10">
      <c r="A27" s="40"/>
      <c r="B27" s="45" t="s">
        <v>116</v>
      </c>
      <c r="C27" s="41" t="s">
        <v>117</v>
      </c>
      <c r="D27" s="41" t="s">
        <v>86</v>
      </c>
      <c r="E27" s="41" t="s">
        <v>96</v>
      </c>
      <c r="F27" s="41">
        <v>1</v>
      </c>
      <c r="G27" s="41">
        <v>99.52</v>
      </c>
      <c r="H27" s="46">
        <f t="shared" si="0"/>
        <v>99.52</v>
      </c>
      <c r="I27" s="41"/>
      <c r="J27" s="56">
        <f t="shared" si="1"/>
        <v>0.000100161164879919</v>
      </c>
    </row>
    <row r="28" ht="18.95" customHeight="1" spans="1:10">
      <c r="A28" s="40"/>
      <c r="B28" s="45" t="s">
        <v>116</v>
      </c>
      <c r="C28" s="41" t="s">
        <v>113</v>
      </c>
      <c r="D28" s="41" t="s">
        <v>86</v>
      </c>
      <c r="E28" s="41" t="s">
        <v>96</v>
      </c>
      <c r="F28" s="41">
        <v>2</v>
      </c>
      <c r="G28" s="41">
        <v>98.43</v>
      </c>
      <c r="H28" s="46">
        <f t="shared" si="0"/>
        <v>196.86</v>
      </c>
      <c r="I28" s="41"/>
      <c r="J28" s="56">
        <f t="shared" si="1"/>
        <v>0.000198128284950371</v>
      </c>
    </row>
    <row r="29" ht="18.95" customHeight="1" spans="1:10">
      <c r="A29" s="40"/>
      <c r="B29" s="45" t="s">
        <v>116</v>
      </c>
      <c r="C29" s="41" t="s">
        <v>114</v>
      </c>
      <c r="D29" s="41" t="s">
        <v>86</v>
      </c>
      <c r="E29" s="41" t="s">
        <v>96</v>
      </c>
      <c r="F29" s="41">
        <v>1</v>
      </c>
      <c r="G29" s="41">
        <v>98.43</v>
      </c>
      <c r="H29" s="46">
        <f t="shared" si="0"/>
        <v>98.43</v>
      </c>
      <c r="I29" s="41"/>
      <c r="J29" s="56">
        <f t="shared" si="1"/>
        <v>9.90641424751854e-5</v>
      </c>
    </row>
    <row r="30" ht="18.95" customHeight="1" spans="1:10">
      <c r="A30" s="40"/>
      <c r="B30" s="45" t="s">
        <v>116</v>
      </c>
      <c r="C30" s="41" t="s">
        <v>115</v>
      </c>
      <c r="D30" s="41" t="s">
        <v>86</v>
      </c>
      <c r="E30" s="41" t="s">
        <v>96</v>
      </c>
      <c r="F30" s="41">
        <v>2</v>
      </c>
      <c r="G30" s="41">
        <v>62.2</v>
      </c>
      <c r="H30" s="46">
        <f t="shared" si="0"/>
        <v>124.4</v>
      </c>
      <c r="I30" s="41"/>
      <c r="J30" s="56">
        <f t="shared" si="1"/>
        <v>0.000125201456099899</v>
      </c>
    </row>
    <row r="31" ht="18.95" customHeight="1" spans="1:10">
      <c r="A31" s="40"/>
      <c r="B31" s="45" t="s">
        <v>118</v>
      </c>
      <c r="C31" s="41" t="s">
        <v>119</v>
      </c>
      <c r="D31" s="41"/>
      <c r="E31" s="41" t="s">
        <v>96</v>
      </c>
      <c r="F31" s="45">
        <v>2</v>
      </c>
      <c r="G31" s="45">
        <v>90.8</v>
      </c>
      <c r="H31" s="46">
        <f t="shared" si="0"/>
        <v>181.6</v>
      </c>
      <c r="I31" s="41"/>
      <c r="J31" s="56">
        <f t="shared" si="1"/>
        <v>0.000182769971284097</v>
      </c>
    </row>
    <row r="32" ht="18.95" customHeight="1" spans="1:10">
      <c r="A32" s="40"/>
      <c r="B32" s="45" t="s">
        <v>118</v>
      </c>
      <c r="C32" s="41" t="s">
        <v>120</v>
      </c>
      <c r="D32" s="41"/>
      <c r="E32" s="41" t="s">
        <v>96</v>
      </c>
      <c r="F32" s="45">
        <v>2</v>
      </c>
      <c r="G32" s="45">
        <v>83.94</v>
      </c>
      <c r="H32" s="46">
        <f t="shared" si="0"/>
        <v>167.88</v>
      </c>
      <c r="I32" s="41"/>
      <c r="J32" s="56">
        <f t="shared" si="1"/>
        <v>0.000168961579180475</v>
      </c>
    </row>
    <row r="33" ht="18.95" customHeight="1" spans="1:10">
      <c r="A33" s="40"/>
      <c r="B33" s="45" t="s">
        <v>118</v>
      </c>
      <c r="C33" s="41" t="s">
        <v>121</v>
      </c>
      <c r="D33" s="41"/>
      <c r="E33" s="41" t="s">
        <v>96</v>
      </c>
      <c r="F33" s="45">
        <v>2</v>
      </c>
      <c r="G33" s="45">
        <v>42.2</v>
      </c>
      <c r="H33" s="46">
        <f t="shared" si="0"/>
        <v>84.4</v>
      </c>
      <c r="I33" s="41"/>
      <c r="J33" s="56">
        <f t="shared" si="1"/>
        <v>8.49437531738865e-5</v>
      </c>
    </row>
    <row r="34" ht="18.95" customHeight="1" spans="1:10">
      <c r="A34" s="40"/>
      <c r="B34" s="45" t="s">
        <v>122</v>
      </c>
      <c r="C34" s="41" t="s">
        <v>119</v>
      </c>
      <c r="D34" s="41"/>
      <c r="E34" s="41" t="s">
        <v>96</v>
      </c>
      <c r="F34" s="45">
        <v>16</v>
      </c>
      <c r="G34" s="45">
        <v>96.25</v>
      </c>
      <c r="H34" s="46">
        <f t="shared" si="0"/>
        <v>1540</v>
      </c>
      <c r="I34" s="41"/>
      <c r="J34" s="56">
        <f t="shared" si="1"/>
        <v>0.00154992156265148</v>
      </c>
    </row>
    <row r="35" ht="18.95" customHeight="1" spans="1:10">
      <c r="A35" s="40"/>
      <c r="B35" s="45" t="s">
        <v>122</v>
      </c>
      <c r="C35" s="41" t="s">
        <v>120</v>
      </c>
      <c r="D35" s="41"/>
      <c r="E35" s="41" t="s">
        <v>96</v>
      </c>
      <c r="F35" s="45">
        <v>22</v>
      </c>
      <c r="G35" s="45">
        <v>94.07</v>
      </c>
      <c r="H35" s="46">
        <f t="shared" si="0"/>
        <v>2069.54</v>
      </c>
      <c r="I35" s="41"/>
      <c r="J35" s="56">
        <f t="shared" si="1"/>
        <v>0.0020828731628375</v>
      </c>
    </row>
    <row r="36" ht="18.95" customHeight="1" spans="1:10">
      <c r="A36" s="40"/>
      <c r="B36" s="45" t="s">
        <v>122</v>
      </c>
      <c r="C36" s="41" t="s">
        <v>121</v>
      </c>
      <c r="D36" s="41"/>
      <c r="E36" s="41" t="s">
        <v>96</v>
      </c>
      <c r="F36" s="45">
        <v>15</v>
      </c>
      <c r="G36" s="45">
        <v>42.2</v>
      </c>
      <c r="H36" s="46">
        <f t="shared" si="0"/>
        <v>633</v>
      </c>
      <c r="I36" s="41"/>
      <c r="J36" s="56">
        <f t="shared" si="1"/>
        <v>0.000637078148804149</v>
      </c>
    </row>
    <row r="37" ht="18.95" customHeight="1" spans="1:10">
      <c r="A37" s="40"/>
      <c r="B37" s="45" t="s">
        <v>123</v>
      </c>
      <c r="C37" s="41" t="s">
        <v>124</v>
      </c>
      <c r="D37" s="41"/>
      <c r="E37" s="41" t="s">
        <v>96</v>
      </c>
      <c r="F37" s="41">
        <v>1</v>
      </c>
      <c r="G37" s="41">
        <v>263.71</v>
      </c>
      <c r="H37" s="46">
        <f t="shared" si="0"/>
        <v>263.71</v>
      </c>
      <c r="I37" s="41"/>
      <c r="J37" s="56">
        <f t="shared" si="1"/>
        <v>0.000265408970965469</v>
      </c>
    </row>
    <row r="38" ht="18.95" customHeight="1" spans="1:10">
      <c r="A38" s="40"/>
      <c r="B38" s="45" t="s">
        <v>123</v>
      </c>
      <c r="C38" s="41" t="s">
        <v>125</v>
      </c>
      <c r="D38" s="41"/>
      <c r="E38" s="41" t="s">
        <v>96</v>
      </c>
      <c r="F38" s="41">
        <v>5</v>
      </c>
      <c r="G38" s="41">
        <v>182.55</v>
      </c>
      <c r="H38" s="46">
        <f t="shared" si="0"/>
        <v>912.75</v>
      </c>
      <c r="I38" s="41"/>
      <c r="J38" s="56">
        <f t="shared" si="1"/>
        <v>0.000918630458642949</v>
      </c>
    </row>
    <row r="39" ht="18.95" customHeight="1" spans="1:10">
      <c r="A39" s="40"/>
      <c r="B39" s="45" t="s">
        <v>123</v>
      </c>
      <c r="C39" s="41" t="s">
        <v>126</v>
      </c>
      <c r="D39" s="41"/>
      <c r="E39" s="41" t="s">
        <v>96</v>
      </c>
      <c r="F39" s="41">
        <v>11</v>
      </c>
      <c r="G39" s="41">
        <v>55.43</v>
      </c>
      <c r="H39" s="46">
        <f t="shared" si="0"/>
        <v>609.73</v>
      </c>
      <c r="I39" s="41"/>
      <c r="J39" s="56">
        <f t="shared" si="1"/>
        <v>0.000613658230126941</v>
      </c>
    </row>
    <row r="40" s="34" customFormat="1" ht="18.95" customHeight="1" spans="1:10">
      <c r="A40" s="47"/>
      <c r="B40" s="48" t="s">
        <v>127</v>
      </c>
      <c r="C40" s="49" t="s">
        <v>101</v>
      </c>
      <c r="D40" s="49"/>
      <c r="E40" s="49" t="s">
        <v>96</v>
      </c>
      <c r="F40" s="49">
        <v>5</v>
      </c>
      <c r="G40" s="49">
        <v>1682.16</v>
      </c>
      <c r="H40" s="50">
        <f t="shared" si="0"/>
        <v>8410.8</v>
      </c>
      <c r="I40" s="49"/>
      <c r="J40" s="57">
        <f t="shared" si="1"/>
        <v>0.00846498719425266</v>
      </c>
    </row>
    <row r="41" ht="18.95" customHeight="1" spans="1:10">
      <c r="A41" s="40"/>
      <c r="B41" s="45" t="s">
        <v>127</v>
      </c>
      <c r="C41" s="41" t="s">
        <v>102</v>
      </c>
      <c r="D41" s="41"/>
      <c r="E41" s="41" t="s">
        <v>96</v>
      </c>
      <c r="F41" s="41">
        <v>65</v>
      </c>
      <c r="G41" s="41">
        <v>280</v>
      </c>
      <c r="H41" s="46">
        <f t="shared" si="0"/>
        <v>18200</v>
      </c>
      <c r="I41" s="41"/>
      <c r="J41" s="56">
        <f t="shared" si="1"/>
        <v>0.0183172548313357</v>
      </c>
    </row>
    <row r="42" s="34" customFormat="1" ht="18.95" customHeight="1" spans="1:10">
      <c r="A42" s="47"/>
      <c r="B42" s="48" t="s">
        <v>128</v>
      </c>
      <c r="C42" s="49" t="s">
        <v>129</v>
      </c>
      <c r="D42" s="49"/>
      <c r="E42" s="49" t="s">
        <v>130</v>
      </c>
      <c r="F42" s="49">
        <v>1</v>
      </c>
      <c r="G42" s="49">
        <v>10251.47</v>
      </c>
      <c r="H42" s="50">
        <f t="shared" si="0"/>
        <v>10251.47</v>
      </c>
      <c r="I42" s="49"/>
      <c r="J42" s="57">
        <f t="shared" si="1"/>
        <v>0.0103175158453732</v>
      </c>
    </row>
    <row r="43" ht="18.95" customHeight="1" spans="1:10">
      <c r="A43" s="40"/>
      <c r="B43" s="45" t="s">
        <v>131</v>
      </c>
      <c r="C43" s="41"/>
      <c r="D43" s="41"/>
      <c r="E43" s="41" t="s">
        <v>130</v>
      </c>
      <c r="F43" s="41">
        <v>1</v>
      </c>
      <c r="G43" s="41">
        <v>1220</v>
      </c>
      <c r="H43" s="46">
        <f t="shared" si="0"/>
        <v>1220</v>
      </c>
      <c r="I43" s="41"/>
      <c r="J43" s="56">
        <f t="shared" si="1"/>
        <v>0.00122785993924338</v>
      </c>
    </row>
    <row r="44" s="34" customFormat="1" ht="18.95" customHeight="1" spans="1:10">
      <c r="A44" s="47"/>
      <c r="B44" s="48" t="s">
        <v>132</v>
      </c>
      <c r="C44" s="49"/>
      <c r="D44" s="49"/>
      <c r="E44" s="49" t="s">
        <v>23</v>
      </c>
      <c r="F44" s="49">
        <v>621</v>
      </c>
      <c r="G44" s="49">
        <v>3.79</v>
      </c>
      <c r="H44" s="50">
        <f t="shared" si="0"/>
        <v>2353.59</v>
      </c>
      <c r="I44" s="49"/>
      <c r="J44" s="57">
        <f t="shared" si="1"/>
        <v>0.00236875317574085</v>
      </c>
    </row>
    <row r="45" ht="18.95" customHeight="1" spans="1:10">
      <c r="A45" s="40"/>
      <c r="B45" s="45" t="s">
        <v>133</v>
      </c>
      <c r="C45" s="41"/>
      <c r="D45" s="41"/>
      <c r="E45" s="41" t="s">
        <v>23</v>
      </c>
      <c r="F45" s="41">
        <v>621</v>
      </c>
      <c r="G45" s="41">
        <v>29.46</v>
      </c>
      <c r="H45" s="46">
        <f t="shared" si="0"/>
        <v>18294.66</v>
      </c>
      <c r="I45" s="41"/>
      <c r="J45" s="56">
        <f t="shared" si="1"/>
        <v>0.0184125246853101</v>
      </c>
    </row>
    <row r="46" ht="18.95" customHeight="1" spans="1:10">
      <c r="A46" s="40"/>
      <c r="B46" s="45" t="s">
        <v>134</v>
      </c>
      <c r="C46" s="41" t="s">
        <v>101</v>
      </c>
      <c r="D46" s="41"/>
      <c r="E46" s="41" t="s">
        <v>96</v>
      </c>
      <c r="F46" s="41">
        <v>125</v>
      </c>
      <c r="G46" s="41">
        <v>109.75</v>
      </c>
      <c r="H46" s="46">
        <f t="shared" si="0"/>
        <v>13718.75</v>
      </c>
      <c r="I46" s="41"/>
      <c r="J46" s="56">
        <f t="shared" si="1"/>
        <v>0.0138071340504059</v>
      </c>
    </row>
    <row r="47" ht="18.95" customHeight="1" spans="1:10">
      <c r="A47" s="40"/>
      <c r="B47" s="45" t="s">
        <v>134</v>
      </c>
      <c r="C47" s="41" t="s">
        <v>102</v>
      </c>
      <c r="D47" s="41"/>
      <c r="E47" s="41" t="s">
        <v>96</v>
      </c>
      <c r="F47" s="41">
        <v>451</v>
      </c>
      <c r="G47" s="41">
        <v>60.29</v>
      </c>
      <c r="H47" s="46">
        <f t="shared" si="0"/>
        <v>27190.79</v>
      </c>
      <c r="I47" s="41"/>
      <c r="J47" s="56">
        <f t="shared" si="1"/>
        <v>0.0273659686535898</v>
      </c>
    </row>
    <row r="48" ht="18.95" customHeight="1" spans="1:10">
      <c r="A48" s="40"/>
      <c r="B48" s="45" t="s">
        <v>135</v>
      </c>
      <c r="C48" s="40" t="s">
        <v>136</v>
      </c>
      <c r="D48" s="41"/>
      <c r="E48" s="41" t="s">
        <v>137</v>
      </c>
      <c r="F48" s="41">
        <v>306</v>
      </c>
      <c r="G48" s="51">
        <f>0.04*7.85*4*5.5*1.45</f>
        <v>10.0166</v>
      </c>
      <c r="H48" s="46">
        <f t="shared" si="0"/>
        <v>3065.0796</v>
      </c>
      <c r="I48" s="58"/>
      <c r="J48" s="56">
        <f t="shared" si="1"/>
        <v>0.00308482659953453</v>
      </c>
    </row>
    <row r="49" ht="18.95" customHeight="1" spans="1:10">
      <c r="A49" s="40"/>
      <c r="B49" s="45" t="s">
        <v>138</v>
      </c>
      <c r="C49" s="41" t="s">
        <v>139</v>
      </c>
      <c r="D49" s="41"/>
      <c r="E49" s="41" t="s">
        <v>140</v>
      </c>
      <c r="F49" s="41">
        <v>52</v>
      </c>
      <c r="G49" s="51">
        <f>3.77*5.5*1.45</f>
        <v>30.06575</v>
      </c>
      <c r="H49" s="46">
        <f t="shared" si="0"/>
        <v>1563.419</v>
      </c>
      <c r="I49" s="58" t="s">
        <v>141</v>
      </c>
      <c r="J49" s="56">
        <f t="shared" si="1"/>
        <v>0.00157349144127209</v>
      </c>
    </row>
    <row r="50" ht="18.95" customHeight="1" spans="1:10">
      <c r="A50" s="40"/>
      <c r="B50" s="45" t="s">
        <v>142</v>
      </c>
      <c r="C50" s="41" t="s">
        <v>98</v>
      </c>
      <c r="D50" s="41" t="s">
        <v>95</v>
      </c>
      <c r="E50" s="41" t="s">
        <v>137</v>
      </c>
      <c r="F50" s="41">
        <v>4</v>
      </c>
      <c r="G50" s="41">
        <v>125.33</v>
      </c>
      <c r="H50" s="46">
        <f t="shared" si="0"/>
        <v>501.32</v>
      </c>
      <c r="I50" s="41"/>
      <c r="J50" s="56">
        <f t="shared" si="1"/>
        <v>0.000504549790771715</v>
      </c>
    </row>
    <row r="51" ht="18.95" customHeight="1" spans="1:10">
      <c r="A51" s="40"/>
      <c r="B51" s="45" t="s">
        <v>142</v>
      </c>
      <c r="C51" s="41" t="s">
        <v>101</v>
      </c>
      <c r="D51" s="41" t="s">
        <v>95</v>
      </c>
      <c r="E51" s="41" t="s">
        <v>137</v>
      </c>
      <c r="F51" s="41">
        <v>107</v>
      </c>
      <c r="G51" s="41">
        <v>91.41</v>
      </c>
      <c r="H51" s="46">
        <f t="shared" si="0"/>
        <v>9780.87</v>
      </c>
      <c r="I51" s="41"/>
      <c r="J51" s="56">
        <f t="shared" si="1"/>
        <v>0.00984388397044871</v>
      </c>
    </row>
    <row r="52" ht="18.95" customHeight="1" spans="1:10">
      <c r="A52" s="40"/>
      <c r="B52" s="45" t="s">
        <v>143</v>
      </c>
      <c r="C52" s="41" t="s">
        <v>144</v>
      </c>
      <c r="D52" s="41"/>
      <c r="E52" s="41" t="s">
        <v>137</v>
      </c>
      <c r="F52" s="41">
        <v>12</v>
      </c>
      <c r="G52" s="41">
        <v>12.6</v>
      </c>
      <c r="H52" s="46">
        <f t="shared" si="0"/>
        <v>151.2</v>
      </c>
      <c r="I52" s="41"/>
      <c r="J52" s="56">
        <f t="shared" si="1"/>
        <v>0.000152174117060327</v>
      </c>
    </row>
    <row r="53" ht="18.95" customHeight="1" spans="1:10">
      <c r="A53" s="40"/>
      <c r="B53" s="45" t="s">
        <v>145</v>
      </c>
      <c r="C53" s="41" t="s">
        <v>146</v>
      </c>
      <c r="D53" s="41" t="s">
        <v>147</v>
      </c>
      <c r="E53" s="41" t="s">
        <v>148</v>
      </c>
      <c r="F53" s="41">
        <v>384</v>
      </c>
      <c r="G53" s="41">
        <v>480.19</v>
      </c>
      <c r="H53" s="46">
        <f t="shared" si="0"/>
        <v>184392.96</v>
      </c>
      <c r="I53" s="41" t="s">
        <v>149</v>
      </c>
      <c r="J53" s="56">
        <f t="shared" si="1"/>
        <v>0.185580925133203</v>
      </c>
    </row>
    <row r="54" ht="18.95" customHeight="1" spans="1:10">
      <c r="A54" s="40"/>
      <c r="B54" s="45" t="s">
        <v>150</v>
      </c>
      <c r="C54" s="41"/>
      <c r="D54" s="41"/>
      <c r="E54" s="41" t="s">
        <v>96</v>
      </c>
      <c r="F54" s="41">
        <f>$F$53</f>
        <v>384</v>
      </c>
      <c r="G54" s="41">
        <v>30.25</v>
      </c>
      <c r="H54" s="46">
        <f t="shared" si="0"/>
        <v>11616</v>
      </c>
      <c r="I54" s="41"/>
      <c r="J54" s="56">
        <f t="shared" si="1"/>
        <v>0.011690836929714</v>
      </c>
    </row>
    <row r="55" ht="18.95" customHeight="1" spans="1:10">
      <c r="A55" s="40"/>
      <c r="B55" s="45" t="s">
        <v>151</v>
      </c>
      <c r="C55" s="41"/>
      <c r="D55" s="41"/>
      <c r="E55" s="41" t="s">
        <v>96</v>
      </c>
      <c r="F55" s="41">
        <f>$F$53*2</f>
        <v>768</v>
      </c>
      <c r="G55" s="41">
        <v>18.45</v>
      </c>
      <c r="H55" s="46">
        <f t="shared" si="0"/>
        <v>14169.6</v>
      </c>
      <c r="I55" s="41"/>
      <c r="J55" s="56">
        <f t="shared" si="1"/>
        <v>0.0142608886845107</v>
      </c>
    </row>
    <row r="56" ht="18.95" customHeight="1" spans="1:10">
      <c r="A56" s="40"/>
      <c r="B56" s="45" t="s">
        <v>152</v>
      </c>
      <c r="C56" s="41"/>
      <c r="D56" s="41"/>
      <c r="E56" s="41" t="s">
        <v>96</v>
      </c>
      <c r="F56" s="41">
        <f t="shared" ref="F56:F64" si="2">$F$53</f>
        <v>384</v>
      </c>
      <c r="G56" s="41">
        <v>358</v>
      </c>
      <c r="H56" s="46">
        <f t="shared" si="0"/>
        <v>137472</v>
      </c>
      <c r="I56" s="41"/>
      <c r="J56" s="56">
        <f t="shared" si="1"/>
        <v>0.13835767341612</v>
      </c>
    </row>
    <row r="57" ht="18.95" customHeight="1" spans="1:10">
      <c r="A57" s="40"/>
      <c r="B57" s="45" t="s">
        <v>153</v>
      </c>
      <c r="C57" s="41"/>
      <c r="D57" s="41"/>
      <c r="E57" s="41" t="s">
        <v>96</v>
      </c>
      <c r="F57" s="41">
        <f t="shared" si="2"/>
        <v>384</v>
      </c>
      <c r="G57" s="41">
        <v>30.25</v>
      </c>
      <c r="H57" s="46">
        <f t="shared" si="0"/>
        <v>11616</v>
      </c>
      <c r="I57" s="41"/>
      <c r="J57" s="56">
        <f t="shared" si="1"/>
        <v>0.011690836929714</v>
      </c>
    </row>
    <row r="58" s="34" customFormat="1" ht="18.95" customHeight="1" spans="1:10">
      <c r="A58" s="47"/>
      <c r="B58" s="48" t="s">
        <v>154</v>
      </c>
      <c r="C58" s="49" t="s">
        <v>155</v>
      </c>
      <c r="D58" s="49"/>
      <c r="E58" s="49" t="s">
        <v>96</v>
      </c>
      <c r="F58" s="49">
        <f t="shared" si="2"/>
        <v>384</v>
      </c>
      <c r="G58" s="49">
        <v>89.38</v>
      </c>
      <c r="H58" s="50">
        <f t="shared" si="0"/>
        <v>34321.92</v>
      </c>
      <c r="I58" s="49"/>
      <c r="J58" s="57">
        <f t="shared" si="1"/>
        <v>0.0345430414802592</v>
      </c>
    </row>
    <row r="59" s="34" customFormat="1" ht="18.95" customHeight="1" spans="1:10">
      <c r="A59" s="47"/>
      <c r="B59" s="48" t="s">
        <v>156</v>
      </c>
      <c r="C59" s="49" t="s">
        <v>155</v>
      </c>
      <c r="D59" s="49"/>
      <c r="E59" s="49" t="s">
        <v>137</v>
      </c>
      <c r="F59" s="49">
        <f t="shared" si="2"/>
        <v>384</v>
      </c>
      <c r="G59" s="49">
        <v>111.4</v>
      </c>
      <c r="H59" s="50">
        <f t="shared" si="0"/>
        <v>42777.6</v>
      </c>
      <c r="I59" s="59"/>
      <c r="J59" s="57">
        <f t="shared" si="1"/>
        <v>0.0430531978171949</v>
      </c>
    </row>
    <row r="60" ht="18.95" customHeight="1" spans="1:10">
      <c r="A60" s="40"/>
      <c r="B60" s="45" t="s">
        <v>157</v>
      </c>
      <c r="C60" s="41" t="s">
        <v>155</v>
      </c>
      <c r="D60" s="41"/>
      <c r="E60" s="41" t="s">
        <v>96</v>
      </c>
      <c r="F60" s="41">
        <f>$F$53*3</f>
        <v>1152</v>
      </c>
      <c r="G60" s="41">
        <v>49.43</v>
      </c>
      <c r="H60" s="46">
        <f t="shared" si="0"/>
        <v>56943.36</v>
      </c>
      <c r="I60" s="58"/>
      <c r="J60" s="56">
        <f t="shared" si="1"/>
        <v>0.0573102217622247</v>
      </c>
    </row>
    <row r="61" ht="18.95" customHeight="1" spans="1:10">
      <c r="A61" s="40"/>
      <c r="B61" s="45" t="s">
        <v>158</v>
      </c>
      <c r="C61" s="41" t="s">
        <v>155</v>
      </c>
      <c r="D61" s="41"/>
      <c r="E61" s="41" t="s">
        <v>96</v>
      </c>
      <c r="F61" s="41">
        <f>$F$53*3</f>
        <v>1152</v>
      </c>
      <c r="G61" s="41">
        <v>4.2</v>
      </c>
      <c r="H61" s="46">
        <f t="shared" si="0"/>
        <v>4838.4</v>
      </c>
      <c r="I61" s="58"/>
      <c r="J61" s="56">
        <f t="shared" si="1"/>
        <v>0.00486957174593048</v>
      </c>
    </row>
    <row r="62" ht="18.95" customHeight="1" spans="1:10">
      <c r="A62" s="40"/>
      <c r="B62" s="45" t="s">
        <v>159</v>
      </c>
      <c r="C62" s="41" t="s">
        <v>155</v>
      </c>
      <c r="D62" s="41"/>
      <c r="E62" s="41" t="s">
        <v>96</v>
      </c>
      <c r="F62" s="41">
        <f>$F$53*2</f>
        <v>768</v>
      </c>
      <c r="G62" s="41">
        <v>3.85</v>
      </c>
      <c r="H62" s="46">
        <f t="shared" si="0"/>
        <v>2956.8</v>
      </c>
      <c r="I62" s="58"/>
      <c r="J62" s="56">
        <f t="shared" si="1"/>
        <v>0.00297584940029085</v>
      </c>
    </row>
    <row r="63" ht="18.95" customHeight="1" spans="1:10">
      <c r="A63" s="40"/>
      <c r="B63" s="45" t="s">
        <v>160</v>
      </c>
      <c r="C63" s="41" t="s">
        <v>102</v>
      </c>
      <c r="D63" s="41" t="s">
        <v>95</v>
      </c>
      <c r="E63" s="41" t="s">
        <v>96</v>
      </c>
      <c r="F63" s="41">
        <f t="shared" si="2"/>
        <v>384</v>
      </c>
      <c r="G63" s="41">
        <v>25.14</v>
      </c>
      <c r="H63" s="46">
        <f t="shared" si="0"/>
        <v>9653.76</v>
      </c>
      <c r="I63" s="58" t="s">
        <v>161</v>
      </c>
      <c r="J63" s="56">
        <f t="shared" si="1"/>
        <v>0.00971595505497557</v>
      </c>
    </row>
    <row r="64" ht="18.95" customHeight="1" spans="1:10">
      <c r="A64" s="40"/>
      <c r="B64" s="45" t="s">
        <v>162</v>
      </c>
      <c r="C64" s="41" t="s">
        <v>155</v>
      </c>
      <c r="D64" s="41"/>
      <c r="E64" s="41" t="s">
        <v>96</v>
      </c>
      <c r="F64" s="41">
        <f t="shared" si="2"/>
        <v>384</v>
      </c>
      <c r="G64" s="41">
        <v>85.5</v>
      </c>
      <c r="H64" s="46">
        <f t="shared" si="0"/>
        <v>32832</v>
      </c>
      <c r="I64" s="58"/>
      <c r="J64" s="56">
        <f t="shared" si="1"/>
        <v>0.0330435225616711</v>
      </c>
    </row>
    <row r="65" s="35" customFormat="1" ht="18.75" customHeight="1" spans="1:14">
      <c r="A65" s="47"/>
      <c r="B65" s="60" t="s">
        <v>163</v>
      </c>
      <c r="C65" s="61"/>
      <c r="D65" s="61"/>
      <c r="E65" s="62" t="s">
        <v>164</v>
      </c>
      <c r="F65" s="63">
        <f>621*(0.9*2.1)</f>
        <v>1173.69</v>
      </c>
      <c r="G65" s="63">
        <v>14.43</v>
      </c>
      <c r="H65" s="64">
        <f t="shared" si="0"/>
        <v>16936.3467</v>
      </c>
      <c r="I65" s="61"/>
      <c r="J65" s="57">
        <f t="shared" si="1"/>
        <v>0.0170454603525138</v>
      </c>
      <c r="L65" s="66"/>
      <c r="N65" s="67"/>
    </row>
    <row r="66" s="35" customFormat="1" ht="18.75" customHeight="1" spans="1:14">
      <c r="A66" s="47"/>
      <c r="B66" s="60" t="s">
        <v>165</v>
      </c>
      <c r="C66" s="61"/>
      <c r="D66" s="61"/>
      <c r="E66" s="62" t="s">
        <v>164</v>
      </c>
      <c r="F66" s="63">
        <f>621*(0.9*1.8)</f>
        <v>1006.02</v>
      </c>
      <c r="G66" s="63">
        <v>14.49</v>
      </c>
      <c r="H66" s="64">
        <f t="shared" si="0"/>
        <v>14577.2298</v>
      </c>
      <c r="I66" s="61"/>
      <c r="J66" s="57">
        <f t="shared" si="1"/>
        <v>0.0146711446693154</v>
      </c>
      <c r="L66" s="66"/>
      <c r="N66" s="67"/>
    </row>
    <row r="67" s="35" customFormat="1" ht="18.75" customHeight="1" spans="1:14">
      <c r="A67" s="47"/>
      <c r="B67" s="60" t="s">
        <v>166</v>
      </c>
      <c r="C67" s="61"/>
      <c r="D67" s="61"/>
      <c r="E67" s="62" t="s">
        <v>164</v>
      </c>
      <c r="F67" s="63">
        <f>621*(0.9*0.2)</f>
        <v>111.78</v>
      </c>
      <c r="G67" s="63">
        <v>16.87</v>
      </c>
      <c r="H67" s="64">
        <f t="shared" si="0"/>
        <v>1885.7286</v>
      </c>
      <c r="I67" s="61"/>
      <c r="J67" s="57">
        <f t="shared" si="1"/>
        <v>0.00189787754444714</v>
      </c>
      <c r="L67" s="66"/>
      <c r="N67" s="67"/>
    </row>
    <row r="68" s="35" customFormat="1" ht="18.75" customHeight="1" spans="1:14">
      <c r="A68" s="47"/>
      <c r="B68" s="60" t="s">
        <v>167</v>
      </c>
      <c r="C68" s="61"/>
      <c r="D68" s="61"/>
      <c r="E68" s="62" t="s">
        <v>164</v>
      </c>
      <c r="F68" s="63">
        <f>621*(0.9*0.2)</f>
        <v>111.78</v>
      </c>
      <c r="G68" s="63">
        <v>209.39</v>
      </c>
      <c r="H68" s="64">
        <f t="shared" si="0"/>
        <v>23405.6142</v>
      </c>
      <c r="I68" s="61"/>
      <c r="J68" s="57">
        <f t="shared" si="1"/>
        <v>0.0235564065816115</v>
      </c>
      <c r="L68" s="66"/>
      <c r="N68" s="67"/>
    </row>
    <row r="69" ht="18.95" customHeight="1" spans="1:10">
      <c r="A69" s="40"/>
      <c r="B69" s="23" t="s">
        <v>168</v>
      </c>
      <c r="C69" s="41"/>
      <c r="D69" s="41"/>
      <c r="E69" s="41" t="s">
        <v>169</v>
      </c>
      <c r="F69" s="41"/>
      <c r="G69" s="41"/>
      <c r="H69" s="46">
        <f>SUM(H5:H68)</f>
        <v>993598.6679</v>
      </c>
      <c r="I69" s="58"/>
      <c r="J69" s="56">
        <f t="shared" si="1"/>
        <v>1</v>
      </c>
    </row>
    <row r="70" ht="18.95" customHeight="1" spans="1:9">
      <c r="A70" s="65">
        <v>2</v>
      </c>
      <c r="B70" s="44" t="s">
        <v>170</v>
      </c>
      <c r="C70" s="44"/>
      <c r="D70" s="44"/>
      <c r="E70" s="44"/>
      <c r="F70" s="44"/>
      <c r="G70" s="44"/>
      <c r="H70" s="44"/>
      <c r="I70" s="53"/>
    </row>
    <row r="71" ht="18.95" customHeight="1" spans="1:9">
      <c r="A71" s="40"/>
      <c r="B71" s="45" t="s">
        <v>84</v>
      </c>
      <c r="C71" s="41" t="s">
        <v>171</v>
      </c>
      <c r="D71" s="41" t="s">
        <v>86</v>
      </c>
      <c r="E71" s="41" t="s">
        <v>23</v>
      </c>
      <c r="F71" s="41">
        <v>40</v>
      </c>
      <c r="G71" s="41">
        <v>78.32</v>
      </c>
      <c r="H71" s="46">
        <f t="shared" si="0"/>
        <v>3132.8</v>
      </c>
      <c r="I71" s="41"/>
    </row>
    <row r="72" ht="18.95" customHeight="1" spans="1:9">
      <c r="A72" s="40"/>
      <c r="B72" s="45" t="s">
        <v>84</v>
      </c>
      <c r="C72" s="41" t="s">
        <v>85</v>
      </c>
      <c r="D72" s="41" t="s">
        <v>86</v>
      </c>
      <c r="E72" s="41" t="s">
        <v>23</v>
      </c>
      <c r="F72" s="41">
        <v>57</v>
      </c>
      <c r="G72" s="17">
        <v>67.71</v>
      </c>
      <c r="H72" s="46">
        <f t="shared" si="0"/>
        <v>3859.47</v>
      </c>
      <c r="I72" s="41"/>
    </row>
    <row r="73" ht="18.95" customHeight="1" spans="1:9">
      <c r="A73" s="40"/>
      <c r="B73" s="45" t="s">
        <v>84</v>
      </c>
      <c r="C73" s="41" t="s">
        <v>87</v>
      </c>
      <c r="D73" s="41" t="s">
        <v>86</v>
      </c>
      <c r="E73" s="41" t="s">
        <v>23</v>
      </c>
      <c r="F73" s="41">
        <v>2</v>
      </c>
      <c r="G73" s="41">
        <v>39.37</v>
      </c>
      <c r="H73" s="46">
        <f t="shared" si="0"/>
        <v>78.74</v>
      </c>
      <c r="I73" s="41"/>
    </row>
    <row r="74" ht="18.95" customHeight="1" spans="1:9">
      <c r="A74" s="40"/>
      <c r="B74" s="45" t="s">
        <v>89</v>
      </c>
      <c r="C74" s="41" t="s">
        <v>172</v>
      </c>
      <c r="D74" s="41" t="s">
        <v>91</v>
      </c>
      <c r="E74" s="41" t="s">
        <v>23</v>
      </c>
      <c r="F74" s="41">
        <v>4</v>
      </c>
      <c r="G74" s="17">
        <v>167.5</v>
      </c>
      <c r="H74" s="46">
        <f t="shared" ref="H74:H135" si="3">F74*G74</f>
        <v>670</v>
      </c>
      <c r="I74" s="41"/>
    </row>
    <row r="75" ht="18.95" customHeight="1" spans="1:9">
      <c r="A75" s="40"/>
      <c r="B75" s="45" t="s">
        <v>89</v>
      </c>
      <c r="C75" s="41" t="s">
        <v>173</v>
      </c>
      <c r="D75" s="41" t="s">
        <v>91</v>
      </c>
      <c r="E75" s="41" t="s">
        <v>23</v>
      </c>
      <c r="F75" s="41">
        <v>571</v>
      </c>
      <c r="G75" s="17">
        <v>125.33</v>
      </c>
      <c r="H75" s="46">
        <f t="shared" si="3"/>
        <v>71563.43</v>
      </c>
      <c r="I75" s="41"/>
    </row>
    <row r="76" ht="18.95" customHeight="1" spans="1:9">
      <c r="A76" s="40"/>
      <c r="B76" s="45" t="s">
        <v>89</v>
      </c>
      <c r="C76" s="41" t="s">
        <v>90</v>
      </c>
      <c r="D76" s="41" t="s">
        <v>91</v>
      </c>
      <c r="E76" s="41" t="s">
        <v>23</v>
      </c>
      <c r="F76" s="41">
        <v>492</v>
      </c>
      <c r="G76" s="41">
        <v>91.41</v>
      </c>
      <c r="H76" s="46">
        <f t="shared" si="3"/>
        <v>44973.72</v>
      </c>
      <c r="I76" s="41"/>
    </row>
    <row r="77" ht="18.95" customHeight="1" spans="1:9">
      <c r="A77" s="40"/>
      <c r="B77" s="45" t="s">
        <v>89</v>
      </c>
      <c r="C77" s="41" t="s">
        <v>92</v>
      </c>
      <c r="D77" s="41" t="s">
        <v>91</v>
      </c>
      <c r="E77" s="41" t="s">
        <v>23</v>
      </c>
      <c r="F77" s="41">
        <v>1869</v>
      </c>
      <c r="G77" s="17">
        <v>77.13</v>
      </c>
      <c r="H77" s="46">
        <f t="shared" si="3"/>
        <v>144155.97</v>
      </c>
      <c r="I77" s="41"/>
    </row>
    <row r="78" ht="18.95" customHeight="1" spans="1:9">
      <c r="A78" s="40"/>
      <c r="B78" s="45" t="s">
        <v>93</v>
      </c>
      <c r="C78" s="41" t="s">
        <v>94</v>
      </c>
      <c r="D78" s="41" t="s">
        <v>95</v>
      </c>
      <c r="E78" s="41" t="s">
        <v>96</v>
      </c>
      <c r="F78" s="41">
        <v>4</v>
      </c>
      <c r="G78" s="41">
        <v>112.63</v>
      </c>
      <c r="H78" s="46">
        <f t="shared" si="3"/>
        <v>450.52</v>
      </c>
      <c r="I78" s="41" t="s">
        <v>97</v>
      </c>
    </row>
    <row r="79" ht="18.95" customHeight="1" spans="1:9">
      <c r="A79" s="40"/>
      <c r="B79" s="45" t="s">
        <v>93</v>
      </c>
      <c r="C79" s="41" t="s">
        <v>98</v>
      </c>
      <c r="D79" s="41" t="s">
        <v>95</v>
      </c>
      <c r="E79" s="41" t="s">
        <v>96</v>
      </c>
      <c r="F79" s="41">
        <v>1</v>
      </c>
      <c r="G79" s="41">
        <v>56.95</v>
      </c>
      <c r="H79" s="46">
        <f t="shared" si="3"/>
        <v>56.95</v>
      </c>
      <c r="I79" s="41" t="s">
        <v>97</v>
      </c>
    </row>
    <row r="80" ht="18.95" customHeight="1" spans="1:9">
      <c r="A80" s="40"/>
      <c r="B80" s="45" t="s">
        <v>100</v>
      </c>
      <c r="C80" s="41" t="s">
        <v>174</v>
      </c>
      <c r="D80" s="41" t="s">
        <v>91</v>
      </c>
      <c r="E80" s="41" t="s">
        <v>96</v>
      </c>
      <c r="F80" s="41">
        <v>1</v>
      </c>
      <c r="G80" s="17">
        <v>155.44</v>
      </c>
      <c r="H80" s="46">
        <f t="shared" si="3"/>
        <v>155.44</v>
      </c>
      <c r="I80" s="41"/>
    </row>
    <row r="81" ht="18.95" customHeight="1" spans="1:9">
      <c r="A81" s="40"/>
      <c r="B81" s="45" t="s">
        <v>100</v>
      </c>
      <c r="C81" s="41" t="s">
        <v>98</v>
      </c>
      <c r="D81" s="41" t="s">
        <v>91</v>
      </c>
      <c r="E81" s="41" t="s">
        <v>96</v>
      </c>
      <c r="F81" s="41">
        <v>143</v>
      </c>
      <c r="G81" s="17">
        <v>132.78</v>
      </c>
      <c r="H81" s="46">
        <f t="shared" si="3"/>
        <v>18987.54</v>
      </c>
      <c r="I81" s="41"/>
    </row>
    <row r="82" ht="18.95" customHeight="1" spans="1:9">
      <c r="A82" s="40"/>
      <c r="B82" s="45" t="s">
        <v>100</v>
      </c>
      <c r="C82" s="41" t="s">
        <v>101</v>
      </c>
      <c r="D82" s="41" t="s">
        <v>91</v>
      </c>
      <c r="E82" s="41" t="s">
        <v>96</v>
      </c>
      <c r="F82" s="41">
        <v>76</v>
      </c>
      <c r="G82" s="17">
        <v>68.16</v>
      </c>
      <c r="H82" s="46">
        <f t="shared" si="3"/>
        <v>5180.16</v>
      </c>
      <c r="I82" s="41"/>
    </row>
    <row r="83" ht="18.95" customHeight="1" spans="1:9">
      <c r="A83" s="40"/>
      <c r="B83" s="45" t="s">
        <v>100</v>
      </c>
      <c r="C83" s="41" t="s">
        <v>102</v>
      </c>
      <c r="D83" s="41" t="s">
        <v>91</v>
      </c>
      <c r="E83" s="41" t="s">
        <v>96</v>
      </c>
      <c r="F83" s="41">
        <v>216</v>
      </c>
      <c r="G83" s="17">
        <v>57.26</v>
      </c>
      <c r="H83" s="46">
        <f t="shared" si="3"/>
        <v>12368.16</v>
      </c>
      <c r="I83" s="41"/>
    </row>
    <row r="84" ht="18.95" customHeight="1" spans="1:9">
      <c r="A84" s="40"/>
      <c r="B84" s="45" t="s">
        <v>103</v>
      </c>
      <c r="C84" s="41" t="s">
        <v>175</v>
      </c>
      <c r="D84" s="41" t="s">
        <v>91</v>
      </c>
      <c r="E84" s="41" t="s">
        <v>96</v>
      </c>
      <c r="F84" s="41">
        <v>1</v>
      </c>
      <c r="G84" s="17">
        <v>231.72</v>
      </c>
      <c r="H84" s="46">
        <f t="shared" si="3"/>
        <v>231.72</v>
      </c>
      <c r="I84" s="41"/>
    </row>
    <row r="85" ht="18.95" customHeight="1" spans="1:9">
      <c r="A85" s="40"/>
      <c r="B85" s="45" t="s">
        <v>103</v>
      </c>
      <c r="C85" s="41" t="s">
        <v>176</v>
      </c>
      <c r="D85" s="41" t="s">
        <v>91</v>
      </c>
      <c r="E85" s="41" t="s">
        <v>96</v>
      </c>
      <c r="F85" s="41">
        <v>4</v>
      </c>
      <c r="G85" s="17">
        <v>176.41</v>
      </c>
      <c r="H85" s="46">
        <f t="shared" si="3"/>
        <v>705.64</v>
      </c>
      <c r="I85" s="41"/>
    </row>
    <row r="86" ht="18.95" customHeight="1" spans="1:9">
      <c r="A86" s="40"/>
      <c r="B86" s="45" t="s">
        <v>103</v>
      </c>
      <c r="C86" s="41" t="s">
        <v>104</v>
      </c>
      <c r="D86" s="41" t="s">
        <v>91</v>
      </c>
      <c r="E86" s="41" t="s">
        <v>96</v>
      </c>
      <c r="F86" s="41">
        <v>64</v>
      </c>
      <c r="G86" s="17">
        <v>176.41</v>
      </c>
      <c r="H86" s="46">
        <f t="shared" si="3"/>
        <v>11290.24</v>
      </c>
      <c r="I86" s="41"/>
    </row>
    <row r="87" ht="18.95" customHeight="1" spans="1:9">
      <c r="A87" s="40"/>
      <c r="B87" s="45" t="s">
        <v>103</v>
      </c>
      <c r="C87" s="41" t="s">
        <v>106</v>
      </c>
      <c r="D87" s="41" t="s">
        <v>91</v>
      </c>
      <c r="E87" s="41" t="s">
        <v>96</v>
      </c>
      <c r="F87" s="41">
        <v>20</v>
      </c>
      <c r="G87" s="17">
        <v>125.15</v>
      </c>
      <c r="H87" s="46">
        <f t="shared" si="3"/>
        <v>2503</v>
      </c>
      <c r="I87" s="41"/>
    </row>
    <row r="88" ht="18.95" customHeight="1" spans="1:9">
      <c r="A88" s="40"/>
      <c r="B88" s="45" t="s">
        <v>108</v>
      </c>
      <c r="C88" s="41" t="s">
        <v>98</v>
      </c>
      <c r="D88" s="41" t="s">
        <v>91</v>
      </c>
      <c r="E88" s="41" t="s">
        <v>96</v>
      </c>
      <c r="F88" s="41">
        <v>5</v>
      </c>
      <c r="G88" s="17">
        <v>85</v>
      </c>
      <c r="H88" s="46">
        <f t="shared" si="3"/>
        <v>425</v>
      </c>
      <c r="I88" s="41"/>
    </row>
    <row r="89" ht="18.95" customHeight="1" spans="1:9">
      <c r="A89" s="40"/>
      <c r="B89" s="45" t="s">
        <v>108</v>
      </c>
      <c r="C89" s="41" t="s">
        <v>101</v>
      </c>
      <c r="D89" s="41" t="s">
        <v>91</v>
      </c>
      <c r="E89" s="41" t="s">
        <v>96</v>
      </c>
      <c r="F89" s="41">
        <v>5</v>
      </c>
      <c r="G89" s="17">
        <v>55</v>
      </c>
      <c r="H89" s="46">
        <f t="shared" si="3"/>
        <v>275</v>
      </c>
      <c r="I89" s="41"/>
    </row>
    <row r="90" ht="18.95" customHeight="1" spans="1:9">
      <c r="A90" s="40"/>
      <c r="B90" s="45" t="s">
        <v>108</v>
      </c>
      <c r="C90" s="41" t="s">
        <v>102</v>
      </c>
      <c r="D90" s="41" t="s">
        <v>91</v>
      </c>
      <c r="E90" s="41" t="s">
        <v>96</v>
      </c>
      <c r="F90" s="41">
        <v>108</v>
      </c>
      <c r="G90" s="41">
        <v>45</v>
      </c>
      <c r="H90" s="46">
        <f t="shared" si="3"/>
        <v>4860</v>
      </c>
      <c r="I90" s="41"/>
    </row>
    <row r="91" ht="18.95" customHeight="1" spans="1:9">
      <c r="A91" s="40"/>
      <c r="B91" s="45" t="s">
        <v>109</v>
      </c>
      <c r="C91" s="41" t="s">
        <v>175</v>
      </c>
      <c r="D91" s="41" t="s">
        <v>91</v>
      </c>
      <c r="E91" s="41" t="s">
        <v>96</v>
      </c>
      <c r="F91" s="41">
        <v>1</v>
      </c>
      <c r="G91" s="41">
        <v>169.61</v>
      </c>
      <c r="H91" s="46">
        <f t="shared" si="3"/>
        <v>169.61</v>
      </c>
      <c r="I91" s="41"/>
    </row>
    <row r="92" ht="18.95" customHeight="1" spans="1:9">
      <c r="A92" s="40"/>
      <c r="B92" s="45" t="s">
        <v>109</v>
      </c>
      <c r="C92" s="41" t="s">
        <v>110</v>
      </c>
      <c r="D92" s="41" t="s">
        <v>91</v>
      </c>
      <c r="E92" s="41" t="s">
        <v>96</v>
      </c>
      <c r="F92" s="41">
        <v>3</v>
      </c>
      <c r="G92" s="41">
        <v>78.8</v>
      </c>
      <c r="H92" s="46">
        <f t="shared" si="3"/>
        <v>236.4</v>
      </c>
      <c r="I92" s="41"/>
    </row>
    <row r="93" ht="18.95" customHeight="1" spans="1:9">
      <c r="A93" s="40"/>
      <c r="B93" s="45" t="s">
        <v>111</v>
      </c>
      <c r="C93" s="41" t="s">
        <v>177</v>
      </c>
      <c r="D93" s="41"/>
      <c r="E93" s="41" t="s">
        <v>96</v>
      </c>
      <c r="F93" s="41">
        <v>1</v>
      </c>
      <c r="G93" s="41">
        <v>98.97</v>
      </c>
      <c r="H93" s="46">
        <f t="shared" si="3"/>
        <v>98.97</v>
      </c>
      <c r="I93" s="41"/>
    </row>
    <row r="94" ht="18.95" customHeight="1" spans="1:9">
      <c r="A94" s="40"/>
      <c r="B94" s="45" t="s">
        <v>111</v>
      </c>
      <c r="C94" s="41" t="s">
        <v>178</v>
      </c>
      <c r="D94" s="41"/>
      <c r="E94" s="41" t="s">
        <v>96</v>
      </c>
      <c r="F94" s="41">
        <v>1</v>
      </c>
      <c r="G94" s="41">
        <v>98.97</v>
      </c>
      <c r="H94" s="46">
        <f t="shared" si="3"/>
        <v>98.97</v>
      </c>
      <c r="I94" s="41"/>
    </row>
    <row r="95" ht="18.95" customHeight="1" spans="1:9">
      <c r="A95" s="40"/>
      <c r="B95" s="45" t="s">
        <v>116</v>
      </c>
      <c r="C95" s="41" t="s">
        <v>178</v>
      </c>
      <c r="D95" s="41" t="s">
        <v>86</v>
      </c>
      <c r="E95" s="41" t="s">
        <v>96</v>
      </c>
      <c r="F95" s="41">
        <v>3</v>
      </c>
      <c r="G95" s="41">
        <v>99.52</v>
      </c>
      <c r="H95" s="46">
        <f t="shared" si="3"/>
        <v>298.56</v>
      </c>
      <c r="I95" s="41"/>
    </row>
    <row r="96" ht="18.95" customHeight="1" spans="1:9">
      <c r="A96" s="40"/>
      <c r="B96" s="45" t="s">
        <v>116</v>
      </c>
      <c r="C96" s="41" t="s">
        <v>113</v>
      </c>
      <c r="D96" s="41" t="s">
        <v>86</v>
      </c>
      <c r="E96" s="41" t="s">
        <v>96</v>
      </c>
      <c r="F96" s="41">
        <v>1</v>
      </c>
      <c r="G96" s="41">
        <v>75.5</v>
      </c>
      <c r="H96" s="46">
        <f t="shared" si="3"/>
        <v>75.5</v>
      </c>
      <c r="I96" s="41"/>
    </row>
    <row r="97" ht="18.95" customHeight="1" spans="1:9">
      <c r="A97" s="40"/>
      <c r="B97" s="45" t="s">
        <v>118</v>
      </c>
      <c r="C97" s="41" t="s">
        <v>179</v>
      </c>
      <c r="D97" s="41"/>
      <c r="E97" s="41" t="s">
        <v>96</v>
      </c>
      <c r="F97" s="45">
        <v>1</v>
      </c>
      <c r="G97" s="17">
        <v>91.72</v>
      </c>
      <c r="H97" s="46">
        <f t="shared" si="3"/>
        <v>91.72</v>
      </c>
      <c r="I97" s="41"/>
    </row>
    <row r="98" ht="18.95" customHeight="1" spans="1:9">
      <c r="A98" s="40"/>
      <c r="B98" s="45" t="s">
        <v>118</v>
      </c>
      <c r="C98" s="41" t="s">
        <v>119</v>
      </c>
      <c r="D98" s="41"/>
      <c r="E98" s="41" t="s">
        <v>96</v>
      </c>
      <c r="F98" s="45">
        <v>3</v>
      </c>
      <c r="G98" s="17">
        <v>90.8</v>
      </c>
      <c r="H98" s="46">
        <f t="shared" si="3"/>
        <v>272.4</v>
      </c>
      <c r="I98" s="41"/>
    </row>
    <row r="99" ht="18.95" customHeight="1" spans="1:9">
      <c r="A99" s="40"/>
      <c r="B99" s="45" t="s">
        <v>122</v>
      </c>
      <c r="C99" s="41" t="s">
        <v>179</v>
      </c>
      <c r="D99" s="41"/>
      <c r="E99" s="41" t="s">
        <v>96</v>
      </c>
      <c r="F99" s="45">
        <v>4</v>
      </c>
      <c r="G99" s="17">
        <v>101.7</v>
      </c>
      <c r="H99" s="46">
        <f t="shared" si="3"/>
        <v>406.8</v>
      </c>
      <c r="I99" s="41"/>
    </row>
    <row r="100" ht="18.95" customHeight="1" spans="1:9">
      <c r="A100" s="40"/>
      <c r="B100" s="45" t="s">
        <v>122</v>
      </c>
      <c r="C100" s="41" t="s">
        <v>119</v>
      </c>
      <c r="D100" s="41"/>
      <c r="E100" s="41" t="s">
        <v>96</v>
      </c>
      <c r="F100" s="45">
        <v>5</v>
      </c>
      <c r="G100" s="45">
        <v>96.25</v>
      </c>
      <c r="H100" s="46">
        <f t="shared" si="3"/>
        <v>481.25</v>
      </c>
      <c r="I100" s="41"/>
    </row>
    <row r="101" ht="18.95" customHeight="1" spans="1:9">
      <c r="A101" s="40"/>
      <c r="B101" s="45" t="s">
        <v>122</v>
      </c>
      <c r="C101" s="41" t="s">
        <v>120</v>
      </c>
      <c r="D101" s="41"/>
      <c r="E101" s="41" t="s">
        <v>96</v>
      </c>
      <c r="F101" s="45">
        <v>1</v>
      </c>
      <c r="G101" s="45">
        <v>94.07</v>
      </c>
      <c r="H101" s="46">
        <f t="shared" si="3"/>
        <v>94.07</v>
      </c>
      <c r="I101" s="41"/>
    </row>
    <row r="102" ht="18.95" customHeight="1" spans="1:9">
      <c r="A102" s="40"/>
      <c r="B102" s="45" t="s">
        <v>123</v>
      </c>
      <c r="C102" s="41" t="s">
        <v>180</v>
      </c>
      <c r="D102" s="41"/>
      <c r="E102" s="41" t="s">
        <v>96</v>
      </c>
      <c r="F102" s="41">
        <v>1</v>
      </c>
      <c r="G102" s="17">
        <v>376.13</v>
      </c>
      <c r="H102" s="46">
        <f t="shared" si="3"/>
        <v>376.13</v>
      </c>
      <c r="I102" s="41"/>
    </row>
    <row r="103" ht="18.95" customHeight="1" spans="1:9">
      <c r="A103" s="40"/>
      <c r="B103" s="45" t="s">
        <v>123</v>
      </c>
      <c r="C103" s="41" t="s">
        <v>124</v>
      </c>
      <c r="D103" s="41"/>
      <c r="E103" s="41" t="s">
        <v>96</v>
      </c>
      <c r="F103" s="41">
        <v>3</v>
      </c>
      <c r="G103" s="17">
        <v>263.71</v>
      </c>
      <c r="H103" s="46">
        <f t="shared" si="3"/>
        <v>791.13</v>
      </c>
      <c r="I103" s="41"/>
    </row>
    <row r="104" ht="18.95" customHeight="1" spans="1:9">
      <c r="A104" s="40"/>
      <c r="B104" s="45" t="s">
        <v>123</v>
      </c>
      <c r="C104" s="41" t="s">
        <v>125</v>
      </c>
      <c r="D104" s="41"/>
      <c r="E104" s="41" t="s">
        <v>96</v>
      </c>
      <c r="F104" s="41">
        <v>1</v>
      </c>
      <c r="G104" s="17">
        <v>182.55</v>
      </c>
      <c r="H104" s="46">
        <f t="shared" si="3"/>
        <v>182.55</v>
      </c>
      <c r="I104" s="41"/>
    </row>
    <row r="105" ht="18.95" customHeight="1" spans="1:9">
      <c r="A105" s="40"/>
      <c r="B105" s="45" t="s">
        <v>127</v>
      </c>
      <c r="C105" s="41" t="s">
        <v>98</v>
      </c>
      <c r="D105" s="41"/>
      <c r="E105" s="41" t="s">
        <v>96</v>
      </c>
      <c r="F105" s="41">
        <v>4</v>
      </c>
      <c r="G105" s="17">
        <v>2874.81</v>
      </c>
      <c r="H105" s="46">
        <f t="shared" si="3"/>
        <v>11499.24</v>
      </c>
      <c r="I105" s="41"/>
    </row>
    <row r="106" s="34" customFormat="1" ht="18.95" customHeight="1" spans="1:9">
      <c r="A106" s="47"/>
      <c r="B106" s="48" t="s">
        <v>127</v>
      </c>
      <c r="C106" s="49" t="s">
        <v>101</v>
      </c>
      <c r="D106" s="49"/>
      <c r="E106" s="49" t="s">
        <v>96</v>
      </c>
      <c r="F106" s="49">
        <v>2</v>
      </c>
      <c r="G106" s="63">
        <f>G40</f>
        <v>1682.16</v>
      </c>
      <c r="H106" s="50">
        <f t="shared" si="3"/>
        <v>3364.32</v>
      </c>
      <c r="I106" s="49"/>
    </row>
    <row r="107" ht="18.95" customHeight="1" spans="1:9">
      <c r="A107" s="40"/>
      <c r="B107" s="45" t="s">
        <v>127</v>
      </c>
      <c r="C107" s="41" t="s">
        <v>181</v>
      </c>
      <c r="D107" s="41"/>
      <c r="E107" s="41" t="s">
        <v>96</v>
      </c>
      <c r="F107" s="41">
        <v>108</v>
      </c>
      <c r="G107" s="17">
        <v>312.6</v>
      </c>
      <c r="H107" s="46">
        <f t="shared" si="3"/>
        <v>33760.8</v>
      </c>
      <c r="I107" s="41"/>
    </row>
    <row r="108" s="34" customFormat="1" ht="18.95" customHeight="1" spans="1:9">
      <c r="A108" s="47"/>
      <c r="B108" s="48" t="s">
        <v>128</v>
      </c>
      <c r="C108" s="49" t="s">
        <v>182</v>
      </c>
      <c r="D108" s="49"/>
      <c r="E108" s="49" t="s">
        <v>130</v>
      </c>
      <c r="F108" s="49">
        <v>1</v>
      </c>
      <c r="G108" s="49">
        <v>30756.53</v>
      </c>
      <c r="H108" s="50">
        <f t="shared" si="3"/>
        <v>30756.53</v>
      </c>
      <c r="I108" s="49"/>
    </row>
    <row r="109" ht="18.95" customHeight="1" spans="1:9">
      <c r="A109" s="40"/>
      <c r="B109" s="45" t="s">
        <v>131</v>
      </c>
      <c r="C109" s="41"/>
      <c r="D109" s="41"/>
      <c r="E109" s="41" t="s">
        <v>130</v>
      </c>
      <c r="F109" s="41">
        <v>1</v>
      </c>
      <c r="G109" s="41">
        <v>1220</v>
      </c>
      <c r="H109" s="46">
        <f t="shared" si="3"/>
        <v>1220</v>
      </c>
      <c r="I109" s="41"/>
    </row>
    <row r="110" s="34" customFormat="1" ht="18.95" customHeight="1" spans="1:9">
      <c r="A110" s="47"/>
      <c r="B110" s="48" t="s">
        <v>132</v>
      </c>
      <c r="C110" s="49"/>
      <c r="D110" s="49"/>
      <c r="E110" s="49" t="s">
        <v>23</v>
      </c>
      <c r="F110" s="49">
        <v>99</v>
      </c>
      <c r="G110" s="49">
        <f>G44</f>
        <v>3.79</v>
      </c>
      <c r="H110" s="50">
        <f t="shared" si="3"/>
        <v>375.21</v>
      </c>
      <c r="I110" s="49"/>
    </row>
    <row r="111" ht="18.95" customHeight="1" spans="1:9">
      <c r="A111" s="40"/>
      <c r="B111" s="45" t="s">
        <v>133</v>
      </c>
      <c r="C111" s="41"/>
      <c r="D111" s="41"/>
      <c r="E111" s="41" t="s">
        <v>23</v>
      </c>
      <c r="F111" s="41">
        <v>99</v>
      </c>
      <c r="G111" s="41">
        <v>29.46</v>
      </c>
      <c r="H111" s="46">
        <f t="shared" si="3"/>
        <v>2916.54</v>
      </c>
      <c r="I111" s="41"/>
    </row>
    <row r="112" ht="18.95" customHeight="1" spans="1:9">
      <c r="A112" s="40"/>
      <c r="B112" s="45" t="s">
        <v>134</v>
      </c>
      <c r="C112" s="41" t="s">
        <v>98</v>
      </c>
      <c r="D112" s="41"/>
      <c r="E112" s="41" t="s">
        <v>96</v>
      </c>
      <c r="F112" s="41">
        <v>88</v>
      </c>
      <c r="G112" s="17">
        <v>125.57</v>
      </c>
      <c r="H112" s="46">
        <f t="shared" si="3"/>
        <v>11050.16</v>
      </c>
      <c r="I112" s="41"/>
    </row>
    <row r="113" ht="18.95" customHeight="1" spans="1:9">
      <c r="A113" s="40"/>
      <c r="B113" s="45" t="s">
        <v>134</v>
      </c>
      <c r="C113" s="41" t="s">
        <v>101</v>
      </c>
      <c r="D113" s="41"/>
      <c r="E113" s="41" t="s">
        <v>96</v>
      </c>
      <c r="F113" s="41">
        <v>99</v>
      </c>
      <c r="G113" s="17">
        <v>109.75</v>
      </c>
      <c r="H113" s="46">
        <f t="shared" si="3"/>
        <v>10865.25</v>
      </c>
      <c r="I113" s="41"/>
    </row>
    <row r="114" ht="18.95" customHeight="1" spans="1:9">
      <c r="A114" s="40"/>
      <c r="B114" s="45" t="s">
        <v>134</v>
      </c>
      <c r="C114" s="41" t="s">
        <v>102</v>
      </c>
      <c r="D114" s="41"/>
      <c r="E114" s="41" t="s">
        <v>96</v>
      </c>
      <c r="F114" s="41">
        <v>468</v>
      </c>
      <c r="G114" s="17">
        <v>60.29</v>
      </c>
      <c r="H114" s="46">
        <f t="shared" si="3"/>
        <v>28215.72</v>
      </c>
      <c r="I114" s="41"/>
    </row>
    <row r="115" ht="18.95" customHeight="1" spans="1:9">
      <c r="A115" s="40"/>
      <c r="B115" s="45" t="s">
        <v>135</v>
      </c>
      <c r="C115" s="40" t="s">
        <v>136</v>
      </c>
      <c r="D115" s="41"/>
      <c r="E115" s="41" t="s">
        <v>137</v>
      </c>
      <c r="F115" s="41">
        <v>528</v>
      </c>
      <c r="G115" s="51">
        <f>0.04*7.85*4*5.5*1.45</f>
        <v>10.0166</v>
      </c>
      <c r="H115" s="46">
        <f t="shared" si="3"/>
        <v>5288.7648</v>
      </c>
      <c r="I115" s="58"/>
    </row>
    <row r="116" ht="18.95" customHeight="1" spans="1:9">
      <c r="A116" s="40"/>
      <c r="B116" s="45" t="s">
        <v>138</v>
      </c>
      <c r="C116" s="41" t="s">
        <v>139</v>
      </c>
      <c r="D116" s="41"/>
      <c r="E116" s="41" t="s">
        <v>140</v>
      </c>
      <c r="F116" s="41">
        <v>38</v>
      </c>
      <c r="G116" s="51">
        <f>3.77*5.5*1.45</f>
        <v>30.06575</v>
      </c>
      <c r="H116" s="46">
        <f t="shared" si="3"/>
        <v>1142.4985</v>
      </c>
      <c r="I116" s="58" t="s">
        <v>141</v>
      </c>
    </row>
    <row r="117" ht="18.95" customHeight="1" spans="1:9">
      <c r="A117" s="40"/>
      <c r="B117" s="45" t="s">
        <v>142</v>
      </c>
      <c r="C117" s="41" t="s">
        <v>98</v>
      </c>
      <c r="D117" s="41" t="s">
        <v>95</v>
      </c>
      <c r="E117" s="41" t="s">
        <v>137</v>
      </c>
      <c r="F117" s="41">
        <v>7</v>
      </c>
      <c r="G117" s="41">
        <v>125.33</v>
      </c>
      <c r="H117" s="46">
        <f t="shared" si="3"/>
        <v>877.31</v>
      </c>
      <c r="I117" s="41"/>
    </row>
    <row r="118" ht="18.95" customHeight="1" spans="1:9">
      <c r="A118" s="40"/>
      <c r="B118" s="45" t="s">
        <v>142</v>
      </c>
      <c r="C118" s="41" t="s">
        <v>101</v>
      </c>
      <c r="D118" s="41" t="s">
        <v>95</v>
      </c>
      <c r="E118" s="41" t="s">
        <v>137</v>
      </c>
      <c r="F118" s="41">
        <v>17</v>
      </c>
      <c r="G118" s="41">
        <v>91.41</v>
      </c>
      <c r="H118" s="46">
        <f t="shared" si="3"/>
        <v>1553.97</v>
      </c>
      <c r="I118" s="41"/>
    </row>
    <row r="119" ht="18.95" customHeight="1" spans="1:9">
      <c r="A119" s="40"/>
      <c r="B119" s="45" t="s">
        <v>143</v>
      </c>
      <c r="C119" s="41" t="s">
        <v>144</v>
      </c>
      <c r="D119" s="41"/>
      <c r="E119" s="41" t="s">
        <v>137</v>
      </c>
      <c r="F119" s="41">
        <v>3</v>
      </c>
      <c r="G119" s="41">
        <v>12.6</v>
      </c>
      <c r="H119" s="46">
        <f t="shared" si="3"/>
        <v>37.8</v>
      </c>
      <c r="I119" s="41"/>
    </row>
    <row r="120" ht="18.95" customHeight="1" spans="1:9">
      <c r="A120" s="40"/>
      <c r="B120" s="45" t="s">
        <v>145</v>
      </c>
      <c r="C120" s="41" t="s">
        <v>146</v>
      </c>
      <c r="D120" s="41" t="s">
        <v>147</v>
      </c>
      <c r="E120" s="41" t="s">
        <v>148</v>
      </c>
      <c r="F120" s="41">
        <v>991</v>
      </c>
      <c r="G120" s="41">
        <f>G53</f>
        <v>480.19</v>
      </c>
      <c r="H120" s="46">
        <f t="shared" si="3"/>
        <v>475868.29</v>
      </c>
      <c r="I120" s="41" t="s">
        <v>149</v>
      </c>
    </row>
    <row r="121" ht="18.95" customHeight="1" spans="1:9">
      <c r="A121" s="40"/>
      <c r="B121" s="45" t="s">
        <v>150</v>
      </c>
      <c r="C121" s="41"/>
      <c r="D121" s="41"/>
      <c r="E121" s="41" t="s">
        <v>96</v>
      </c>
      <c r="F121" s="41">
        <f>F120</f>
        <v>991</v>
      </c>
      <c r="G121" s="41">
        <v>30.25</v>
      </c>
      <c r="H121" s="46">
        <f t="shared" si="3"/>
        <v>29977.75</v>
      </c>
      <c r="I121" s="41"/>
    </row>
    <row r="122" ht="18.95" customHeight="1" spans="1:9">
      <c r="A122" s="40"/>
      <c r="B122" s="45" t="s">
        <v>151</v>
      </c>
      <c r="C122" s="41"/>
      <c r="D122" s="41"/>
      <c r="E122" s="41" t="s">
        <v>96</v>
      </c>
      <c r="F122" s="41">
        <f>F120*2</f>
        <v>1982</v>
      </c>
      <c r="G122" s="41">
        <v>18.45</v>
      </c>
      <c r="H122" s="46">
        <f t="shared" si="3"/>
        <v>36567.9</v>
      </c>
      <c r="I122" s="41"/>
    </row>
    <row r="123" ht="18.95" customHeight="1" spans="1:9">
      <c r="A123" s="40"/>
      <c r="B123" s="45" t="s">
        <v>152</v>
      </c>
      <c r="C123" s="41"/>
      <c r="D123" s="41"/>
      <c r="E123" s="41" t="s">
        <v>96</v>
      </c>
      <c r="F123" s="41">
        <f>F120</f>
        <v>991</v>
      </c>
      <c r="G123" s="41">
        <v>358</v>
      </c>
      <c r="H123" s="46">
        <f t="shared" si="3"/>
        <v>354778</v>
      </c>
      <c r="I123" s="41"/>
    </row>
    <row r="124" ht="18.95" customHeight="1" spans="1:9">
      <c r="A124" s="40"/>
      <c r="B124" s="45" t="s">
        <v>153</v>
      </c>
      <c r="C124" s="41"/>
      <c r="D124" s="41"/>
      <c r="E124" s="41" t="s">
        <v>96</v>
      </c>
      <c r="F124" s="41">
        <f>F120</f>
        <v>991</v>
      </c>
      <c r="G124" s="41">
        <v>30.25</v>
      </c>
      <c r="H124" s="46">
        <f t="shared" si="3"/>
        <v>29977.75</v>
      </c>
      <c r="I124" s="41"/>
    </row>
    <row r="125" ht="18.95" customHeight="1" spans="1:9">
      <c r="A125" s="40"/>
      <c r="B125" s="45" t="s">
        <v>154</v>
      </c>
      <c r="C125" s="41" t="s">
        <v>155</v>
      </c>
      <c r="D125" s="41"/>
      <c r="E125" s="41" t="s">
        <v>96</v>
      </c>
      <c r="F125" s="41">
        <f>F120</f>
        <v>991</v>
      </c>
      <c r="G125" s="41">
        <f>G58</f>
        <v>89.38</v>
      </c>
      <c r="H125" s="46">
        <f t="shared" si="3"/>
        <v>88575.58</v>
      </c>
      <c r="I125" s="41"/>
    </row>
    <row r="126" ht="18.95" customHeight="1" spans="1:9">
      <c r="A126" s="40"/>
      <c r="B126" s="45" t="s">
        <v>156</v>
      </c>
      <c r="C126" s="41" t="s">
        <v>155</v>
      </c>
      <c r="D126" s="41"/>
      <c r="E126" s="41" t="s">
        <v>137</v>
      </c>
      <c r="F126" s="41">
        <f>F120</f>
        <v>991</v>
      </c>
      <c r="G126" s="41">
        <f>G59</f>
        <v>111.4</v>
      </c>
      <c r="H126" s="46">
        <f t="shared" si="3"/>
        <v>110397.4</v>
      </c>
      <c r="I126" s="58"/>
    </row>
    <row r="127" ht="18.95" customHeight="1" spans="1:9">
      <c r="A127" s="40"/>
      <c r="B127" s="45" t="s">
        <v>157</v>
      </c>
      <c r="C127" s="41" t="s">
        <v>155</v>
      </c>
      <c r="D127" s="41"/>
      <c r="E127" s="41" t="s">
        <v>96</v>
      </c>
      <c r="F127" s="41">
        <f>F120*3</f>
        <v>2973</v>
      </c>
      <c r="G127" s="41">
        <v>49.43</v>
      </c>
      <c r="H127" s="46">
        <f t="shared" si="3"/>
        <v>146955.39</v>
      </c>
      <c r="I127" s="58"/>
    </row>
    <row r="128" ht="18.95" customHeight="1" spans="1:9">
      <c r="A128" s="40"/>
      <c r="B128" s="45" t="s">
        <v>158</v>
      </c>
      <c r="C128" s="41" t="s">
        <v>155</v>
      </c>
      <c r="D128" s="41"/>
      <c r="E128" s="41" t="s">
        <v>96</v>
      </c>
      <c r="F128" s="41">
        <f>F120*3</f>
        <v>2973</v>
      </c>
      <c r="G128" s="41">
        <v>4.2</v>
      </c>
      <c r="H128" s="46">
        <f t="shared" si="3"/>
        <v>12486.6</v>
      </c>
      <c r="I128" s="58"/>
    </row>
    <row r="129" ht="18.95" customHeight="1" spans="1:9">
      <c r="A129" s="40"/>
      <c r="B129" s="45" t="s">
        <v>159</v>
      </c>
      <c r="C129" s="41" t="s">
        <v>155</v>
      </c>
      <c r="D129" s="41"/>
      <c r="E129" s="41" t="s">
        <v>96</v>
      </c>
      <c r="F129" s="41">
        <f>F120*2</f>
        <v>1982</v>
      </c>
      <c r="G129" s="41">
        <v>3.85</v>
      </c>
      <c r="H129" s="46">
        <f t="shared" si="3"/>
        <v>7630.7</v>
      </c>
      <c r="I129" s="58"/>
    </row>
    <row r="130" ht="18.95" customHeight="1" spans="1:9">
      <c r="A130" s="40"/>
      <c r="B130" s="45" t="s">
        <v>160</v>
      </c>
      <c r="C130" s="41" t="s">
        <v>102</v>
      </c>
      <c r="D130" s="41" t="s">
        <v>95</v>
      </c>
      <c r="E130" s="41" t="s">
        <v>96</v>
      </c>
      <c r="F130" s="41">
        <f>F120</f>
        <v>991</v>
      </c>
      <c r="G130" s="41">
        <v>25.14</v>
      </c>
      <c r="H130" s="46">
        <f t="shared" si="3"/>
        <v>24913.74</v>
      </c>
      <c r="I130" s="58" t="s">
        <v>161</v>
      </c>
    </row>
    <row r="131" ht="18.95" customHeight="1" spans="1:9">
      <c r="A131" s="40"/>
      <c r="B131" s="45" t="s">
        <v>162</v>
      </c>
      <c r="C131" s="41" t="s">
        <v>155</v>
      </c>
      <c r="D131" s="41"/>
      <c r="E131" s="41" t="s">
        <v>96</v>
      </c>
      <c r="F131" s="41">
        <f>F120</f>
        <v>991</v>
      </c>
      <c r="G131" s="41">
        <v>85.5</v>
      </c>
      <c r="H131" s="46">
        <f t="shared" si="3"/>
        <v>84730.5</v>
      </c>
      <c r="I131" s="58"/>
    </row>
    <row r="132" s="2" customFormat="1" ht="18.75" customHeight="1" spans="1:14">
      <c r="A132" s="40"/>
      <c r="B132" s="68" t="s">
        <v>163</v>
      </c>
      <c r="C132" s="16"/>
      <c r="D132" s="16"/>
      <c r="E132" s="9" t="s">
        <v>164</v>
      </c>
      <c r="F132" s="17">
        <f>99*(0.9*2.1)</f>
        <v>187.11</v>
      </c>
      <c r="G132" s="17">
        <f>G65</f>
        <v>14.43</v>
      </c>
      <c r="H132" s="18">
        <f t="shared" si="3"/>
        <v>2699.9973</v>
      </c>
      <c r="I132" s="16"/>
      <c r="L132" s="25"/>
      <c r="N132" s="5"/>
    </row>
    <row r="133" s="2" customFormat="1" ht="18.75" customHeight="1" spans="1:14">
      <c r="A133" s="40"/>
      <c r="B133" s="68" t="s">
        <v>165</v>
      </c>
      <c r="C133" s="16"/>
      <c r="D133" s="16"/>
      <c r="E133" s="9" t="s">
        <v>164</v>
      </c>
      <c r="F133" s="17">
        <f>99*(0.9*1.8)</f>
        <v>160.38</v>
      </c>
      <c r="G133" s="17">
        <f>G66</f>
        <v>14.49</v>
      </c>
      <c r="H133" s="18">
        <f t="shared" si="3"/>
        <v>2323.9062</v>
      </c>
      <c r="I133" s="16"/>
      <c r="L133" s="25"/>
      <c r="N133" s="5"/>
    </row>
    <row r="134" s="2" customFormat="1" ht="18.75" customHeight="1" spans="1:14">
      <c r="A134" s="40"/>
      <c r="B134" s="68" t="s">
        <v>166</v>
      </c>
      <c r="C134" s="16"/>
      <c r="D134" s="16"/>
      <c r="E134" s="9" t="s">
        <v>164</v>
      </c>
      <c r="F134" s="17">
        <f>99*(0.9*0.2)</f>
        <v>17.82</v>
      </c>
      <c r="G134" s="17">
        <f>G67</f>
        <v>16.87</v>
      </c>
      <c r="H134" s="18">
        <f t="shared" si="3"/>
        <v>300.6234</v>
      </c>
      <c r="I134" s="16"/>
      <c r="L134" s="25"/>
      <c r="N134" s="5"/>
    </row>
    <row r="135" s="2" customFormat="1" ht="18.75" customHeight="1" spans="1:14">
      <c r="A135" s="40"/>
      <c r="B135" s="68" t="s">
        <v>167</v>
      </c>
      <c r="C135" s="16"/>
      <c r="D135" s="16"/>
      <c r="E135" s="9" t="s">
        <v>164</v>
      </c>
      <c r="F135" s="17">
        <f>99*(0.9*0.2)</f>
        <v>17.82</v>
      </c>
      <c r="G135" s="17">
        <v>209.39</v>
      </c>
      <c r="H135" s="18">
        <f t="shared" si="3"/>
        <v>3731.3298</v>
      </c>
      <c r="I135" s="16"/>
      <c r="L135" s="25"/>
      <c r="N135" s="5"/>
    </row>
    <row r="136" ht="18.95" customHeight="1" spans="1:9">
      <c r="A136" s="40"/>
      <c r="B136" s="23" t="s">
        <v>168</v>
      </c>
      <c r="C136" s="41"/>
      <c r="D136" s="41"/>
      <c r="E136" s="41" t="s">
        <v>169</v>
      </c>
      <c r="F136" s="41"/>
      <c r="G136" s="41"/>
      <c r="H136" s="46">
        <f>SUM(H71:H135)</f>
        <v>1884437.13</v>
      </c>
      <c r="I136" s="58"/>
    </row>
    <row r="137" customHeight="1" spans="1:9">
      <c r="A137" s="65">
        <v>3</v>
      </c>
      <c r="B137" s="44" t="s">
        <v>183</v>
      </c>
      <c r="C137" s="44"/>
      <c r="D137" s="44"/>
      <c r="E137" s="44"/>
      <c r="F137" s="44"/>
      <c r="G137" s="44"/>
      <c r="H137" s="44"/>
      <c r="I137" s="53"/>
    </row>
    <row r="138" customHeight="1" spans="1:9">
      <c r="A138" s="40"/>
      <c r="B138" s="45" t="s">
        <v>84</v>
      </c>
      <c r="C138" s="41" t="s">
        <v>87</v>
      </c>
      <c r="D138" s="41" t="s">
        <v>86</v>
      </c>
      <c r="E138" s="41" t="s">
        <v>23</v>
      </c>
      <c r="F138" s="41">
        <v>138</v>
      </c>
      <c r="G138" s="41">
        <v>39.37</v>
      </c>
      <c r="H138" s="46">
        <f t="shared" ref="H138:H175" si="4">F138*G138</f>
        <v>5433.06</v>
      </c>
      <c r="I138" s="41"/>
    </row>
    <row r="139" customHeight="1" spans="1:9">
      <c r="A139" s="40"/>
      <c r="B139" s="45" t="s">
        <v>89</v>
      </c>
      <c r="C139" s="41" t="s">
        <v>90</v>
      </c>
      <c r="D139" s="41" t="s">
        <v>91</v>
      </c>
      <c r="E139" s="41" t="s">
        <v>23</v>
      </c>
      <c r="F139" s="41">
        <v>172</v>
      </c>
      <c r="G139" s="41">
        <v>91.41</v>
      </c>
      <c r="H139" s="46">
        <f t="shared" si="4"/>
        <v>15722.52</v>
      </c>
      <c r="I139" s="41"/>
    </row>
    <row r="140" customHeight="1" spans="1:9">
      <c r="A140" s="40"/>
      <c r="B140" s="45" t="s">
        <v>89</v>
      </c>
      <c r="C140" s="41" t="s">
        <v>92</v>
      </c>
      <c r="D140" s="41" t="s">
        <v>91</v>
      </c>
      <c r="E140" s="41" t="s">
        <v>23</v>
      </c>
      <c r="F140" s="41">
        <v>181</v>
      </c>
      <c r="G140" s="41">
        <v>77.13</v>
      </c>
      <c r="H140" s="46">
        <f t="shared" si="4"/>
        <v>13960.53</v>
      </c>
      <c r="I140" s="41"/>
    </row>
    <row r="141" customHeight="1" spans="1:9">
      <c r="A141" s="40"/>
      <c r="B141" s="45" t="s">
        <v>93</v>
      </c>
      <c r="C141" s="41" t="s">
        <v>98</v>
      </c>
      <c r="D141" s="41" t="s">
        <v>95</v>
      </c>
      <c r="E141" s="41" t="s">
        <v>96</v>
      </c>
      <c r="F141" s="41">
        <v>2</v>
      </c>
      <c r="G141" s="41">
        <v>56.95</v>
      </c>
      <c r="H141" s="46">
        <f t="shared" si="4"/>
        <v>113.9</v>
      </c>
      <c r="I141" s="41" t="s">
        <v>97</v>
      </c>
    </row>
    <row r="142" customHeight="1" spans="1:9">
      <c r="A142" s="40"/>
      <c r="B142" s="45" t="s">
        <v>100</v>
      </c>
      <c r="C142" s="41" t="s">
        <v>101</v>
      </c>
      <c r="D142" s="41" t="s">
        <v>91</v>
      </c>
      <c r="E142" s="41" t="s">
        <v>96</v>
      </c>
      <c r="F142" s="41">
        <v>29</v>
      </c>
      <c r="G142" s="17">
        <v>68.16</v>
      </c>
      <c r="H142" s="46">
        <f t="shared" si="4"/>
        <v>1976.64</v>
      </c>
      <c r="I142" s="41"/>
    </row>
    <row r="143" customHeight="1" spans="1:9">
      <c r="A143" s="40"/>
      <c r="B143" s="45" t="s">
        <v>100</v>
      </c>
      <c r="C143" s="41" t="s">
        <v>102</v>
      </c>
      <c r="D143" s="41" t="s">
        <v>91</v>
      </c>
      <c r="E143" s="41" t="s">
        <v>96</v>
      </c>
      <c r="F143" s="41">
        <v>20</v>
      </c>
      <c r="G143" s="17">
        <v>57.26</v>
      </c>
      <c r="H143" s="46">
        <f t="shared" si="4"/>
        <v>1145.2</v>
      </c>
      <c r="I143" s="41"/>
    </row>
    <row r="144" customHeight="1" spans="1:9">
      <c r="A144" s="40"/>
      <c r="B144" s="45" t="s">
        <v>103</v>
      </c>
      <c r="C144" s="41" t="s">
        <v>176</v>
      </c>
      <c r="D144" s="41" t="s">
        <v>91</v>
      </c>
      <c r="E144" s="41" t="s">
        <v>96</v>
      </c>
      <c r="F144" s="41">
        <v>1</v>
      </c>
      <c r="G144" s="41">
        <v>176.41</v>
      </c>
      <c r="H144" s="46">
        <f t="shared" si="4"/>
        <v>176.41</v>
      </c>
      <c r="I144" s="41"/>
    </row>
    <row r="145" customHeight="1" spans="1:9">
      <c r="A145" s="40"/>
      <c r="B145" s="45" t="s">
        <v>103</v>
      </c>
      <c r="C145" s="41" t="s">
        <v>105</v>
      </c>
      <c r="D145" s="41" t="s">
        <v>91</v>
      </c>
      <c r="E145" s="41" t="s">
        <v>96</v>
      </c>
      <c r="F145" s="41">
        <v>2</v>
      </c>
      <c r="G145" s="41">
        <v>127.06</v>
      </c>
      <c r="H145" s="46">
        <f t="shared" si="4"/>
        <v>254.12</v>
      </c>
      <c r="I145" s="41"/>
    </row>
    <row r="146" customHeight="1" spans="1:9">
      <c r="A146" s="40"/>
      <c r="B146" s="45" t="s">
        <v>108</v>
      </c>
      <c r="C146" s="41" t="s">
        <v>101</v>
      </c>
      <c r="D146" s="41" t="s">
        <v>91</v>
      </c>
      <c r="E146" s="41" t="s">
        <v>96</v>
      </c>
      <c r="F146" s="41">
        <v>3</v>
      </c>
      <c r="G146" s="17">
        <v>55</v>
      </c>
      <c r="H146" s="46">
        <f t="shared" si="4"/>
        <v>165</v>
      </c>
      <c r="I146" s="41"/>
    </row>
    <row r="147" customHeight="1" spans="1:9">
      <c r="A147" s="40"/>
      <c r="B147" s="45" t="s">
        <v>108</v>
      </c>
      <c r="C147" s="41" t="s">
        <v>102</v>
      </c>
      <c r="D147" s="41" t="s">
        <v>91</v>
      </c>
      <c r="E147" s="41" t="s">
        <v>96</v>
      </c>
      <c r="F147" s="41">
        <v>16</v>
      </c>
      <c r="G147" s="41">
        <v>45</v>
      </c>
      <c r="H147" s="46">
        <f t="shared" si="4"/>
        <v>720</v>
      </c>
      <c r="I147" s="41"/>
    </row>
    <row r="148" customHeight="1" spans="1:9">
      <c r="A148" s="40"/>
      <c r="B148" s="45" t="s">
        <v>118</v>
      </c>
      <c r="C148" s="41" t="s">
        <v>120</v>
      </c>
      <c r="D148" s="41"/>
      <c r="E148" s="41" t="s">
        <v>96</v>
      </c>
      <c r="F148" s="45">
        <v>4</v>
      </c>
      <c r="G148" s="45">
        <v>83.94</v>
      </c>
      <c r="H148" s="46">
        <f t="shared" si="4"/>
        <v>335.76</v>
      </c>
      <c r="I148" s="41"/>
    </row>
    <row r="149" customHeight="1" spans="1:9">
      <c r="A149" s="40"/>
      <c r="B149" s="45" t="s">
        <v>122</v>
      </c>
      <c r="C149" s="41" t="s">
        <v>120</v>
      </c>
      <c r="D149" s="41"/>
      <c r="E149" s="41" t="s">
        <v>96</v>
      </c>
      <c r="F149" s="45">
        <v>12</v>
      </c>
      <c r="G149" s="45">
        <v>94.07</v>
      </c>
      <c r="H149" s="46">
        <f t="shared" si="4"/>
        <v>1128.84</v>
      </c>
      <c r="I149" s="41"/>
    </row>
    <row r="150" customHeight="1" spans="1:9">
      <c r="A150" s="40"/>
      <c r="B150" s="45" t="s">
        <v>123</v>
      </c>
      <c r="C150" s="41" t="s">
        <v>125</v>
      </c>
      <c r="D150" s="41"/>
      <c r="E150" s="41" t="s">
        <v>96</v>
      </c>
      <c r="F150" s="41">
        <v>4</v>
      </c>
      <c r="G150" s="17">
        <v>182.55</v>
      </c>
      <c r="H150" s="46">
        <f t="shared" si="4"/>
        <v>730.2</v>
      </c>
      <c r="I150" s="41"/>
    </row>
    <row r="151" customHeight="1" spans="1:9">
      <c r="A151" s="40"/>
      <c r="B151" s="45" t="s">
        <v>127</v>
      </c>
      <c r="C151" s="41" t="s">
        <v>101</v>
      </c>
      <c r="D151" s="41"/>
      <c r="E151" s="41" t="s">
        <v>96</v>
      </c>
      <c r="F151" s="41">
        <v>2</v>
      </c>
      <c r="G151" s="17">
        <f>G40</f>
        <v>1682.16</v>
      </c>
      <c r="H151" s="46">
        <f t="shared" si="4"/>
        <v>3364.32</v>
      </c>
      <c r="I151" s="41"/>
    </row>
    <row r="152" customHeight="1" spans="1:9">
      <c r="A152" s="40"/>
      <c r="B152" s="45" t="s">
        <v>127</v>
      </c>
      <c r="C152" s="41" t="s">
        <v>181</v>
      </c>
      <c r="D152" s="41"/>
      <c r="E152" s="41" t="s">
        <v>96</v>
      </c>
      <c r="F152" s="41">
        <v>16</v>
      </c>
      <c r="G152" s="17">
        <v>312.6</v>
      </c>
      <c r="H152" s="46">
        <f t="shared" si="4"/>
        <v>5001.6</v>
      </c>
      <c r="I152" s="41"/>
    </row>
    <row r="153" customHeight="1" spans="1:9">
      <c r="A153" s="40"/>
      <c r="B153" s="45" t="s">
        <v>132</v>
      </c>
      <c r="C153" s="41"/>
      <c r="D153" s="41"/>
      <c r="E153" s="41" t="s">
        <v>23</v>
      </c>
      <c r="F153" s="41">
        <v>138</v>
      </c>
      <c r="G153" s="41">
        <f>G44</f>
        <v>3.79</v>
      </c>
      <c r="H153" s="46">
        <f t="shared" si="4"/>
        <v>523.02</v>
      </c>
      <c r="I153" s="41"/>
    </row>
    <row r="154" customHeight="1" spans="1:9">
      <c r="A154" s="40"/>
      <c r="B154" s="45" t="s">
        <v>133</v>
      </c>
      <c r="C154" s="41"/>
      <c r="D154" s="41"/>
      <c r="E154" s="41" t="s">
        <v>23</v>
      </c>
      <c r="F154" s="41">
        <v>138</v>
      </c>
      <c r="G154" s="41">
        <v>29.46</v>
      </c>
      <c r="H154" s="46">
        <f t="shared" si="4"/>
        <v>4065.48</v>
      </c>
      <c r="I154" s="41"/>
    </row>
    <row r="155" customHeight="1" spans="1:9">
      <c r="A155" s="40"/>
      <c r="B155" s="45" t="s">
        <v>134</v>
      </c>
      <c r="C155" s="41" t="s">
        <v>101</v>
      </c>
      <c r="D155" s="41"/>
      <c r="E155" s="41" t="s">
        <v>96</v>
      </c>
      <c r="F155" s="41">
        <v>35</v>
      </c>
      <c r="G155" s="17">
        <v>109.75</v>
      </c>
      <c r="H155" s="46">
        <f t="shared" si="4"/>
        <v>3841.25</v>
      </c>
      <c r="I155" s="41"/>
    </row>
    <row r="156" customHeight="1" spans="1:9">
      <c r="A156" s="40"/>
      <c r="B156" s="45" t="s">
        <v>134</v>
      </c>
      <c r="C156" s="41" t="s">
        <v>102</v>
      </c>
      <c r="D156" s="41"/>
      <c r="E156" s="41" t="s">
        <v>96</v>
      </c>
      <c r="F156" s="41">
        <v>46</v>
      </c>
      <c r="G156" s="17">
        <v>60.29</v>
      </c>
      <c r="H156" s="46">
        <f t="shared" si="4"/>
        <v>2773.34</v>
      </c>
      <c r="I156" s="41"/>
    </row>
    <row r="157" customHeight="1" spans="1:9">
      <c r="A157" s="40"/>
      <c r="B157" s="45" t="s">
        <v>135</v>
      </c>
      <c r="C157" s="40" t="s">
        <v>136</v>
      </c>
      <c r="D157" s="41"/>
      <c r="E157" s="41" t="s">
        <v>137</v>
      </c>
      <c r="F157" s="41">
        <v>42</v>
      </c>
      <c r="G157" s="51">
        <f>0.04*7.85*4*5.5*1.45</f>
        <v>10.0166</v>
      </c>
      <c r="H157" s="46">
        <f t="shared" si="4"/>
        <v>420.6972</v>
      </c>
      <c r="I157" s="58"/>
    </row>
    <row r="158" customHeight="1" spans="1:9">
      <c r="A158" s="40"/>
      <c r="B158" s="45" t="s">
        <v>138</v>
      </c>
      <c r="C158" s="41" t="s">
        <v>139</v>
      </c>
      <c r="D158" s="41"/>
      <c r="E158" s="41" t="s">
        <v>140</v>
      </c>
      <c r="F158" s="41">
        <v>6</v>
      </c>
      <c r="G158" s="51">
        <f>3.77*5.5*1.45</f>
        <v>30.06575</v>
      </c>
      <c r="H158" s="46">
        <f t="shared" si="4"/>
        <v>180.3945</v>
      </c>
      <c r="I158" s="58" t="s">
        <v>141</v>
      </c>
    </row>
    <row r="159" customHeight="1" spans="1:9">
      <c r="A159" s="40"/>
      <c r="B159" s="45" t="s">
        <v>142</v>
      </c>
      <c r="C159" s="41" t="s">
        <v>101</v>
      </c>
      <c r="D159" s="41" t="s">
        <v>95</v>
      </c>
      <c r="E159" s="41" t="s">
        <v>137</v>
      </c>
      <c r="F159" s="41">
        <v>9</v>
      </c>
      <c r="G159" s="41">
        <v>91.41</v>
      </c>
      <c r="H159" s="46">
        <f t="shared" si="4"/>
        <v>822.69</v>
      </c>
      <c r="I159" s="41"/>
    </row>
    <row r="160" customHeight="1" spans="1:9">
      <c r="A160" s="40"/>
      <c r="B160" s="45" t="s">
        <v>143</v>
      </c>
      <c r="C160" s="41" t="s">
        <v>144</v>
      </c>
      <c r="D160" s="41"/>
      <c r="E160" s="41" t="s">
        <v>137</v>
      </c>
      <c r="F160" s="41">
        <v>1</v>
      </c>
      <c r="G160" s="41">
        <v>12.6</v>
      </c>
      <c r="H160" s="46">
        <f t="shared" si="4"/>
        <v>12.6</v>
      </c>
      <c r="I160" s="41"/>
    </row>
    <row r="161" customHeight="1" spans="1:9">
      <c r="A161" s="40"/>
      <c r="B161" s="45" t="s">
        <v>145</v>
      </c>
      <c r="C161" s="41" t="s">
        <v>146</v>
      </c>
      <c r="D161" s="41" t="s">
        <v>147</v>
      </c>
      <c r="E161" s="41" t="s">
        <v>148</v>
      </c>
      <c r="F161" s="41">
        <v>62</v>
      </c>
      <c r="G161" s="41">
        <f>G53</f>
        <v>480.19</v>
      </c>
      <c r="H161" s="46">
        <f t="shared" si="4"/>
        <v>29771.78</v>
      </c>
      <c r="I161" s="41" t="s">
        <v>149</v>
      </c>
    </row>
    <row r="162" customHeight="1" spans="1:9">
      <c r="A162" s="40"/>
      <c r="B162" s="45" t="s">
        <v>150</v>
      </c>
      <c r="C162" s="41"/>
      <c r="D162" s="41"/>
      <c r="E162" s="41" t="s">
        <v>96</v>
      </c>
      <c r="F162" s="41">
        <f>F161</f>
        <v>62</v>
      </c>
      <c r="G162" s="41">
        <v>30.25</v>
      </c>
      <c r="H162" s="46">
        <f t="shared" si="4"/>
        <v>1875.5</v>
      </c>
      <c r="I162" s="41"/>
    </row>
    <row r="163" customHeight="1" spans="1:9">
      <c r="A163" s="40"/>
      <c r="B163" s="45" t="s">
        <v>151</v>
      </c>
      <c r="C163" s="41"/>
      <c r="D163" s="41"/>
      <c r="E163" s="41" t="s">
        <v>96</v>
      </c>
      <c r="F163" s="41">
        <f>F161*2</f>
        <v>124</v>
      </c>
      <c r="G163" s="41">
        <v>18.45</v>
      </c>
      <c r="H163" s="46">
        <f t="shared" si="4"/>
        <v>2287.8</v>
      </c>
      <c r="I163" s="41"/>
    </row>
    <row r="164" customHeight="1" spans="1:9">
      <c r="A164" s="40"/>
      <c r="B164" s="45" t="s">
        <v>152</v>
      </c>
      <c r="C164" s="41"/>
      <c r="D164" s="41"/>
      <c r="E164" s="41" t="s">
        <v>96</v>
      </c>
      <c r="F164" s="41">
        <f>F161</f>
        <v>62</v>
      </c>
      <c r="G164" s="41">
        <v>358</v>
      </c>
      <c r="H164" s="46">
        <f t="shared" si="4"/>
        <v>22196</v>
      </c>
      <c r="I164" s="41"/>
    </row>
    <row r="165" customHeight="1" spans="1:9">
      <c r="A165" s="40"/>
      <c r="B165" s="45" t="s">
        <v>154</v>
      </c>
      <c r="C165" s="41" t="s">
        <v>155</v>
      </c>
      <c r="D165" s="41"/>
      <c r="E165" s="41" t="s">
        <v>96</v>
      </c>
      <c r="F165" s="41">
        <f>F161</f>
        <v>62</v>
      </c>
      <c r="G165" s="41">
        <f>G58</f>
        <v>89.38</v>
      </c>
      <c r="H165" s="46">
        <f t="shared" si="4"/>
        <v>5541.56</v>
      </c>
      <c r="I165" s="41"/>
    </row>
    <row r="166" customHeight="1" spans="1:9">
      <c r="A166" s="40"/>
      <c r="B166" s="45" t="s">
        <v>156</v>
      </c>
      <c r="C166" s="41" t="s">
        <v>155</v>
      </c>
      <c r="D166" s="41"/>
      <c r="E166" s="41" t="s">
        <v>137</v>
      </c>
      <c r="F166" s="41">
        <f>F161</f>
        <v>62</v>
      </c>
      <c r="G166" s="41">
        <f>G59</f>
        <v>111.4</v>
      </c>
      <c r="H166" s="46">
        <f t="shared" si="4"/>
        <v>6906.8</v>
      </c>
      <c r="I166" s="58"/>
    </row>
    <row r="167" customHeight="1" spans="1:9">
      <c r="A167" s="40"/>
      <c r="B167" s="45" t="s">
        <v>157</v>
      </c>
      <c r="C167" s="41" t="s">
        <v>155</v>
      </c>
      <c r="D167" s="41"/>
      <c r="E167" s="41" t="s">
        <v>96</v>
      </c>
      <c r="F167" s="41">
        <f>F161*3</f>
        <v>186</v>
      </c>
      <c r="G167" s="41">
        <v>49.43</v>
      </c>
      <c r="H167" s="46">
        <f t="shared" si="4"/>
        <v>9193.98</v>
      </c>
      <c r="I167" s="58"/>
    </row>
    <row r="168" customHeight="1" spans="1:9">
      <c r="A168" s="40"/>
      <c r="B168" s="45" t="s">
        <v>158</v>
      </c>
      <c r="C168" s="41" t="s">
        <v>155</v>
      </c>
      <c r="D168" s="41"/>
      <c r="E168" s="41" t="s">
        <v>96</v>
      </c>
      <c r="F168" s="41">
        <f>F161*3</f>
        <v>186</v>
      </c>
      <c r="G168" s="41">
        <v>4.2</v>
      </c>
      <c r="H168" s="46">
        <f t="shared" si="4"/>
        <v>781.2</v>
      </c>
      <c r="I168" s="58"/>
    </row>
    <row r="169" customHeight="1" spans="1:9">
      <c r="A169" s="40"/>
      <c r="B169" s="45" t="s">
        <v>159</v>
      </c>
      <c r="C169" s="41" t="s">
        <v>155</v>
      </c>
      <c r="D169" s="41"/>
      <c r="E169" s="41" t="s">
        <v>96</v>
      </c>
      <c r="F169" s="41">
        <f>F161*2</f>
        <v>124</v>
      </c>
      <c r="G169" s="41">
        <v>3.85</v>
      </c>
      <c r="H169" s="46">
        <f t="shared" si="4"/>
        <v>477.4</v>
      </c>
      <c r="I169" s="58"/>
    </row>
    <row r="170" customHeight="1" spans="1:9">
      <c r="A170" s="40"/>
      <c r="B170" s="45" t="s">
        <v>160</v>
      </c>
      <c r="C170" s="41" t="s">
        <v>102</v>
      </c>
      <c r="D170" s="41" t="s">
        <v>95</v>
      </c>
      <c r="E170" s="41" t="s">
        <v>96</v>
      </c>
      <c r="F170" s="41">
        <f>F161</f>
        <v>62</v>
      </c>
      <c r="G170" s="41">
        <v>25.14</v>
      </c>
      <c r="H170" s="46">
        <f t="shared" si="4"/>
        <v>1558.68</v>
      </c>
      <c r="I170" s="58" t="s">
        <v>161</v>
      </c>
    </row>
    <row r="171" customHeight="1" spans="1:9">
      <c r="A171" s="40"/>
      <c r="B171" s="45" t="s">
        <v>162</v>
      </c>
      <c r="C171" s="41" t="s">
        <v>155</v>
      </c>
      <c r="D171" s="41"/>
      <c r="E171" s="41" t="s">
        <v>96</v>
      </c>
      <c r="F171" s="41">
        <f>F161</f>
        <v>62</v>
      </c>
      <c r="G171" s="41">
        <v>85.5</v>
      </c>
      <c r="H171" s="46">
        <f t="shared" si="4"/>
        <v>5301</v>
      </c>
      <c r="I171" s="58"/>
    </row>
    <row r="172" s="2" customFormat="1" ht="18.75" customHeight="1" spans="1:14">
      <c r="A172" s="40"/>
      <c r="B172" s="68" t="s">
        <v>163</v>
      </c>
      <c r="C172" s="16"/>
      <c r="D172" s="16"/>
      <c r="E172" s="9" t="s">
        <v>164</v>
      </c>
      <c r="F172" s="17">
        <f>138*(0.9*2.1)</f>
        <v>260.82</v>
      </c>
      <c r="G172" s="17">
        <f>G65</f>
        <v>14.43</v>
      </c>
      <c r="H172" s="18">
        <f t="shared" si="4"/>
        <v>3763.6326</v>
      </c>
      <c r="I172" s="16"/>
      <c r="L172" s="25"/>
      <c r="N172" s="5"/>
    </row>
    <row r="173" s="2" customFormat="1" ht="18.75" customHeight="1" spans="1:14">
      <c r="A173" s="40"/>
      <c r="B173" s="68" t="s">
        <v>165</v>
      </c>
      <c r="C173" s="16"/>
      <c r="D173" s="16"/>
      <c r="E173" s="9" t="s">
        <v>164</v>
      </c>
      <c r="F173" s="17">
        <f>138*(0.9*1.8)</f>
        <v>223.56</v>
      </c>
      <c r="G173" s="17">
        <f>G66</f>
        <v>14.49</v>
      </c>
      <c r="H173" s="18">
        <f t="shared" si="4"/>
        <v>3239.3844</v>
      </c>
      <c r="I173" s="16"/>
      <c r="L173" s="25"/>
      <c r="N173" s="5"/>
    </row>
    <row r="174" s="2" customFormat="1" ht="18.75" customHeight="1" spans="1:14">
      <c r="A174" s="40"/>
      <c r="B174" s="68" t="s">
        <v>166</v>
      </c>
      <c r="C174" s="16"/>
      <c r="D174" s="16"/>
      <c r="E174" s="9" t="s">
        <v>164</v>
      </c>
      <c r="F174" s="17">
        <f>138*(0.9*0.2)</f>
        <v>24.84</v>
      </c>
      <c r="G174" s="17">
        <f>G67</f>
        <v>16.87</v>
      </c>
      <c r="H174" s="18">
        <f t="shared" si="4"/>
        <v>419.0508</v>
      </c>
      <c r="I174" s="16"/>
      <c r="L174" s="25"/>
      <c r="N174" s="5"/>
    </row>
    <row r="175" s="2" customFormat="1" ht="18.75" customHeight="1" spans="1:14">
      <c r="A175" s="40"/>
      <c r="B175" s="68" t="s">
        <v>167</v>
      </c>
      <c r="C175" s="16"/>
      <c r="D175" s="16"/>
      <c r="E175" s="9" t="s">
        <v>164</v>
      </c>
      <c r="F175" s="17">
        <f>138*(0.9*0.2)</f>
        <v>24.84</v>
      </c>
      <c r="G175" s="17">
        <v>209.39</v>
      </c>
      <c r="H175" s="18">
        <f t="shared" si="4"/>
        <v>5201.2476</v>
      </c>
      <c r="I175" s="16"/>
      <c r="L175" s="25"/>
      <c r="N175" s="5"/>
    </row>
    <row r="176" ht="18.95" customHeight="1" spans="1:9">
      <c r="A176" s="40"/>
      <c r="B176" s="23" t="s">
        <v>168</v>
      </c>
      <c r="C176" s="41"/>
      <c r="D176" s="41"/>
      <c r="E176" s="41" t="s">
        <v>169</v>
      </c>
      <c r="F176" s="41"/>
      <c r="G176" s="41"/>
      <c r="H176" s="46">
        <f>SUM(H138:H175)</f>
        <v>161382.5871</v>
      </c>
      <c r="I176" s="58"/>
    </row>
    <row r="177" customHeight="1" spans="1:9">
      <c r="A177" s="65">
        <v>4</v>
      </c>
      <c r="B177" s="44" t="s">
        <v>184</v>
      </c>
      <c r="C177" s="44"/>
      <c r="D177" s="44"/>
      <c r="E177" s="44"/>
      <c r="F177" s="44"/>
      <c r="G177" s="44"/>
      <c r="H177" s="44"/>
      <c r="I177" s="53"/>
    </row>
    <row r="178" ht="18.95" customHeight="1" spans="1:9">
      <c r="A178" s="40"/>
      <c r="B178" s="45" t="s">
        <v>84</v>
      </c>
      <c r="C178" s="41" t="s">
        <v>171</v>
      </c>
      <c r="D178" s="41" t="s">
        <v>86</v>
      </c>
      <c r="E178" s="41" t="s">
        <v>23</v>
      </c>
      <c r="F178" s="41">
        <v>89</v>
      </c>
      <c r="G178" s="17">
        <v>78.32</v>
      </c>
      <c r="H178" s="46">
        <f t="shared" ref="H178:H244" si="5">F178*G178</f>
        <v>6970.48</v>
      </c>
      <c r="I178" s="41"/>
    </row>
    <row r="179" ht="18.95" customHeight="1" spans="1:9">
      <c r="A179" s="40"/>
      <c r="B179" s="45" t="s">
        <v>84</v>
      </c>
      <c r="C179" s="41" t="s">
        <v>85</v>
      </c>
      <c r="D179" s="41" t="s">
        <v>86</v>
      </c>
      <c r="E179" s="41" t="s">
        <v>23</v>
      </c>
      <c r="F179" s="41">
        <v>284</v>
      </c>
      <c r="G179" s="17">
        <v>67.71</v>
      </c>
      <c r="H179" s="46">
        <f t="shared" si="5"/>
        <v>19229.64</v>
      </c>
      <c r="I179" s="41"/>
    </row>
    <row r="180" ht="18.95" customHeight="1" spans="1:9">
      <c r="A180" s="40"/>
      <c r="B180" s="45" t="s">
        <v>84</v>
      </c>
      <c r="C180" s="41" t="s">
        <v>87</v>
      </c>
      <c r="D180" s="41" t="s">
        <v>86</v>
      </c>
      <c r="E180" s="41" t="s">
        <v>23</v>
      </c>
      <c r="F180" s="41">
        <v>259</v>
      </c>
      <c r="G180" s="17">
        <v>39.37</v>
      </c>
      <c r="H180" s="46">
        <f t="shared" si="5"/>
        <v>10196.83</v>
      </c>
      <c r="I180" s="41"/>
    </row>
    <row r="181" ht="18.95" customHeight="1" spans="1:9">
      <c r="A181" s="40"/>
      <c r="B181" s="45" t="s">
        <v>84</v>
      </c>
      <c r="C181" s="41" t="s">
        <v>88</v>
      </c>
      <c r="D181" s="41" t="s">
        <v>86</v>
      </c>
      <c r="E181" s="41" t="s">
        <v>23</v>
      </c>
      <c r="F181" s="41">
        <v>131</v>
      </c>
      <c r="G181" s="41">
        <v>31.5</v>
      </c>
      <c r="H181" s="46">
        <f t="shared" si="5"/>
        <v>4126.5</v>
      </c>
      <c r="I181" s="41"/>
    </row>
    <row r="182" ht="18.95" customHeight="1" spans="1:9">
      <c r="A182" s="40"/>
      <c r="B182" s="45" t="s">
        <v>89</v>
      </c>
      <c r="C182" s="41" t="s">
        <v>172</v>
      </c>
      <c r="D182" s="41" t="s">
        <v>91</v>
      </c>
      <c r="E182" s="41" t="s">
        <v>23</v>
      </c>
      <c r="F182" s="41">
        <v>10</v>
      </c>
      <c r="G182" s="17">
        <v>167.5</v>
      </c>
      <c r="H182" s="46">
        <f t="shared" si="5"/>
        <v>1675</v>
      </c>
      <c r="I182" s="41"/>
    </row>
    <row r="183" ht="18.95" customHeight="1" spans="1:9">
      <c r="A183" s="40"/>
      <c r="B183" s="45" t="s">
        <v>89</v>
      </c>
      <c r="C183" s="41" t="s">
        <v>173</v>
      </c>
      <c r="D183" s="41" t="s">
        <v>91</v>
      </c>
      <c r="E183" s="41" t="s">
        <v>23</v>
      </c>
      <c r="F183" s="41">
        <v>542</v>
      </c>
      <c r="G183" s="17">
        <v>125.33</v>
      </c>
      <c r="H183" s="46">
        <f t="shared" si="5"/>
        <v>67928.86</v>
      </c>
      <c r="I183" s="41"/>
    </row>
    <row r="184" ht="18.95" customHeight="1" spans="1:9">
      <c r="A184" s="40"/>
      <c r="B184" s="45" t="s">
        <v>89</v>
      </c>
      <c r="C184" s="41" t="s">
        <v>90</v>
      </c>
      <c r="D184" s="41" t="s">
        <v>91</v>
      </c>
      <c r="E184" s="41" t="s">
        <v>23</v>
      </c>
      <c r="F184" s="41">
        <v>383</v>
      </c>
      <c r="G184" s="17">
        <v>91.41</v>
      </c>
      <c r="H184" s="46">
        <f t="shared" si="5"/>
        <v>35010.03</v>
      </c>
      <c r="I184" s="41"/>
    </row>
    <row r="185" ht="18.95" customHeight="1" spans="1:9">
      <c r="A185" s="40"/>
      <c r="B185" s="45" t="s">
        <v>89</v>
      </c>
      <c r="C185" s="41" t="s">
        <v>92</v>
      </c>
      <c r="D185" s="41" t="s">
        <v>91</v>
      </c>
      <c r="E185" s="41" t="s">
        <v>23</v>
      </c>
      <c r="F185" s="41">
        <v>1286</v>
      </c>
      <c r="G185" s="17">
        <v>77.13</v>
      </c>
      <c r="H185" s="46">
        <f t="shared" si="5"/>
        <v>99189.18</v>
      </c>
      <c r="I185" s="41"/>
    </row>
    <row r="186" ht="18.95" customHeight="1" spans="1:9">
      <c r="A186" s="40"/>
      <c r="B186" s="45" t="s">
        <v>93</v>
      </c>
      <c r="C186" s="41" t="s">
        <v>94</v>
      </c>
      <c r="D186" s="41" t="s">
        <v>95</v>
      </c>
      <c r="E186" s="41" t="s">
        <v>96</v>
      </c>
      <c r="F186" s="41">
        <v>10</v>
      </c>
      <c r="G186" s="41">
        <v>112.63</v>
      </c>
      <c r="H186" s="46">
        <f t="shared" si="5"/>
        <v>1126.3</v>
      </c>
      <c r="I186" s="41" t="s">
        <v>97</v>
      </c>
    </row>
    <row r="187" ht="18.95" customHeight="1" spans="1:9">
      <c r="A187" s="40"/>
      <c r="B187" s="45" t="s">
        <v>93</v>
      </c>
      <c r="C187" s="41" t="s">
        <v>98</v>
      </c>
      <c r="D187" s="41" t="s">
        <v>95</v>
      </c>
      <c r="E187" s="41" t="s">
        <v>96</v>
      </c>
      <c r="F187" s="41">
        <v>5</v>
      </c>
      <c r="G187" s="41">
        <v>56.95</v>
      </c>
      <c r="H187" s="46">
        <f t="shared" si="5"/>
        <v>284.75</v>
      </c>
      <c r="I187" s="41" t="s">
        <v>185</v>
      </c>
    </row>
    <row r="188" ht="18.95" customHeight="1" spans="1:9">
      <c r="A188" s="40"/>
      <c r="B188" s="45" t="s">
        <v>93</v>
      </c>
      <c r="C188" s="41" t="s">
        <v>186</v>
      </c>
      <c r="D188" s="41" t="s">
        <v>95</v>
      </c>
      <c r="E188" s="41" t="s">
        <v>96</v>
      </c>
      <c r="F188" s="41">
        <v>10</v>
      </c>
      <c r="G188" s="41">
        <v>40.19</v>
      </c>
      <c r="H188" s="46">
        <f t="shared" si="5"/>
        <v>401.9</v>
      </c>
      <c r="I188" s="41" t="s">
        <v>187</v>
      </c>
    </row>
    <row r="189" ht="18.95" customHeight="1" spans="1:9">
      <c r="A189" s="40"/>
      <c r="B189" s="45" t="s">
        <v>100</v>
      </c>
      <c r="C189" s="41" t="s">
        <v>98</v>
      </c>
      <c r="D189" s="41" t="s">
        <v>91</v>
      </c>
      <c r="E189" s="41" t="s">
        <v>96</v>
      </c>
      <c r="F189" s="41">
        <v>110</v>
      </c>
      <c r="G189" s="17">
        <v>132.78</v>
      </c>
      <c r="H189" s="46">
        <f t="shared" si="5"/>
        <v>14605.8</v>
      </c>
      <c r="I189" s="41"/>
    </row>
    <row r="190" ht="18.95" customHeight="1" spans="1:9">
      <c r="A190" s="40"/>
      <c r="B190" s="45" t="s">
        <v>100</v>
      </c>
      <c r="C190" s="41" t="s">
        <v>101</v>
      </c>
      <c r="D190" s="41" t="s">
        <v>91</v>
      </c>
      <c r="E190" s="41" t="s">
        <v>96</v>
      </c>
      <c r="F190" s="41">
        <v>70</v>
      </c>
      <c r="G190" s="17">
        <v>68.16</v>
      </c>
      <c r="H190" s="46">
        <f t="shared" si="5"/>
        <v>4771.2</v>
      </c>
      <c r="I190" s="41"/>
    </row>
    <row r="191" ht="18.95" customHeight="1" spans="1:9">
      <c r="A191" s="40"/>
      <c r="B191" s="45" t="s">
        <v>100</v>
      </c>
      <c r="C191" s="41" t="s">
        <v>102</v>
      </c>
      <c r="D191" s="41" t="s">
        <v>91</v>
      </c>
      <c r="E191" s="41" t="s">
        <v>96</v>
      </c>
      <c r="F191" s="41">
        <v>176</v>
      </c>
      <c r="G191" s="17">
        <v>57.26</v>
      </c>
      <c r="H191" s="46">
        <f t="shared" si="5"/>
        <v>10077.76</v>
      </c>
      <c r="I191" s="41"/>
    </row>
    <row r="192" ht="18.95" customHeight="1" spans="1:9">
      <c r="A192" s="40"/>
      <c r="B192" s="45" t="s">
        <v>103</v>
      </c>
      <c r="C192" s="41" t="s">
        <v>175</v>
      </c>
      <c r="D192" s="41" t="s">
        <v>91</v>
      </c>
      <c r="E192" s="41" t="s">
        <v>96</v>
      </c>
      <c r="F192" s="41">
        <v>1</v>
      </c>
      <c r="G192" s="17">
        <v>231.72</v>
      </c>
      <c r="H192" s="46">
        <f t="shared" si="5"/>
        <v>231.72</v>
      </c>
      <c r="I192" s="41"/>
    </row>
    <row r="193" ht="18.95" customHeight="1" spans="1:9">
      <c r="A193" s="40"/>
      <c r="B193" s="45" t="s">
        <v>103</v>
      </c>
      <c r="C193" s="41" t="s">
        <v>188</v>
      </c>
      <c r="D193" s="41" t="s">
        <v>91</v>
      </c>
      <c r="E193" s="41" t="s">
        <v>96</v>
      </c>
      <c r="F193" s="41">
        <v>1</v>
      </c>
      <c r="G193" s="17">
        <v>231.72</v>
      </c>
      <c r="H193" s="46">
        <f t="shared" si="5"/>
        <v>231.72</v>
      </c>
      <c r="I193" s="41"/>
    </row>
    <row r="194" ht="18.95" customHeight="1" spans="1:9">
      <c r="A194" s="40"/>
      <c r="B194" s="45" t="s">
        <v>103</v>
      </c>
      <c r="C194" s="41" t="s">
        <v>110</v>
      </c>
      <c r="D194" s="41" t="s">
        <v>91</v>
      </c>
      <c r="E194" s="41" t="s">
        <v>96</v>
      </c>
      <c r="F194" s="41">
        <v>1</v>
      </c>
      <c r="G194" s="17">
        <v>290.02</v>
      </c>
      <c r="H194" s="46">
        <f t="shared" si="5"/>
        <v>290.02</v>
      </c>
      <c r="I194" s="41"/>
    </row>
    <row r="195" ht="18.95" customHeight="1" spans="1:9">
      <c r="A195" s="40"/>
      <c r="B195" s="45" t="s">
        <v>103</v>
      </c>
      <c r="C195" s="41" t="s">
        <v>105</v>
      </c>
      <c r="D195" s="41" t="s">
        <v>91</v>
      </c>
      <c r="E195" s="41" t="s">
        <v>96</v>
      </c>
      <c r="F195" s="41">
        <v>1</v>
      </c>
      <c r="G195" s="41">
        <v>125.15</v>
      </c>
      <c r="H195" s="46">
        <f t="shared" si="5"/>
        <v>125.15</v>
      </c>
      <c r="I195" s="41"/>
    </row>
    <row r="196" ht="18.95" customHeight="1" spans="1:9">
      <c r="A196" s="40"/>
      <c r="B196" s="45" t="s">
        <v>103</v>
      </c>
      <c r="C196" s="41" t="s">
        <v>106</v>
      </c>
      <c r="D196" s="41" t="s">
        <v>91</v>
      </c>
      <c r="E196" s="41" t="s">
        <v>96</v>
      </c>
      <c r="F196" s="41">
        <v>1</v>
      </c>
      <c r="G196" s="41">
        <v>125.15</v>
      </c>
      <c r="H196" s="46">
        <f t="shared" si="5"/>
        <v>125.15</v>
      </c>
      <c r="I196" s="41"/>
    </row>
    <row r="197" ht="18.95" customHeight="1" spans="1:9">
      <c r="A197" s="40"/>
      <c r="B197" s="45" t="s">
        <v>108</v>
      </c>
      <c r="C197" s="41" t="s">
        <v>98</v>
      </c>
      <c r="D197" s="41" t="s">
        <v>91</v>
      </c>
      <c r="E197" s="41" t="s">
        <v>96</v>
      </c>
      <c r="F197" s="41">
        <v>7</v>
      </c>
      <c r="G197" s="17">
        <v>85</v>
      </c>
      <c r="H197" s="46">
        <f t="shared" si="5"/>
        <v>595</v>
      </c>
      <c r="I197" s="41"/>
    </row>
    <row r="198" ht="18.95" customHeight="1" spans="1:9">
      <c r="A198" s="40"/>
      <c r="B198" s="45" t="s">
        <v>108</v>
      </c>
      <c r="C198" s="41" t="s">
        <v>101</v>
      </c>
      <c r="D198" s="41" t="s">
        <v>91</v>
      </c>
      <c r="E198" s="41" t="s">
        <v>96</v>
      </c>
      <c r="F198" s="41">
        <v>7</v>
      </c>
      <c r="G198" s="17">
        <v>55</v>
      </c>
      <c r="H198" s="46">
        <f t="shared" si="5"/>
        <v>385</v>
      </c>
      <c r="I198" s="41"/>
    </row>
    <row r="199" ht="18.95" customHeight="1" spans="1:9">
      <c r="A199" s="40"/>
      <c r="B199" s="45" t="s">
        <v>108</v>
      </c>
      <c r="C199" s="41" t="s">
        <v>102</v>
      </c>
      <c r="D199" s="41" t="s">
        <v>91</v>
      </c>
      <c r="E199" s="41" t="s">
        <v>96</v>
      </c>
      <c r="F199" s="41">
        <v>4</v>
      </c>
      <c r="G199" s="41">
        <v>45</v>
      </c>
      <c r="H199" s="46">
        <f t="shared" si="5"/>
        <v>180</v>
      </c>
      <c r="I199" s="41"/>
    </row>
    <row r="200" ht="18.95" customHeight="1" spans="1:9">
      <c r="A200" s="40"/>
      <c r="B200" s="45" t="s">
        <v>118</v>
      </c>
      <c r="C200" s="41" t="s">
        <v>179</v>
      </c>
      <c r="D200" s="41"/>
      <c r="E200" s="41" t="s">
        <v>96</v>
      </c>
      <c r="F200" s="45">
        <v>1</v>
      </c>
      <c r="G200" s="17">
        <v>91.72</v>
      </c>
      <c r="H200" s="46">
        <f t="shared" si="5"/>
        <v>91.72</v>
      </c>
      <c r="I200" s="41"/>
    </row>
    <row r="201" ht="18.95" customHeight="1" spans="1:9">
      <c r="A201" s="40"/>
      <c r="B201" s="45" t="s">
        <v>118</v>
      </c>
      <c r="C201" s="41" t="s">
        <v>119</v>
      </c>
      <c r="D201" s="41"/>
      <c r="E201" s="41" t="s">
        <v>96</v>
      </c>
      <c r="F201" s="45">
        <v>8</v>
      </c>
      <c r="G201" s="17">
        <v>90.8</v>
      </c>
      <c r="H201" s="46">
        <f t="shared" si="5"/>
        <v>726.4</v>
      </c>
      <c r="I201" s="41"/>
    </row>
    <row r="202" ht="18.95" customHeight="1" spans="1:9">
      <c r="A202" s="40"/>
      <c r="B202" s="45" t="s">
        <v>118</v>
      </c>
      <c r="C202" s="41" t="s">
        <v>120</v>
      </c>
      <c r="D202" s="41"/>
      <c r="E202" s="41" t="s">
        <v>96</v>
      </c>
      <c r="F202" s="45">
        <v>5</v>
      </c>
      <c r="G202" s="17">
        <v>83.94</v>
      </c>
      <c r="H202" s="46">
        <f t="shared" si="5"/>
        <v>419.7</v>
      </c>
      <c r="I202" s="41"/>
    </row>
    <row r="203" ht="18.95" customHeight="1" spans="1:9">
      <c r="A203" s="40"/>
      <c r="B203" s="45" t="s">
        <v>118</v>
      </c>
      <c r="C203" s="41" t="s">
        <v>121</v>
      </c>
      <c r="D203" s="41"/>
      <c r="E203" s="41" t="s">
        <v>96</v>
      </c>
      <c r="F203" s="45">
        <v>1</v>
      </c>
      <c r="G203" s="45">
        <v>62</v>
      </c>
      <c r="H203" s="46">
        <f t="shared" si="5"/>
        <v>62</v>
      </c>
      <c r="I203" s="41"/>
    </row>
    <row r="204" ht="18.95" customHeight="1" spans="1:9">
      <c r="A204" s="40"/>
      <c r="B204" s="45" t="s">
        <v>122</v>
      </c>
      <c r="C204" s="41" t="s">
        <v>189</v>
      </c>
      <c r="D204" s="41"/>
      <c r="E204" s="41" t="s">
        <v>96</v>
      </c>
      <c r="F204" s="45">
        <v>26</v>
      </c>
      <c r="G204" s="17">
        <v>183.3</v>
      </c>
      <c r="H204" s="46">
        <f t="shared" si="5"/>
        <v>4765.8</v>
      </c>
      <c r="I204" s="41"/>
    </row>
    <row r="205" ht="18.95" customHeight="1" spans="1:9">
      <c r="A205" s="40"/>
      <c r="B205" s="45" t="s">
        <v>122</v>
      </c>
      <c r="C205" s="41" t="s">
        <v>179</v>
      </c>
      <c r="D205" s="41"/>
      <c r="E205" s="41" t="s">
        <v>96</v>
      </c>
      <c r="F205" s="45">
        <v>5</v>
      </c>
      <c r="G205" s="17">
        <v>101.7</v>
      </c>
      <c r="H205" s="46">
        <f t="shared" si="5"/>
        <v>508.5</v>
      </c>
      <c r="I205" s="41"/>
    </row>
    <row r="206" ht="18.95" customHeight="1" spans="1:9">
      <c r="A206" s="40"/>
      <c r="B206" s="45" t="s">
        <v>122</v>
      </c>
      <c r="C206" s="41" t="s">
        <v>119</v>
      </c>
      <c r="D206" s="41"/>
      <c r="E206" s="41" t="s">
        <v>96</v>
      </c>
      <c r="F206" s="45">
        <v>32</v>
      </c>
      <c r="G206" s="17">
        <v>96.25</v>
      </c>
      <c r="H206" s="46">
        <f t="shared" si="5"/>
        <v>3080</v>
      </c>
      <c r="I206" s="41"/>
    </row>
    <row r="207" ht="18.95" customHeight="1" spans="1:9">
      <c r="A207" s="40"/>
      <c r="B207" s="45" t="s">
        <v>122</v>
      </c>
      <c r="C207" s="41" t="s">
        <v>120</v>
      </c>
      <c r="D207" s="41"/>
      <c r="E207" s="41" t="s">
        <v>96</v>
      </c>
      <c r="F207" s="45">
        <v>13</v>
      </c>
      <c r="G207" s="17">
        <v>94.07</v>
      </c>
      <c r="H207" s="46">
        <f t="shared" si="5"/>
        <v>1222.91</v>
      </c>
      <c r="I207" s="41"/>
    </row>
    <row r="208" ht="18.95" customHeight="1" spans="1:9">
      <c r="A208" s="40"/>
      <c r="B208" s="45" t="s">
        <v>122</v>
      </c>
      <c r="C208" s="41" t="s">
        <v>121</v>
      </c>
      <c r="D208" s="41"/>
      <c r="E208" s="41" t="s">
        <v>96</v>
      </c>
      <c r="F208" s="45">
        <v>7</v>
      </c>
      <c r="G208" s="45">
        <v>42.2</v>
      </c>
      <c r="H208" s="46">
        <f t="shared" si="5"/>
        <v>295.4</v>
      </c>
      <c r="I208" s="41"/>
    </row>
    <row r="209" ht="18.95" customHeight="1" spans="1:9">
      <c r="A209" s="40"/>
      <c r="B209" s="45" t="s">
        <v>123</v>
      </c>
      <c r="C209" s="41" t="s">
        <v>180</v>
      </c>
      <c r="D209" s="41"/>
      <c r="E209" s="41" t="s">
        <v>96</v>
      </c>
      <c r="F209" s="41">
        <v>2</v>
      </c>
      <c r="G209" s="17">
        <v>376.13</v>
      </c>
      <c r="H209" s="46">
        <f t="shared" si="5"/>
        <v>752.26</v>
      </c>
      <c r="I209" s="41"/>
    </row>
    <row r="210" ht="18.95" customHeight="1" spans="1:9">
      <c r="A210" s="40"/>
      <c r="B210" s="45" t="s">
        <v>123</v>
      </c>
      <c r="C210" s="41" t="s">
        <v>124</v>
      </c>
      <c r="D210" s="41"/>
      <c r="E210" s="41" t="s">
        <v>96</v>
      </c>
      <c r="F210" s="41">
        <v>9</v>
      </c>
      <c r="G210" s="17">
        <v>263.71</v>
      </c>
      <c r="H210" s="46">
        <f t="shared" si="5"/>
        <v>2373.39</v>
      </c>
      <c r="I210" s="41"/>
    </row>
    <row r="211" ht="18.95" customHeight="1" spans="1:9">
      <c r="A211" s="40"/>
      <c r="B211" s="45" t="s">
        <v>123</v>
      </c>
      <c r="C211" s="41" t="s">
        <v>125</v>
      </c>
      <c r="D211" s="41"/>
      <c r="E211" s="41" t="s">
        <v>96</v>
      </c>
      <c r="F211" s="41">
        <v>11</v>
      </c>
      <c r="G211" s="17">
        <v>182.55</v>
      </c>
      <c r="H211" s="46">
        <f t="shared" si="5"/>
        <v>2008.05</v>
      </c>
      <c r="I211" s="41"/>
    </row>
    <row r="212" ht="18.95" customHeight="1" spans="1:9">
      <c r="A212" s="40"/>
      <c r="B212" s="45" t="s">
        <v>123</v>
      </c>
      <c r="C212" s="41" t="s">
        <v>126</v>
      </c>
      <c r="D212" s="41"/>
      <c r="E212" s="41" t="s">
        <v>96</v>
      </c>
      <c r="F212" s="41">
        <v>3</v>
      </c>
      <c r="G212" s="41">
        <v>46.6</v>
      </c>
      <c r="H212" s="46">
        <f t="shared" si="5"/>
        <v>139.8</v>
      </c>
      <c r="I212" s="41"/>
    </row>
    <row r="213" ht="18.95" customHeight="1" spans="1:9">
      <c r="A213" s="40"/>
      <c r="B213" s="45" t="s">
        <v>127</v>
      </c>
      <c r="C213" s="41" t="s">
        <v>174</v>
      </c>
      <c r="D213" s="41"/>
      <c r="E213" s="41" t="s">
        <v>96</v>
      </c>
      <c r="F213" s="41">
        <v>2</v>
      </c>
      <c r="G213" s="17">
        <v>3690.76</v>
      </c>
      <c r="H213" s="46">
        <f t="shared" si="5"/>
        <v>7381.52</v>
      </c>
      <c r="I213" s="41"/>
    </row>
    <row r="214" ht="18.95" customHeight="1" spans="1:9">
      <c r="A214" s="40"/>
      <c r="B214" s="45" t="s">
        <v>127</v>
      </c>
      <c r="C214" s="41" t="s">
        <v>98</v>
      </c>
      <c r="D214" s="41"/>
      <c r="E214" s="41" t="s">
        <v>96</v>
      </c>
      <c r="F214" s="41">
        <v>8</v>
      </c>
      <c r="G214" s="17">
        <v>2874.81</v>
      </c>
      <c r="H214" s="46">
        <f t="shared" si="5"/>
        <v>22998.48</v>
      </c>
      <c r="I214" s="41"/>
    </row>
    <row r="215" ht="18.95" customHeight="1" spans="1:9">
      <c r="A215" s="40"/>
      <c r="B215" s="45" t="s">
        <v>127</v>
      </c>
      <c r="C215" s="41" t="s">
        <v>101</v>
      </c>
      <c r="D215" s="41"/>
      <c r="E215" s="41" t="s">
        <v>96</v>
      </c>
      <c r="F215" s="41">
        <v>14</v>
      </c>
      <c r="G215" s="17">
        <f>G40</f>
        <v>1682.16</v>
      </c>
      <c r="H215" s="46">
        <f t="shared" si="5"/>
        <v>23550.24</v>
      </c>
      <c r="I215" s="41"/>
    </row>
    <row r="216" ht="18.95" customHeight="1" spans="1:9">
      <c r="A216" s="40"/>
      <c r="B216" s="45" t="s">
        <v>127</v>
      </c>
      <c r="C216" s="41" t="s">
        <v>102</v>
      </c>
      <c r="D216" s="41"/>
      <c r="E216" s="41" t="s">
        <v>96</v>
      </c>
      <c r="F216" s="41">
        <v>86</v>
      </c>
      <c r="G216" s="17">
        <f>G41</f>
        <v>280</v>
      </c>
      <c r="H216" s="46">
        <f t="shared" si="5"/>
        <v>24080</v>
      </c>
      <c r="I216" s="41"/>
    </row>
    <row r="217" ht="18.95" customHeight="1" spans="1:9">
      <c r="A217" s="40"/>
      <c r="B217" s="45" t="s">
        <v>128</v>
      </c>
      <c r="C217" s="41" t="s">
        <v>129</v>
      </c>
      <c r="D217" s="41"/>
      <c r="E217" s="41" t="s">
        <v>130</v>
      </c>
      <c r="F217" s="41">
        <v>4</v>
      </c>
      <c r="G217" s="41">
        <f>G42</f>
        <v>10251.47</v>
      </c>
      <c r="H217" s="46">
        <f t="shared" si="5"/>
        <v>41005.88</v>
      </c>
      <c r="I217" s="41"/>
    </row>
    <row r="218" ht="18.95" customHeight="1" spans="1:9">
      <c r="A218" s="40"/>
      <c r="B218" s="45" t="s">
        <v>128</v>
      </c>
      <c r="C218" s="41" t="s">
        <v>190</v>
      </c>
      <c r="D218" s="41"/>
      <c r="E218" s="41" t="s">
        <v>130</v>
      </c>
      <c r="F218" s="41">
        <v>2</v>
      </c>
      <c r="G218" s="41">
        <v>19524.08</v>
      </c>
      <c r="H218" s="46">
        <f t="shared" si="5"/>
        <v>39048.16</v>
      </c>
      <c r="I218" s="41"/>
    </row>
    <row r="219" ht="18.95" customHeight="1" spans="1:9">
      <c r="A219" s="40"/>
      <c r="B219" s="45" t="s">
        <v>131</v>
      </c>
      <c r="C219" s="41"/>
      <c r="D219" s="41"/>
      <c r="E219" s="41" t="s">
        <v>130</v>
      </c>
      <c r="F219" s="41">
        <v>6</v>
      </c>
      <c r="G219" s="41">
        <v>1220</v>
      </c>
      <c r="H219" s="46">
        <f t="shared" si="5"/>
        <v>7320</v>
      </c>
      <c r="I219" s="41"/>
    </row>
    <row r="220" ht="18.95" customHeight="1" spans="1:9">
      <c r="A220" s="40"/>
      <c r="B220" s="45" t="s">
        <v>132</v>
      </c>
      <c r="C220" s="41"/>
      <c r="D220" s="41"/>
      <c r="E220" s="41" t="s">
        <v>23</v>
      </c>
      <c r="F220" s="41">
        <v>1628</v>
      </c>
      <c r="G220" s="41">
        <f>G44</f>
        <v>3.79</v>
      </c>
      <c r="H220" s="46">
        <f t="shared" si="5"/>
        <v>6170.12</v>
      </c>
      <c r="I220" s="41"/>
    </row>
    <row r="221" ht="18.95" customHeight="1" spans="1:9">
      <c r="A221" s="40"/>
      <c r="B221" s="45" t="s">
        <v>133</v>
      </c>
      <c r="C221" s="41"/>
      <c r="D221" s="41"/>
      <c r="E221" s="41" t="s">
        <v>23</v>
      </c>
      <c r="F221" s="41">
        <v>1628</v>
      </c>
      <c r="G221" s="41">
        <v>29.46</v>
      </c>
      <c r="H221" s="46">
        <f t="shared" si="5"/>
        <v>47960.88</v>
      </c>
      <c r="I221" s="41"/>
    </row>
    <row r="222" ht="18.95" customHeight="1" spans="1:9">
      <c r="A222" s="40"/>
      <c r="B222" s="45" t="s">
        <v>134</v>
      </c>
      <c r="C222" s="41" t="s">
        <v>98</v>
      </c>
      <c r="D222" s="41"/>
      <c r="E222" s="41" t="s">
        <v>96</v>
      </c>
      <c r="F222" s="41">
        <v>91</v>
      </c>
      <c r="G222" s="17">
        <v>125.57</v>
      </c>
      <c r="H222" s="46">
        <f t="shared" si="5"/>
        <v>11426.87</v>
      </c>
      <c r="I222" s="41"/>
    </row>
    <row r="223" ht="18.95" customHeight="1" spans="1:9">
      <c r="A223" s="40"/>
      <c r="B223" s="45" t="s">
        <v>134</v>
      </c>
      <c r="C223" s="41" t="s">
        <v>101</v>
      </c>
      <c r="D223" s="41"/>
      <c r="E223" s="41" t="s">
        <v>96</v>
      </c>
      <c r="F223" s="41">
        <v>77</v>
      </c>
      <c r="G223" s="17">
        <v>109.75</v>
      </c>
      <c r="H223" s="46">
        <f t="shared" si="5"/>
        <v>8450.75</v>
      </c>
      <c r="I223" s="41"/>
    </row>
    <row r="224" ht="18.95" customHeight="1" spans="1:9">
      <c r="A224" s="40"/>
      <c r="B224" s="45" t="s">
        <v>134</v>
      </c>
      <c r="C224" s="41" t="s">
        <v>102</v>
      </c>
      <c r="D224" s="41"/>
      <c r="E224" s="41" t="s">
        <v>96</v>
      </c>
      <c r="F224" s="41">
        <v>322</v>
      </c>
      <c r="G224" s="17">
        <v>60.29</v>
      </c>
      <c r="H224" s="46">
        <f t="shared" si="5"/>
        <v>19413.38</v>
      </c>
      <c r="I224" s="41"/>
    </row>
    <row r="225" ht="18.95" customHeight="1" spans="1:9">
      <c r="A225" s="40"/>
      <c r="B225" s="45" t="s">
        <v>135</v>
      </c>
      <c r="C225" s="40" t="s">
        <v>136</v>
      </c>
      <c r="D225" s="41"/>
      <c r="E225" s="41" t="s">
        <v>137</v>
      </c>
      <c r="F225" s="41">
        <v>1186</v>
      </c>
      <c r="G225" s="51">
        <f>0.04*7.85*4*5.5*1.45</f>
        <v>10.0166</v>
      </c>
      <c r="H225" s="46">
        <f t="shared" si="5"/>
        <v>11879.6876</v>
      </c>
      <c r="I225" s="58"/>
    </row>
    <row r="226" ht="18.95" customHeight="1" spans="1:9">
      <c r="A226" s="40"/>
      <c r="B226" s="45" t="s">
        <v>138</v>
      </c>
      <c r="C226" s="41" t="s">
        <v>139</v>
      </c>
      <c r="D226" s="41"/>
      <c r="E226" s="41" t="s">
        <v>140</v>
      </c>
      <c r="F226" s="41">
        <v>101</v>
      </c>
      <c r="G226" s="51">
        <f>3.77*5.5*1.45</f>
        <v>30.06575</v>
      </c>
      <c r="H226" s="46">
        <f t="shared" si="5"/>
        <v>3036.64075</v>
      </c>
      <c r="I226" s="58" t="s">
        <v>141</v>
      </c>
    </row>
    <row r="227" ht="18.95" customHeight="1" spans="1:9">
      <c r="A227" s="40"/>
      <c r="B227" s="45" t="s">
        <v>142</v>
      </c>
      <c r="C227" s="41" t="s">
        <v>101</v>
      </c>
      <c r="D227" s="41" t="s">
        <v>95</v>
      </c>
      <c r="E227" s="41" t="s">
        <v>137</v>
      </c>
      <c r="F227" s="41">
        <v>74</v>
      </c>
      <c r="G227" s="41">
        <v>91.41</v>
      </c>
      <c r="H227" s="46">
        <f t="shared" si="5"/>
        <v>6764.34</v>
      </c>
      <c r="I227" s="41"/>
    </row>
    <row r="228" ht="18.95" customHeight="1" spans="1:9">
      <c r="A228" s="40"/>
      <c r="B228" s="45" t="s">
        <v>143</v>
      </c>
      <c r="C228" s="41" t="s">
        <v>144</v>
      </c>
      <c r="D228" s="41"/>
      <c r="E228" s="41" t="s">
        <v>137</v>
      </c>
      <c r="F228" s="41">
        <v>16</v>
      </c>
      <c r="G228" s="41">
        <v>12.6</v>
      </c>
      <c r="H228" s="46">
        <f t="shared" si="5"/>
        <v>201.6</v>
      </c>
      <c r="I228" s="41"/>
    </row>
    <row r="229" ht="18.95" customHeight="1" spans="1:9">
      <c r="A229" s="40"/>
      <c r="B229" s="45" t="s">
        <v>145</v>
      </c>
      <c r="C229" s="41" t="s">
        <v>146</v>
      </c>
      <c r="D229" s="41" t="s">
        <v>147</v>
      </c>
      <c r="E229" s="41" t="s">
        <v>148</v>
      </c>
      <c r="F229" s="41">
        <v>328</v>
      </c>
      <c r="G229" s="41">
        <f>G53</f>
        <v>480.19</v>
      </c>
      <c r="H229" s="46">
        <f t="shared" si="5"/>
        <v>157502.32</v>
      </c>
      <c r="I229" s="41" t="s">
        <v>149</v>
      </c>
    </row>
    <row r="230" ht="18.95" customHeight="1" spans="1:9">
      <c r="A230" s="40"/>
      <c r="B230" s="45" t="s">
        <v>150</v>
      </c>
      <c r="C230" s="41"/>
      <c r="D230" s="41"/>
      <c r="E230" s="41" t="s">
        <v>96</v>
      </c>
      <c r="F230" s="41">
        <v>328</v>
      </c>
      <c r="G230" s="41">
        <v>30.25</v>
      </c>
      <c r="H230" s="46">
        <f t="shared" si="5"/>
        <v>9922</v>
      </c>
      <c r="I230" s="41"/>
    </row>
    <row r="231" ht="18.95" customHeight="1" spans="1:9">
      <c r="A231" s="40"/>
      <c r="B231" s="45" t="s">
        <v>151</v>
      </c>
      <c r="C231" s="41"/>
      <c r="D231" s="41"/>
      <c r="E231" s="41" t="s">
        <v>96</v>
      </c>
      <c r="F231" s="41">
        <v>656</v>
      </c>
      <c r="G231" s="41">
        <v>18.45</v>
      </c>
      <c r="H231" s="46">
        <f t="shared" si="5"/>
        <v>12103.2</v>
      </c>
      <c r="I231" s="41"/>
    </row>
    <row r="232" ht="18.95" customHeight="1" spans="1:9">
      <c r="A232" s="40"/>
      <c r="B232" s="45" t="s">
        <v>152</v>
      </c>
      <c r="C232" s="41"/>
      <c r="D232" s="41"/>
      <c r="E232" s="41" t="s">
        <v>96</v>
      </c>
      <c r="F232" s="41">
        <v>328</v>
      </c>
      <c r="G232" s="41">
        <v>358</v>
      </c>
      <c r="H232" s="46">
        <f t="shared" si="5"/>
        <v>117424</v>
      </c>
      <c r="I232" s="41"/>
    </row>
    <row r="233" ht="18.95" customHeight="1" spans="1:9">
      <c r="A233" s="40"/>
      <c r="B233" s="45" t="s">
        <v>153</v>
      </c>
      <c r="C233" s="41"/>
      <c r="D233" s="41"/>
      <c r="E233" s="41" t="s">
        <v>96</v>
      </c>
      <c r="F233" s="41">
        <v>328</v>
      </c>
      <c r="G233" s="41">
        <v>30.25</v>
      </c>
      <c r="H233" s="46">
        <f t="shared" si="5"/>
        <v>9922</v>
      </c>
      <c r="I233" s="41"/>
    </row>
    <row r="234" ht="18.95" customHeight="1" spans="1:9">
      <c r="A234" s="40"/>
      <c r="B234" s="45" t="s">
        <v>154</v>
      </c>
      <c r="C234" s="41" t="s">
        <v>155</v>
      </c>
      <c r="D234" s="41"/>
      <c r="E234" s="41" t="s">
        <v>96</v>
      </c>
      <c r="F234" s="41">
        <v>656</v>
      </c>
      <c r="G234" s="41">
        <f>G58</f>
        <v>89.38</v>
      </c>
      <c r="H234" s="46">
        <f t="shared" si="5"/>
        <v>58633.28</v>
      </c>
      <c r="I234" s="41"/>
    </row>
    <row r="235" ht="18.95" customHeight="1" spans="1:9">
      <c r="A235" s="40"/>
      <c r="B235" s="45" t="s">
        <v>156</v>
      </c>
      <c r="C235" s="41" t="s">
        <v>155</v>
      </c>
      <c r="D235" s="41"/>
      <c r="E235" s="41" t="s">
        <v>137</v>
      </c>
      <c r="F235" s="41">
        <v>328</v>
      </c>
      <c r="G235" s="41">
        <f>G59</f>
        <v>111.4</v>
      </c>
      <c r="H235" s="46">
        <f t="shared" si="5"/>
        <v>36539.2</v>
      </c>
      <c r="I235" s="58"/>
    </row>
    <row r="236" ht="18.95" customHeight="1" spans="1:9">
      <c r="A236" s="40"/>
      <c r="B236" s="45" t="s">
        <v>157</v>
      </c>
      <c r="C236" s="41" t="s">
        <v>155</v>
      </c>
      <c r="D236" s="41"/>
      <c r="E236" s="41" t="s">
        <v>96</v>
      </c>
      <c r="F236" s="41">
        <v>656</v>
      </c>
      <c r="G236" s="41">
        <v>49.43</v>
      </c>
      <c r="H236" s="46">
        <f t="shared" si="5"/>
        <v>32426.08</v>
      </c>
      <c r="I236" s="58"/>
    </row>
    <row r="237" ht="18.95" customHeight="1" spans="1:9">
      <c r="A237" s="40"/>
      <c r="B237" s="45" t="s">
        <v>158</v>
      </c>
      <c r="C237" s="41" t="s">
        <v>155</v>
      </c>
      <c r="D237" s="41"/>
      <c r="E237" s="41" t="s">
        <v>96</v>
      </c>
      <c r="F237" s="41">
        <v>984</v>
      </c>
      <c r="G237" s="41">
        <v>4.2</v>
      </c>
      <c r="H237" s="46">
        <f t="shared" si="5"/>
        <v>4132.8</v>
      </c>
      <c r="I237" s="58"/>
    </row>
    <row r="238" ht="18.95" customHeight="1" spans="1:9">
      <c r="A238" s="40"/>
      <c r="B238" s="45" t="s">
        <v>159</v>
      </c>
      <c r="C238" s="41" t="s">
        <v>155</v>
      </c>
      <c r="D238" s="41"/>
      <c r="E238" s="41" t="s">
        <v>96</v>
      </c>
      <c r="F238" s="41">
        <v>656</v>
      </c>
      <c r="G238" s="41">
        <v>3.85</v>
      </c>
      <c r="H238" s="46">
        <f t="shared" si="5"/>
        <v>2525.6</v>
      </c>
      <c r="I238" s="58"/>
    </row>
    <row r="239" ht="18.95" customHeight="1" spans="1:9">
      <c r="A239" s="40"/>
      <c r="B239" s="45" t="s">
        <v>160</v>
      </c>
      <c r="C239" s="41" t="s">
        <v>102</v>
      </c>
      <c r="D239" s="41" t="s">
        <v>95</v>
      </c>
      <c r="E239" s="41" t="s">
        <v>96</v>
      </c>
      <c r="F239" s="41">
        <v>328</v>
      </c>
      <c r="G239" s="41">
        <v>25.14</v>
      </c>
      <c r="H239" s="46">
        <f t="shared" si="5"/>
        <v>8245.92</v>
      </c>
      <c r="I239" s="58" t="s">
        <v>161</v>
      </c>
    </row>
    <row r="240" ht="18.95" customHeight="1" spans="1:9">
      <c r="A240" s="40"/>
      <c r="B240" s="45" t="s">
        <v>162</v>
      </c>
      <c r="C240" s="41" t="s">
        <v>155</v>
      </c>
      <c r="D240" s="41"/>
      <c r="E240" s="41" t="s">
        <v>96</v>
      </c>
      <c r="F240" s="41">
        <v>656</v>
      </c>
      <c r="G240" s="41">
        <v>85.5</v>
      </c>
      <c r="H240" s="46">
        <f t="shared" si="5"/>
        <v>56088</v>
      </c>
      <c r="I240" s="58"/>
    </row>
    <row r="241" s="36" customFormat="1" ht="18.95" customHeight="1" spans="1:9">
      <c r="A241" s="40"/>
      <c r="B241" s="45" t="s">
        <v>191</v>
      </c>
      <c r="C241" s="40"/>
      <c r="D241" s="69" t="s">
        <v>192</v>
      </c>
      <c r="E241" s="40" t="s">
        <v>137</v>
      </c>
      <c r="F241" s="41">
        <v>865</v>
      </c>
      <c r="G241" s="41">
        <v>180.73</v>
      </c>
      <c r="H241" s="46">
        <f t="shared" si="5"/>
        <v>156331.45</v>
      </c>
      <c r="I241" s="69"/>
    </row>
    <row r="242" s="2" customFormat="1" ht="18.75" customHeight="1" spans="1:14">
      <c r="A242" s="40"/>
      <c r="B242" s="68" t="s">
        <v>163</v>
      </c>
      <c r="C242" s="16"/>
      <c r="D242" s="16"/>
      <c r="E242" s="9" t="s">
        <v>164</v>
      </c>
      <c r="F242" s="17">
        <f>763*(0.9*2.1)</f>
        <v>1442.07</v>
      </c>
      <c r="G242" s="17">
        <f>G65</f>
        <v>14.43</v>
      </c>
      <c r="H242" s="18">
        <f t="shared" si="5"/>
        <v>20809.0701</v>
      </c>
      <c r="I242" s="16"/>
      <c r="L242" s="25"/>
      <c r="N242" s="5"/>
    </row>
    <row r="243" s="2" customFormat="1" ht="18.75" customHeight="1" spans="1:14">
      <c r="A243" s="40"/>
      <c r="B243" s="68" t="s">
        <v>165</v>
      </c>
      <c r="C243" s="16"/>
      <c r="D243" s="16"/>
      <c r="E243" s="9" t="s">
        <v>164</v>
      </c>
      <c r="F243" s="17">
        <f>763*(0.9*1.8)</f>
        <v>1236.06</v>
      </c>
      <c r="G243" s="17">
        <f>G66</f>
        <v>14.49</v>
      </c>
      <c r="H243" s="18">
        <f t="shared" si="5"/>
        <v>17910.5094</v>
      </c>
      <c r="I243" s="16"/>
      <c r="L243" s="25"/>
      <c r="N243" s="5"/>
    </row>
    <row r="244" s="2" customFormat="1" ht="18.75" customHeight="1" spans="1:14">
      <c r="A244" s="40"/>
      <c r="B244" s="68" t="s">
        <v>166</v>
      </c>
      <c r="C244" s="16"/>
      <c r="D244" s="16"/>
      <c r="E244" s="9" t="s">
        <v>164</v>
      </c>
      <c r="F244" s="17">
        <f>763*(0.9*0.2)</f>
        <v>137.34</v>
      </c>
      <c r="G244" s="17">
        <f>G67</f>
        <v>16.87</v>
      </c>
      <c r="H244" s="18">
        <f t="shared" si="5"/>
        <v>2316.9258</v>
      </c>
      <c r="I244" s="16"/>
      <c r="L244" s="25"/>
      <c r="N244" s="5"/>
    </row>
    <row r="245" s="2" customFormat="1" ht="18.75" customHeight="1" spans="1:14">
      <c r="A245" s="40"/>
      <c r="B245" s="68" t="s">
        <v>167</v>
      </c>
      <c r="C245" s="16"/>
      <c r="D245" s="16"/>
      <c r="E245" s="9" t="s">
        <v>164</v>
      </c>
      <c r="F245" s="17">
        <f>763*(0.9*0.2)</f>
        <v>137.34</v>
      </c>
      <c r="G245" s="17">
        <v>209.39</v>
      </c>
      <c r="H245" s="18">
        <f>F245*G245</f>
        <v>28757.6226</v>
      </c>
      <c r="I245" s="16"/>
      <c r="L245" s="25"/>
      <c r="N245" s="5"/>
    </row>
    <row r="246" ht="18.95" customHeight="1" spans="1:9">
      <c r="A246" s="40"/>
      <c r="B246" s="23" t="s">
        <v>168</v>
      </c>
      <c r="C246" s="41"/>
      <c r="D246" s="41"/>
      <c r="E246" s="41" t="s">
        <v>169</v>
      </c>
      <c r="F246" s="41"/>
      <c r="G246" s="41"/>
      <c r="H246" s="46">
        <f>SUM(H178:H245)</f>
        <v>1306482.44625</v>
      </c>
      <c r="I246" s="58"/>
    </row>
    <row r="247" customHeight="1" spans="1:9">
      <c r="A247" s="65">
        <v>5</v>
      </c>
      <c r="B247" s="44" t="s">
        <v>193</v>
      </c>
      <c r="C247" s="44"/>
      <c r="D247" s="44"/>
      <c r="E247" s="44"/>
      <c r="F247" s="44"/>
      <c r="G247" s="44"/>
      <c r="H247" s="44"/>
      <c r="I247" s="53"/>
    </row>
    <row r="248" ht="18.95" customHeight="1" spans="1:9">
      <c r="A248" s="40"/>
      <c r="B248" s="45" t="s">
        <v>84</v>
      </c>
      <c r="C248" s="41" t="s">
        <v>194</v>
      </c>
      <c r="D248" s="41" t="s">
        <v>86</v>
      </c>
      <c r="E248" s="41" t="s">
        <v>23</v>
      </c>
      <c r="F248" s="41">
        <v>563</v>
      </c>
      <c r="G248" s="17">
        <v>353.21</v>
      </c>
      <c r="H248" s="46">
        <f t="shared" ref="H248:H313" si="6">F248*G248</f>
        <v>198857.23</v>
      </c>
      <c r="I248" s="41"/>
    </row>
    <row r="249" ht="18.95" customHeight="1" spans="1:9">
      <c r="A249" s="40"/>
      <c r="B249" s="45" t="s">
        <v>84</v>
      </c>
      <c r="C249" s="41" t="s">
        <v>171</v>
      </c>
      <c r="D249" s="41" t="s">
        <v>86</v>
      </c>
      <c r="E249" s="41" t="s">
        <v>23</v>
      </c>
      <c r="F249" s="41">
        <v>40</v>
      </c>
      <c r="G249" s="17">
        <v>78.32</v>
      </c>
      <c r="H249" s="46">
        <f t="shared" ref="H249" si="7">F249*G249</f>
        <v>3132.8</v>
      </c>
      <c r="I249" s="41"/>
    </row>
    <row r="250" ht="18.95" customHeight="1" spans="1:9">
      <c r="A250" s="40"/>
      <c r="B250" s="45" t="s">
        <v>84</v>
      </c>
      <c r="C250" s="41" t="s">
        <v>85</v>
      </c>
      <c r="D250" s="41" t="s">
        <v>86</v>
      </c>
      <c r="E250" s="41" t="s">
        <v>23</v>
      </c>
      <c r="F250" s="41">
        <v>151</v>
      </c>
      <c r="G250" s="17">
        <v>67.71</v>
      </c>
      <c r="H250" s="46">
        <f t="shared" si="6"/>
        <v>10224.21</v>
      </c>
      <c r="I250" s="41"/>
    </row>
    <row r="251" ht="18.95" customHeight="1" spans="1:9">
      <c r="A251" s="40"/>
      <c r="B251" s="45" t="s">
        <v>84</v>
      </c>
      <c r="C251" s="41" t="s">
        <v>87</v>
      </c>
      <c r="D251" s="41" t="s">
        <v>86</v>
      </c>
      <c r="E251" s="41" t="s">
        <v>23</v>
      </c>
      <c r="F251" s="41">
        <v>126</v>
      </c>
      <c r="G251" s="17">
        <v>39.37</v>
      </c>
      <c r="H251" s="46">
        <f t="shared" si="6"/>
        <v>4960.62</v>
      </c>
      <c r="I251" s="41"/>
    </row>
    <row r="252" ht="18.95" customHeight="1" spans="1:9">
      <c r="A252" s="40"/>
      <c r="B252" s="45" t="s">
        <v>84</v>
      </c>
      <c r="C252" s="41" t="s">
        <v>88</v>
      </c>
      <c r="D252" s="41" t="s">
        <v>86</v>
      </c>
      <c r="E252" s="41" t="s">
        <v>23</v>
      </c>
      <c r="F252" s="41">
        <v>100</v>
      </c>
      <c r="G252" s="41">
        <v>31.5</v>
      </c>
      <c r="H252" s="46">
        <f t="shared" si="6"/>
        <v>3150</v>
      </c>
      <c r="I252" s="41"/>
    </row>
    <row r="253" customHeight="1" spans="1:9">
      <c r="A253" s="40"/>
      <c r="B253" s="45" t="s">
        <v>89</v>
      </c>
      <c r="C253" s="41" t="s">
        <v>173</v>
      </c>
      <c r="D253" s="41" t="s">
        <v>91</v>
      </c>
      <c r="E253" s="41" t="s">
        <v>23</v>
      </c>
      <c r="F253" s="41"/>
      <c r="G253" s="17">
        <v>125.33</v>
      </c>
      <c r="H253" s="46">
        <f t="shared" si="6"/>
        <v>0</v>
      </c>
      <c r="I253" s="41"/>
    </row>
    <row r="254" customHeight="1" spans="1:9">
      <c r="A254" s="40"/>
      <c r="B254" s="45" t="s">
        <v>89</v>
      </c>
      <c r="C254" s="41" t="s">
        <v>90</v>
      </c>
      <c r="D254" s="41" t="s">
        <v>91</v>
      </c>
      <c r="E254" s="41" t="s">
        <v>23</v>
      </c>
      <c r="F254" s="41">
        <v>240</v>
      </c>
      <c r="G254" s="17">
        <v>91.41</v>
      </c>
      <c r="H254" s="46">
        <f t="shared" si="6"/>
        <v>21938.4</v>
      </c>
      <c r="I254" s="41"/>
    </row>
    <row r="255" customHeight="1" spans="1:9">
      <c r="A255" s="40"/>
      <c r="B255" s="45" t="s">
        <v>89</v>
      </c>
      <c r="C255" s="41" t="s">
        <v>92</v>
      </c>
      <c r="D255" s="41" t="s">
        <v>91</v>
      </c>
      <c r="E255" s="41" t="s">
        <v>23</v>
      </c>
      <c r="F255" s="41">
        <v>1204</v>
      </c>
      <c r="G255" s="17">
        <v>77.13</v>
      </c>
      <c r="H255" s="46">
        <f t="shared" si="6"/>
        <v>92864.52</v>
      </c>
      <c r="I255" s="41"/>
    </row>
    <row r="256" customHeight="1" spans="1:9">
      <c r="A256" s="40"/>
      <c r="B256" s="45" t="s">
        <v>93</v>
      </c>
      <c r="C256" s="41" t="s">
        <v>98</v>
      </c>
      <c r="D256" s="41" t="s">
        <v>95</v>
      </c>
      <c r="E256" s="41" t="s">
        <v>96</v>
      </c>
      <c r="F256" s="41">
        <v>4</v>
      </c>
      <c r="G256" s="41">
        <v>56.95</v>
      </c>
      <c r="H256" s="46">
        <f t="shared" ref="H256" si="8">F256*G256</f>
        <v>227.8</v>
      </c>
      <c r="I256" s="41" t="s">
        <v>97</v>
      </c>
    </row>
    <row r="257" customHeight="1" spans="1:9">
      <c r="A257" s="40"/>
      <c r="B257" s="45" t="s">
        <v>93</v>
      </c>
      <c r="C257" s="41" t="s">
        <v>99</v>
      </c>
      <c r="D257" s="41" t="s">
        <v>95</v>
      </c>
      <c r="E257" s="41" t="s">
        <v>96</v>
      </c>
      <c r="F257" s="41">
        <v>23</v>
      </c>
      <c r="G257" s="41">
        <v>40.19</v>
      </c>
      <c r="H257" s="46">
        <f t="shared" ref="H257" si="9">F257*G257</f>
        <v>924.37</v>
      </c>
      <c r="I257" s="41" t="s">
        <v>97</v>
      </c>
    </row>
    <row r="258" customHeight="1" spans="1:9">
      <c r="A258" s="40"/>
      <c r="B258" s="45" t="s">
        <v>100</v>
      </c>
      <c r="C258" s="41" t="s">
        <v>101</v>
      </c>
      <c r="D258" s="41" t="s">
        <v>91</v>
      </c>
      <c r="E258" s="41" t="s">
        <v>96</v>
      </c>
      <c r="F258" s="41">
        <v>64</v>
      </c>
      <c r="G258" s="41">
        <v>68.16</v>
      </c>
      <c r="H258" s="46">
        <f t="shared" si="6"/>
        <v>4362.24</v>
      </c>
      <c r="I258" s="41"/>
    </row>
    <row r="259" ht="18.95" customHeight="1" spans="1:17">
      <c r="A259" s="40"/>
      <c r="B259" s="45" t="s">
        <v>100</v>
      </c>
      <c r="C259" s="41" t="s">
        <v>102</v>
      </c>
      <c r="D259" s="41" t="s">
        <v>91</v>
      </c>
      <c r="E259" s="41" t="s">
        <v>96</v>
      </c>
      <c r="F259" s="41">
        <v>42</v>
      </c>
      <c r="G259" s="17">
        <v>57.26</v>
      </c>
      <c r="H259" s="46">
        <f t="shared" si="6"/>
        <v>2404.92</v>
      </c>
      <c r="I259" s="41"/>
      <c r="J259" s="56">
        <f t="shared" ref="J259" si="10">H259/$H$69</f>
        <v>0.00242041387302065</v>
      </c>
      <c r="K259" s="55"/>
      <c r="L259" s="55"/>
      <c r="M259" s="55"/>
      <c r="N259" s="55"/>
      <c r="O259" s="55"/>
      <c r="P259" s="55"/>
      <c r="Q259" s="55"/>
    </row>
    <row r="260" customHeight="1" spans="1:9">
      <c r="A260" s="40"/>
      <c r="B260" s="45" t="s">
        <v>103</v>
      </c>
      <c r="C260" s="41" t="s">
        <v>104</v>
      </c>
      <c r="D260" s="41" t="s">
        <v>91</v>
      </c>
      <c r="E260" s="41" t="s">
        <v>96</v>
      </c>
      <c r="F260" s="41"/>
      <c r="G260" s="17">
        <v>290.02</v>
      </c>
      <c r="H260" s="46">
        <f t="shared" si="6"/>
        <v>0</v>
      </c>
      <c r="I260" s="41"/>
    </row>
    <row r="261" customHeight="1" spans="1:9">
      <c r="A261" s="40"/>
      <c r="B261" s="45" t="s">
        <v>103</v>
      </c>
      <c r="C261" s="41" t="s">
        <v>195</v>
      </c>
      <c r="D261" s="41" t="s">
        <v>91</v>
      </c>
      <c r="E261" s="41" t="s">
        <v>96</v>
      </c>
      <c r="F261" s="41">
        <v>6</v>
      </c>
      <c r="G261" s="41">
        <v>55.5</v>
      </c>
      <c r="H261" s="46">
        <f t="shared" si="6"/>
        <v>333</v>
      </c>
      <c r="I261" s="41"/>
    </row>
    <row r="262" customHeight="1" spans="1:9">
      <c r="A262" s="40"/>
      <c r="B262" s="45" t="s">
        <v>103</v>
      </c>
      <c r="C262" s="41" t="s">
        <v>106</v>
      </c>
      <c r="D262" s="41" t="s">
        <v>91</v>
      </c>
      <c r="E262" s="41" t="s">
        <v>96</v>
      </c>
      <c r="F262" s="41">
        <v>95</v>
      </c>
      <c r="G262" s="41">
        <v>127.06</v>
      </c>
      <c r="H262" s="46">
        <f t="shared" ref="H262" si="11">F262*G262</f>
        <v>12070.7</v>
      </c>
      <c r="I262" s="41"/>
    </row>
    <row r="263" customHeight="1" spans="1:9">
      <c r="A263" s="40"/>
      <c r="B263" s="45" t="s">
        <v>108</v>
      </c>
      <c r="C263" s="41" t="s">
        <v>101</v>
      </c>
      <c r="D263" s="41" t="s">
        <v>91</v>
      </c>
      <c r="E263" s="41" t="s">
        <v>96</v>
      </c>
      <c r="F263" s="41">
        <v>4</v>
      </c>
      <c r="G263" s="41">
        <v>65</v>
      </c>
      <c r="H263" s="46">
        <f t="shared" si="6"/>
        <v>260</v>
      </c>
      <c r="I263" s="41"/>
    </row>
    <row r="264" ht="18.95" customHeight="1" spans="1:10">
      <c r="A264" s="40"/>
      <c r="B264" s="45" t="s">
        <v>108</v>
      </c>
      <c r="C264" s="41" t="s">
        <v>102</v>
      </c>
      <c r="D264" s="41" t="s">
        <v>91</v>
      </c>
      <c r="E264" s="41" t="s">
        <v>96</v>
      </c>
      <c r="F264" s="41">
        <v>23</v>
      </c>
      <c r="G264" s="41">
        <v>45</v>
      </c>
      <c r="H264" s="46">
        <f t="shared" si="6"/>
        <v>1035</v>
      </c>
      <c r="I264" s="41"/>
      <c r="J264" s="56">
        <f t="shared" ref="J264" si="12">H264/$H$69</f>
        <v>0.00104166806321057</v>
      </c>
    </row>
    <row r="265" customHeight="1" spans="1:9">
      <c r="A265" s="40"/>
      <c r="B265" s="45" t="s">
        <v>111</v>
      </c>
      <c r="C265" s="41" t="s">
        <v>196</v>
      </c>
      <c r="D265" s="41"/>
      <c r="E265" s="41" t="s">
        <v>96</v>
      </c>
      <c r="F265" s="41">
        <v>4</v>
      </c>
      <c r="G265" s="41">
        <v>98.97</v>
      </c>
      <c r="H265" s="46">
        <f t="shared" si="6"/>
        <v>395.88</v>
      </c>
      <c r="I265" s="41"/>
    </row>
    <row r="266" customHeight="1" spans="1:9">
      <c r="A266" s="40"/>
      <c r="B266" s="45" t="s">
        <v>111</v>
      </c>
      <c r="C266" s="41" t="s">
        <v>117</v>
      </c>
      <c r="D266" s="41"/>
      <c r="E266" s="41" t="s">
        <v>96</v>
      </c>
      <c r="F266" s="41">
        <v>4</v>
      </c>
      <c r="G266" s="41">
        <v>98.97</v>
      </c>
      <c r="H266" s="46">
        <f t="shared" ref="H266" si="13">F266*G266</f>
        <v>395.88</v>
      </c>
      <c r="I266" s="41"/>
    </row>
    <row r="267" customHeight="1" spans="1:9">
      <c r="A267" s="40"/>
      <c r="B267" s="45" t="s">
        <v>111</v>
      </c>
      <c r="C267" s="41" t="s">
        <v>113</v>
      </c>
      <c r="D267" s="41"/>
      <c r="E267" s="41" t="s">
        <v>96</v>
      </c>
      <c r="F267" s="41">
        <v>4</v>
      </c>
      <c r="G267" s="17">
        <v>94.07</v>
      </c>
      <c r="H267" s="46">
        <f t="shared" si="6"/>
        <v>376.28</v>
      </c>
      <c r="I267" s="41"/>
    </row>
    <row r="268" customHeight="1" spans="1:9">
      <c r="A268" s="40"/>
      <c r="B268" s="45" t="s">
        <v>111</v>
      </c>
      <c r="C268" s="41" t="s">
        <v>197</v>
      </c>
      <c r="D268" s="41"/>
      <c r="E268" s="41" t="s">
        <v>96</v>
      </c>
      <c r="F268" s="41">
        <v>2</v>
      </c>
      <c r="G268" s="41">
        <v>85.5</v>
      </c>
      <c r="H268" s="46">
        <f t="shared" si="6"/>
        <v>171</v>
      </c>
      <c r="I268" s="41"/>
    </row>
    <row r="269" customHeight="1" spans="1:9">
      <c r="A269" s="40"/>
      <c r="B269" s="45" t="s">
        <v>111</v>
      </c>
      <c r="C269" s="41" t="s">
        <v>115</v>
      </c>
      <c r="D269" s="41"/>
      <c r="E269" s="41" t="s">
        <v>96</v>
      </c>
      <c r="F269" s="41">
        <v>6</v>
      </c>
      <c r="G269" s="41">
        <v>85.5</v>
      </c>
      <c r="H269" s="46">
        <f t="shared" ref="H269:H270" si="14">F269*G269</f>
        <v>513</v>
      </c>
      <c r="I269" s="41"/>
    </row>
    <row r="270" ht="18.95" customHeight="1" spans="1:9">
      <c r="A270" s="40"/>
      <c r="B270" s="45" t="s">
        <v>116</v>
      </c>
      <c r="C270" s="41" t="s">
        <v>178</v>
      </c>
      <c r="D270" s="41"/>
      <c r="E270" s="41" t="s">
        <v>96</v>
      </c>
      <c r="F270" s="41">
        <v>2</v>
      </c>
      <c r="G270" s="41">
        <v>99.52</v>
      </c>
      <c r="H270" s="46">
        <f t="shared" si="14"/>
        <v>199.04</v>
      </c>
      <c r="I270" s="41"/>
    </row>
    <row r="271" customHeight="1" spans="1:9">
      <c r="A271" s="40"/>
      <c r="B271" s="45" t="s">
        <v>198</v>
      </c>
      <c r="C271" s="41" t="s">
        <v>113</v>
      </c>
      <c r="D271" s="41"/>
      <c r="E271" s="41" t="s">
        <v>96</v>
      </c>
      <c r="F271" s="45">
        <v>2</v>
      </c>
      <c r="G271" s="45">
        <v>98.43</v>
      </c>
      <c r="H271" s="46">
        <f t="shared" si="6"/>
        <v>196.86</v>
      </c>
      <c r="I271" s="41"/>
    </row>
    <row r="272" customHeight="1" spans="1:9">
      <c r="A272" s="40"/>
      <c r="B272" s="45" t="s">
        <v>118</v>
      </c>
      <c r="C272" s="41" t="s">
        <v>119</v>
      </c>
      <c r="D272" s="41"/>
      <c r="E272" s="41" t="s">
        <v>96</v>
      </c>
      <c r="F272" s="45">
        <v>4</v>
      </c>
      <c r="G272" s="45">
        <v>90.8</v>
      </c>
      <c r="H272" s="46">
        <f t="shared" si="6"/>
        <v>363.2</v>
      </c>
      <c r="I272" s="41"/>
    </row>
    <row r="273" ht="18.95" customHeight="1" spans="1:9">
      <c r="A273" s="40"/>
      <c r="B273" s="45" t="s">
        <v>118</v>
      </c>
      <c r="C273" s="41" t="s">
        <v>121</v>
      </c>
      <c r="D273" s="41"/>
      <c r="E273" s="41" t="s">
        <v>96</v>
      </c>
      <c r="F273" s="45">
        <v>4</v>
      </c>
      <c r="G273" s="45">
        <v>62</v>
      </c>
      <c r="H273" s="46">
        <f t="shared" si="6"/>
        <v>248</v>
      </c>
      <c r="I273" s="41"/>
    </row>
    <row r="274" ht="18.95" customHeight="1" spans="1:9">
      <c r="A274" s="40"/>
      <c r="B274" s="45" t="s">
        <v>122</v>
      </c>
      <c r="C274" s="41" t="s">
        <v>179</v>
      </c>
      <c r="D274" s="41"/>
      <c r="E274" s="41" t="s">
        <v>96</v>
      </c>
      <c r="F274" s="45">
        <v>2</v>
      </c>
      <c r="G274" s="17">
        <v>101.7</v>
      </c>
      <c r="H274" s="46">
        <f t="shared" si="6"/>
        <v>203.4</v>
      </c>
      <c r="I274" s="41"/>
    </row>
    <row r="275" customHeight="1" spans="1:9">
      <c r="A275" s="40"/>
      <c r="B275" s="45" t="s">
        <v>122</v>
      </c>
      <c r="C275" s="41" t="s">
        <v>119</v>
      </c>
      <c r="D275" s="41"/>
      <c r="E275" s="41" t="s">
        <v>96</v>
      </c>
      <c r="F275" s="45">
        <v>8</v>
      </c>
      <c r="G275" s="45">
        <v>96.25</v>
      </c>
      <c r="H275" s="46">
        <f t="shared" si="6"/>
        <v>770</v>
      </c>
      <c r="I275" s="41"/>
    </row>
    <row r="276" customHeight="1" spans="1:9">
      <c r="A276" s="40"/>
      <c r="B276" s="45" t="s">
        <v>122</v>
      </c>
      <c r="C276" s="41" t="s">
        <v>120</v>
      </c>
      <c r="D276" s="41"/>
      <c r="E276" s="41" t="s">
        <v>96</v>
      </c>
      <c r="F276" s="45">
        <v>7</v>
      </c>
      <c r="G276" s="45">
        <v>94.07</v>
      </c>
      <c r="H276" s="46">
        <f t="shared" si="6"/>
        <v>658.49</v>
      </c>
      <c r="I276" s="41"/>
    </row>
    <row r="277" ht="18.95" customHeight="1" spans="1:9">
      <c r="A277" s="40"/>
      <c r="B277" s="45" t="s">
        <v>122</v>
      </c>
      <c r="C277" s="41" t="s">
        <v>121</v>
      </c>
      <c r="D277" s="41"/>
      <c r="E277" s="41" t="s">
        <v>96</v>
      </c>
      <c r="F277" s="45">
        <v>6</v>
      </c>
      <c r="G277" s="45">
        <v>42.2</v>
      </c>
      <c r="H277" s="46">
        <f t="shared" si="6"/>
        <v>253.2</v>
      </c>
      <c r="I277" s="41"/>
    </row>
    <row r="278" ht="18.95" customHeight="1" spans="1:10">
      <c r="A278" s="40"/>
      <c r="B278" s="45" t="s">
        <v>123</v>
      </c>
      <c r="C278" s="41" t="s">
        <v>126</v>
      </c>
      <c r="D278" s="41"/>
      <c r="E278" s="41" t="s">
        <v>96</v>
      </c>
      <c r="F278" s="41">
        <v>23</v>
      </c>
      <c r="G278" s="41">
        <v>55.43</v>
      </c>
      <c r="H278" s="46">
        <f t="shared" si="6"/>
        <v>1274.89</v>
      </c>
      <c r="I278" s="41"/>
      <c r="J278" s="56">
        <f t="shared" ref="J278" si="15">H278/$H$69</f>
        <v>0.0012831035720836</v>
      </c>
    </row>
    <row r="279" customHeight="1" spans="1:9">
      <c r="A279" s="40"/>
      <c r="B279" s="45" t="s">
        <v>123</v>
      </c>
      <c r="C279" s="41" t="s">
        <v>125</v>
      </c>
      <c r="D279" s="41"/>
      <c r="E279" s="41" t="s">
        <v>96</v>
      </c>
      <c r="F279" s="41">
        <v>4</v>
      </c>
      <c r="G279" s="41">
        <v>182.55</v>
      </c>
      <c r="H279" s="46">
        <f t="shared" si="6"/>
        <v>730.2</v>
      </c>
      <c r="I279" s="41"/>
    </row>
    <row r="280" customHeight="1" spans="1:9">
      <c r="A280" s="40"/>
      <c r="B280" s="45" t="s">
        <v>127</v>
      </c>
      <c r="C280" s="41" t="s">
        <v>101</v>
      </c>
      <c r="D280" s="41"/>
      <c r="E280" s="41" t="s">
        <v>96</v>
      </c>
      <c r="F280" s="41">
        <v>4</v>
      </c>
      <c r="G280" s="17">
        <f>G40</f>
        <v>1682.16</v>
      </c>
      <c r="H280" s="46">
        <f t="shared" si="6"/>
        <v>6728.64</v>
      </c>
      <c r="I280" s="41"/>
    </row>
    <row r="281" customHeight="1" spans="1:9">
      <c r="A281" s="40"/>
      <c r="B281" s="45" t="s">
        <v>127</v>
      </c>
      <c r="C281" s="41" t="s">
        <v>102</v>
      </c>
      <c r="D281" s="41"/>
      <c r="E281" s="41" t="s">
        <v>96</v>
      </c>
      <c r="F281" s="41">
        <v>23</v>
      </c>
      <c r="G281" s="17">
        <f>G41</f>
        <v>280</v>
      </c>
      <c r="H281" s="46">
        <f t="shared" si="6"/>
        <v>6440</v>
      </c>
      <c r="I281" s="41"/>
    </row>
    <row r="282" customHeight="1" spans="1:9">
      <c r="A282" s="40"/>
      <c r="B282" s="45" t="s">
        <v>128</v>
      </c>
      <c r="C282" s="41" t="s">
        <v>199</v>
      </c>
      <c r="D282" s="41"/>
      <c r="E282" s="41" t="s">
        <v>130</v>
      </c>
      <c r="F282" s="41">
        <v>1</v>
      </c>
      <c r="G282" s="17">
        <v>24974.08</v>
      </c>
      <c r="H282" s="46">
        <f t="shared" si="6"/>
        <v>24974.08</v>
      </c>
      <c r="I282" s="41"/>
    </row>
    <row r="283" customHeight="1" spans="1:9">
      <c r="A283" s="40"/>
      <c r="B283" s="45" t="s">
        <v>131</v>
      </c>
      <c r="C283" s="41"/>
      <c r="D283" s="41"/>
      <c r="E283" s="41" t="s">
        <v>130</v>
      </c>
      <c r="F283" s="41">
        <v>1</v>
      </c>
      <c r="G283" s="41">
        <v>1220</v>
      </c>
      <c r="H283" s="46">
        <f t="shared" si="6"/>
        <v>1220</v>
      </c>
      <c r="I283" s="41"/>
    </row>
    <row r="284" customHeight="1" spans="1:9">
      <c r="A284" s="40"/>
      <c r="B284" s="45" t="s">
        <v>135</v>
      </c>
      <c r="C284" s="40" t="s">
        <v>136</v>
      </c>
      <c r="D284" s="41"/>
      <c r="E284" s="41" t="s">
        <v>137</v>
      </c>
      <c r="F284" s="41">
        <v>6</v>
      </c>
      <c r="G284" s="51">
        <f>0.04*7.85*4*5.5*1.45</f>
        <v>10.0166</v>
      </c>
      <c r="H284" s="46">
        <f t="shared" si="6"/>
        <v>60.0996</v>
      </c>
      <c r="I284" s="58"/>
    </row>
    <row r="285" customHeight="1" spans="1:9">
      <c r="A285" s="40"/>
      <c r="B285" s="45" t="s">
        <v>138</v>
      </c>
      <c r="C285" s="41" t="s">
        <v>139</v>
      </c>
      <c r="D285" s="41"/>
      <c r="E285" s="41" t="s">
        <v>140</v>
      </c>
      <c r="F285" s="41">
        <v>2</v>
      </c>
      <c r="G285" s="51">
        <f>3.77*5.5*1.45</f>
        <v>30.06575</v>
      </c>
      <c r="H285" s="46">
        <f t="shared" si="6"/>
        <v>60.1315</v>
      </c>
      <c r="I285" s="58" t="s">
        <v>141</v>
      </c>
    </row>
    <row r="286" customHeight="1" spans="1:9">
      <c r="A286" s="40"/>
      <c r="B286" s="45" t="s">
        <v>142</v>
      </c>
      <c r="C286" s="41" t="s">
        <v>98</v>
      </c>
      <c r="D286" s="41" t="s">
        <v>95</v>
      </c>
      <c r="E286" s="41" t="s">
        <v>137</v>
      </c>
      <c r="F286" s="41">
        <v>7</v>
      </c>
      <c r="G286" s="17">
        <v>125.33</v>
      </c>
      <c r="H286" s="46">
        <f t="shared" si="6"/>
        <v>877.31</v>
      </c>
      <c r="I286" s="41"/>
    </row>
    <row r="287" customHeight="1" spans="1:9">
      <c r="A287" s="40"/>
      <c r="B287" s="45" t="s">
        <v>143</v>
      </c>
      <c r="C287" s="41" t="s">
        <v>144</v>
      </c>
      <c r="D287" s="41"/>
      <c r="E287" s="41" t="s">
        <v>137</v>
      </c>
      <c r="F287" s="41">
        <v>1</v>
      </c>
      <c r="G287" s="41">
        <v>12.6</v>
      </c>
      <c r="H287" s="46">
        <f t="shared" si="6"/>
        <v>12.6</v>
      </c>
      <c r="I287" s="41"/>
    </row>
    <row r="288" customHeight="1" spans="1:9">
      <c r="A288" s="40"/>
      <c r="B288" s="45" t="s">
        <v>132</v>
      </c>
      <c r="C288" s="41"/>
      <c r="D288" s="41"/>
      <c r="E288" s="41" t="s">
        <v>23</v>
      </c>
      <c r="F288" s="41">
        <v>416</v>
      </c>
      <c r="G288" s="41">
        <f>G44</f>
        <v>3.79</v>
      </c>
      <c r="H288" s="46">
        <f t="shared" si="6"/>
        <v>1576.64</v>
      </c>
      <c r="I288" s="41"/>
    </row>
    <row r="289" customHeight="1" spans="1:9">
      <c r="A289" s="40"/>
      <c r="B289" s="45" t="s">
        <v>133</v>
      </c>
      <c r="C289" s="41"/>
      <c r="D289" s="41"/>
      <c r="E289" s="41" t="s">
        <v>23</v>
      </c>
      <c r="F289" s="41">
        <v>416</v>
      </c>
      <c r="G289" s="41">
        <v>29.46</v>
      </c>
      <c r="H289" s="46">
        <f t="shared" si="6"/>
        <v>12255.36</v>
      </c>
      <c r="I289" s="41"/>
    </row>
    <row r="290" customHeight="1" spans="1:9">
      <c r="A290" s="40"/>
      <c r="B290" s="45" t="s">
        <v>134</v>
      </c>
      <c r="C290" s="41" t="s">
        <v>101</v>
      </c>
      <c r="D290" s="41"/>
      <c r="E290" s="41" t="s">
        <v>96</v>
      </c>
      <c r="F290" s="41">
        <v>48</v>
      </c>
      <c r="G290" s="17">
        <v>109.75</v>
      </c>
      <c r="H290" s="46">
        <f t="shared" si="6"/>
        <v>5268</v>
      </c>
      <c r="I290" s="41"/>
    </row>
    <row r="291" ht="18.95" customHeight="1" spans="1:10">
      <c r="A291" s="40"/>
      <c r="B291" s="45" t="s">
        <v>134</v>
      </c>
      <c r="C291" s="41" t="s">
        <v>102</v>
      </c>
      <c r="D291" s="41"/>
      <c r="E291" s="41" t="s">
        <v>96</v>
      </c>
      <c r="F291" s="41">
        <v>300</v>
      </c>
      <c r="G291" s="41">
        <v>60.29</v>
      </c>
      <c r="H291" s="46">
        <f t="shared" si="6"/>
        <v>18087</v>
      </c>
      <c r="I291" s="41"/>
      <c r="J291" s="56">
        <f t="shared" ref="J291" si="16">H291/$H$69</f>
        <v>0.0182035268205697</v>
      </c>
    </row>
    <row r="292" customHeight="1" spans="1:9">
      <c r="A292" s="40"/>
      <c r="B292" s="45" t="s">
        <v>135</v>
      </c>
      <c r="C292" s="40" t="s">
        <v>136</v>
      </c>
      <c r="D292" s="41"/>
      <c r="E292" s="41" t="s">
        <v>137</v>
      </c>
      <c r="F292" s="41">
        <v>200</v>
      </c>
      <c r="G292" s="51">
        <f>0.04*7.85*4*5.5*1.45</f>
        <v>10.0166</v>
      </c>
      <c r="H292" s="46">
        <f t="shared" si="6"/>
        <v>2003.32</v>
      </c>
      <c r="I292" s="58"/>
    </row>
    <row r="293" customHeight="1" spans="1:9">
      <c r="A293" s="40"/>
      <c r="B293" s="45" t="s">
        <v>138</v>
      </c>
      <c r="C293" s="41" t="s">
        <v>139</v>
      </c>
      <c r="D293" s="41"/>
      <c r="E293" s="41" t="s">
        <v>140</v>
      </c>
      <c r="F293" s="41">
        <v>4</v>
      </c>
      <c r="G293" s="51">
        <f>3.77*5.5*1.45</f>
        <v>30.06575</v>
      </c>
      <c r="H293" s="46">
        <f t="shared" si="6"/>
        <v>120.263</v>
      </c>
      <c r="I293" s="58" t="s">
        <v>141</v>
      </c>
    </row>
    <row r="294" customHeight="1" spans="1:9">
      <c r="A294" s="40"/>
      <c r="B294" s="45" t="s">
        <v>142</v>
      </c>
      <c r="C294" s="41" t="s">
        <v>101</v>
      </c>
      <c r="D294" s="41" t="s">
        <v>95</v>
      </c>
      <c r="E294" s="41" t="s">
        <v>137</v>
      </c>
      <c r="F294" s="41">
        <v>20</v>
      </c>
      <c r="G294" s="41">
        <v>91.41</v>
      </c>
      <c r="H294" s="46">
        <f t="shared" si="6"/>
        <v>1828.2</v>
      </c>
      <c r="I294" s="41"/>
    </row>
    <row r="295" customHeight="1" spans="1:9">
      <c r="A295" s="40"/>
      <c r="B295" s="45" t="s">
        <v>143</v>
      </c>
      <c r="C295" s="41" t="s">
        <v>144</v>
      </c>
      <c r="D295" s="41"/>
      <c r="E295" s="41" t="s">
        <v>137</v>
      </c>
      <c r="F295" s="41">
        <v>11</v>
      </c>
      <c r="G295" s="41">
        <v>12.6</v>
      </c>
      <c r="H295" s="46">
        <f t="shared" si="6"/>
        <v>138.6</v>
      </c>
      <c r="I295" s="41"/>
    </row>
    <row r="296" customHeight="1" spans="1:9">
      <c r="A296" s="70"/>
      <c r="B296" s="71" t="s">
        <v>200</v>
      </c>
      <c r="C296" s="72" t="s">
        <v>201</v>
      </c>
      <c r="D296" s="72"/>
      <c r="E296" s="72" t="s">
        <v>202</v>
      </c>
      <c r="F296" s="72">
        <v>3</v>
      </c>
      <c r="G296" s="73">
        <v>6923.78</v>
      </c>
      <c r="H296" s="46">
        <f t="shared" ref="H296:H297" si="17">F296*G296</f>
        <v>20771.34</v>
      </c>
      <c r="I296" s="74"/>
    </row>
    <row r="297" customHeight="1" spans="1:9">
      <c r="A297" s="70"/>
      <c r="B297" s="71" t="s">
        <v>203</v>
      </c>
      <c r="C297" s="72" t="s">
        <v>204</v>
      </c>
      <c r="D297" s="72"/>
      <c r="E297" s="72" t="s">
        <v>96</v>
      </c>
      <c r="F297" s="72">
        <v>3</v>
      </c>
      <c r="G297" s="73">
        <v>2980.25</v>
      </c>
      <c r="H297" s="46">
        <f t="shared" si="17"/>
        <v>8940.75</v>
      </c>
      <c r="I297" s="75"/>
    </row>
    <row r="298" customHeight="1" spans="1:9">
      <c r="A298" s="40"/>
      <c r="B298" s="45" t="s">
        <v>205</v>
      </c>
      <c r="C298" s="41" t="s">
        <v>146</v>
      </c>
      <c r="D298" s="41" t="s">
        <v>147</v>
      </c>
      <c r="E298" s="41" t="s">
        <v>148</v>
      </c>
      <c r="F298" s="41">
        <v>245</v>
      </c>
      <c r="G298" s="41">
        <v>501.96</v>
      </c>
      <c r="H298" s="46">
        <f t="shared" si="6"/>
        <v>122980.2</v>
      </c>
      <c r="I298" s="41" t="s">
        <v>206</v>
      </c>
    </row>
    <row r="299" customHeight="1" spans="1:9">
      <c r="A299" s="40"/>
      <c r="B299" s="45" t="s">
        <v>151</v>
      </c>
      <c r="C299" s="41"/>
      <c r="D299" s="41"/>
      <c r="E299" s="41" t="s">
        <v>96</v>
      </c>
      <c r="F299" s="41">
        <f>F298*2</f>
        <v>490</v>
      </c>
      <c r="G299" s="41">
        <v>18.45</v>
      </c>
      <c r="H299" s="46">
        <f t="shared" si="6"/>
        <v>9040.5</v>
      </c>
      <c r="I299" s="41"/>
    </row>
    <row r="300" customHeight="1" spans="1:11">
      <c r="A300" s="40"/>
      <c r="B300" s="45" t="s">
        <v>152</v>
      </c>
      <c r="C300" s="41"/>
      <c r="D300" s="41"/>
      <c r="E300" s="41" t="s">
        <v>96</v>
      </c>
      <c r="F300" s="41">
        <f>F298</f>
        <v>245</v>
      </c>
      <c r="G300" s="41">
        <v>358</v>
      </c>
      <c r="H300" s="46">
        <f t="shared" si="6"/>
        <v>87710</v>
      </c>
      <c r="I300" s="41"/>
      <c r="K300" s="39">
        <f>4*0.04*7.85*5</f>
        <v>6.28</v>
      </c>
    </row>
    <row r="301" customHeight="1" spans="1:9">
      <c r="A301" s="40"/>
      <c r="B301" s="45" t="s">
        <v>150</v>
      </c>
      <c r="C301" s="41"/>
      <c r="D301" s="41"/>
      <c r="E301" s="41" t="s">
        <v>137</v>
      </c>
      <c r="F301" s="41">
        <f>F298</f>
        <v>245</v>
      </c>
      <c r="G301" s="41">
        <v>30.25</v>
      </c>
      <c r="H301" s="46">
        <f t="shared" si="6"/>
        <v>7411.25</v>
      </c>
      <c r="I301" s="58"/>
    </row>
    <row r="302" customHeight="1" spans="1:9">
      <c r="A302" s="40"/>
      <c r="B302" s="45" t="s">
        <v>207</v>
      </c>
      <c r="C302" s="41"/>
      <c r="D302" s="41"/>
      <c r="E302" s="41" t="s">
        <v>96</v>
      </c>
      <c r="F302" s="41">
        <f>F298*2</f>
        <v>490</v>
      </c>
      <c r="G302" s="41">
        <f>G58</f>
        <v>89.38</v>
      </c>
      <c r="H302" s="46">
        <f t="shared" si="6"/>
        <v>43796.2</v>
      </c>
      <c r="I302" s="58"/>
    </row>
    <row r="303" customHeight="1" spans="1:9">
      <c r="A303" s="40"/>
      <c r="B303" s="45" t="s">
        <v>208</v>
      </c>
      <c r="C303" s="40"/>
      <c r="D303" s="41"/>
      <c r="E303" s="41" t="s">
        <v>96</v>
      </c>
      <c r="F303" s="41">
        <f>F298</f>
        <v>245</v>
      </c>
      <c r="G303" s="41">
        <f>G59</f>
        <v>111.4</v>
      </c>
      <c r="H303" s="46">
        <f t="shared" si="6"/>
        <v>27293</v>
      </c>
      <c r="I303" s="58"/>
    </row>
    <row r="304" customHeight="1" spans="1:9">
      <c r="A304" s="40"/>
      <c r="B304" s="45" t="s">
        <v>209</v>
      </c>
      <c r="C304" s="41"/>
      <c r="D304" s="41"/>
      <c r="E304" s="41" t="s">
        <v>96</v>
      </c>
      <c r="F304" s="41">
        <f>F298*3</f>
        <v>735</v>
      </c>
      <c r="G304" s="41">
        <v>49.43</v>
      </c>
      <c r="H304" s="46">
        <f t="shared" si="6"/>
        <v>36331.05</v>
      </c>
      <c r="I304" s="58"/>
    </row>
    <row r="305" customHeight="1" spans="1:9">
      <c r="A305" s="40"/>
      <c r="B305" s="45" t="s">
        <v>210</v>
      </c>
      <c r="C305" s="41"/>
      <c r="D305" s="41" t="s">
        <v>91</v>
      </c>
      <c r="E305" s="41" t="s">
        <v>96</v>
      </c>
      <c r="F305" s="41">
        <f>F298*3</f>
        <v>735</v>
      </c>
      <c r="G305" s="41">
        <v>4.2</v>
      </c>
      <c r="H305" s="46">
        <f t="shared" si="6"/>
        <v>3087</v>
      </c>
      <c r="I305" s="58"/>
    </row>
    <row r="306" customHeight="1" spans="1:9">
      <c r="A306" s="40"/>
      <c r="B306" s="45" t="s">
        <v>211</v>
      </c>
      <c r="C306" s="41"/>
      <c r="D306" s="41" t="s">
        <v>91</v>
      </c>
      <c r="E306" s="41" t="s">
        <v>96</v>
      </c>
      <c r="F306" s="41">
        <f>F298*2</f>
        <v>490</v>
      </c>
      <c r="G306" s="41">
        <v>3.85</v>
      </c>
      <c r="H306" s="46">
        <f t="shared" si="6"/>
        <v>1886.5</v>
      </c>
      <c r="I306" s="58"/>
    </row>
    <row r="307" customHeight="1" spans="1:9">
      <c r="A307" s="40"/>
      <c r="B307" s="45" t="s">
        <v>212</v>
      </c>
      <c r="C307" s="41"/>
      <c r="D307" s="41" t="s">
        <v>91</v>
      </c>
      <c r="E307" s="41" t="s">
        <v>96</v>
      </c>
      <c r="F307" s="41">
        <f>F298</f>
        <v>245</v>
      </c>
      <c r="G307" s="41">
        <v>25.14</v>
      </c>
      <c r="H307" s="46">
        <f t="shared" si="6"/>
        <v>6159.3</v>
      </c>
      <c r="I307" s="58"/>
    </row>
    <row r="308" customHeight="1" spans="1:9">
      <c r="A308" s="70"/>
      <c r="B308" s="71" t="s">
        <v>162</v>
      </c>
      <c r="C308" s="72"/>
      <c r="D308" s="72" t="s">
        <v>91</v>
      </c>
      <c r="E308" s="72" t="s">
        <v>96</v>
      </c>
      <c r="F308" s="72">
        <f>F298*2</f>
        <v>490</v>
      </c>
      <c r="G308" s="41">
        <v>85.5</v>
      </c>
      <c r="H308" s="46">
        <f t="shared" si="6"/>
        <v>41895</v>
      </c>
      <c r="I308" s="76"/>
    </row>
    <row r="309" s="2" customFormat="1" ht="18.75" customHeight="1" spans="1:14">
      <c r="A309" s="70"/>
      <c r="B309" s="68" t="s">
        <v>163</v>
      </c>
      <c r="C309" s="16"/>
      <c r="D309" s="16"/>
      <c r="E309" s="9" t="s">
        <v>164</v>
      </c>
      <c r="F309" s="17">
        <f>980*(0.9*2.1)</f>
        <v>1852.2</v>
      </c>
      <c r="G309" s="17">
        <f>G65</f>
        <v>14.43</v>
      </c>
      <c r="H309" s="18">
        <f t="shared" si="6"/>
        <v>26727.246</v>
      </c>
      <c r="I309" s="16"/>
      <c r="L309" s="25"/>
      <c r="N309" s="5"/>
    </row>
    <row r="310" s="2" customFormat="1" ht="18.75" customHeight="1" spans="1:14">
      <c r="A310" s="70"/>
      <c r="B310" s="68" t="s">
        <v>165</v>
      </c>
      <c r="C310" s="16"/>
      <c r="D310" s="16"/>
      <c r="E310" s="9" t="s">
        <v>164</v>
      </c>
      <c r="F310" s="17">
        <f>980*(0.9*1.8)</f>
        <v>1587.6</v>
      </c>
      <c r="G310" s="17">
        <f>G66</f>
        <v>14.49</v>
      </c>
      <c r="H310" s="18">
        <f t="shared" si="6"/>
        <v>23004.324</v>
      </c>
      <c r="I310" s="16"/>
      <c r="L310" s="25"/>
      <c r="N310" s="5"/>
    </row>
    <row r="311" s="2" customFormat="1" ht="18.75" customHeight="1" spans="1:14">
      <c r="A311" s="70"/>
      <c r="B311" s="68" t="s">
        <v>166</v>
      </c>
      <c r="C311" s="16"/>
      <c r="D311" s="16"/>
      <c r="E311" s="9" t="s">
        <v>164</v>
      </c>
      <c r="F311" s="17">
        <f>980*(0.9*0.2)</f>
        <v>176.4</v>
      </c>
      <c r="G311" s="17">
        <f>G67</f>
        <v>16.87</v>
      </c>
      <c r="H311" s="18">
        <f t="shared" si="6"/>
        <v>2975.868</v>
      </c>
      <c r="I311" s="16"/>
      <c r="L311" s="25"/>
      <c r="N311" s="5"/>
    </row>
    <row r="312" s="2" customFormat="1" ht="18.75" customHeight="1" spans="1:14">
      <c r="A312" s="70"/>
      <c r="B312" s="68" t="s">
        <v>167</v>
      </c>
      <c r="C312" s="16"/>
      <c r="D312" s="16"/>
      <c r="E312" s="9" t="s">
        <v>164</v>
      </c>
      <c r="F312" s="17">
        <f>980*(0.9*0.2)</f>
        <v>176.4</v>
      </c>
      <c r="G312" s="17">
        <v>209.39</v>
      </c>
      <c r="H312" s="18">
        <f t="shared" si="6"/>
        <v>36936.396</v>
      </c>
      <c r="I312" s="16"/>
      <c r="L312" s="25"/>
      <c r="N312" s="5"/>
    </row>
    <row r="313" customHeight="1" spans="1:9">
      <c r="A313" s="70"/>
      <c r="B313" s="71" t="s">
        <v>200</v>
      </c>
      <c r="C313" s="72" t="s">
        <v>201</v>
      </c>
      <c r="D313" s="72"/>
      <c r="E313" s="72" t="s">
        <v>202</v>
      </c>
      <c r="F313" s="72">
        <v>1</v>
      </c>
      <c r="G313" s="73">
        <f>G296</f>
        <v>6923.78</v>
      </c>
      <c r="H313" s="46">
        <f t="shared" si="6"/>
        <v>6923.78</v>
      </c>
      <c r="I313" s="74"/>
    </row>
    <row r="314" ht="18.95" customHeight="1" spans="1:9">
      <c r="A314" s="40"/>
      <c r="B314" s="23" t="s">
        <v>168</v>
      </c>
      <c r="C314" s="41"/>
      <c r="D314" s="41"/>
      <c r="E314" s="41" t="s">
        <v>169</v>
      </c>
      <c r="F314" s="41"/>
      <c r="G314" s="41"/>
      <c r="H314" s="46">
        <f>SUM(H248:H313)</f>
        <v>959015.0781</v>
      </c>
      <c r="I314" s="58"/>
    </row>
    <row r="315" customHeight="1" spans="1:9">
      <c r="A315" s="65">
        <v>6</v>
      </c>
      <c r="B315" s="44" t="s">
        <v>213</v>
      </c>
      <c r="C315" s="44"/>
      <c r="D315" s="44"/>
      <c r="E315" s="44"/>
      <c r="F315" s="44"/>
      <c r="G315" s="44"/>
      <c r="H315" s="44"/>
      <c r="I315" s="53"/>
    </row>
    <row r="316" customHeight="1" spans="1:9">
      <c r="A316" s="40"/>
      <c r="B316" s="45" t="s">
        <v>84</v>
      </c>
      <c r="C316" s="41" t="s">
        <v>171</v>
      </c>
      <c r="D316" s="41" t="s">
        <v>86</v>
      </c>
      <c r="E316" s="41" t="s">
        <v>23</v>
      </c>
      <c r="F316" s="41">
        <v>154</v>
      </c>
      <c r="G316" s="17">
        <v>78.32</v>
      </c>
      <c r="H316" s="46">
        <f t="shared" ref="H316:H375" si="18">F316*G316</f>
        <v>12061.28</v>
      </c>
      <c r="I316" s="41"/>
    </row>
    <row r="317" customHeight="1" spans="1:9">
      <c r="A317" s="40"/>
      <c r="B317" s="45" t="s">
        <v>84</v>
      </c>
      <c r="C317" s="41" t="s">
        <v>85</v>
      </c>
      <c r="D317" s="41" t="s">
        <v>86</v>
      </c>
      <c r="E317" s="41" t="s">
        <v>23</v>
      </c>
      <c r="F317" s="41">
        <v>93</v>
      </c>
      <c r="G317" s="17">
        <v>67.71</v>
      </c>
      <c r="H317" s="46">
        <f t="shared" si="18"/>
        <v>6297.03</v>
      </c>
      <c r="I317" s="41"/>
    </row>
    <row r="318" customHeight="1" spans="1:9">
      <c r="A318" s="40"/>
      <c r="B318" s="45" t="s">
        <v>84</v>
      </c>
      <c r="C318" s="41" t="s">
        <v>87</v>
      </c>
      <c r="D318" s="41" t="s">
        <v>86</v>
      </c>
      <c r="E318" s="41" t="s">
        <v>23</v>
      </c>
      <c r="F318" s="41">
        <v>483</v>
      </c>
      <c r="G318" s="17">
        <v>39.37</v>
      </c>
      <c r="H318" s="46">
        <f t="shared" si="18"/>
        <v>19015.71</v>
      </c>
      <c r="I318" s="41"/>
    </row>
    <row r="319" customHeight="1" spans="1:9">
      <c r="A319" s="40"/>
      <c r="B319" s="45" t="s">
        <v>84</v>
      </c>
      <c r="C319" s="41" t="s">
        <v>88</v>
      </c>
      <c r="D319" s="41" t="s">
        <v>86</v>
      </c>
      <c r="E319" s="41" t="s">
        <v>23</v>
      </c>
      <c r="F319" s="41">
        <v>0</v>
      </c>
      <c r="G319" s="41">
        <v>31.5</v>
      </c>
      <c r="H319" s="46">
        <f t="shared" si="18"/>
        <v>0</v>
      </c>
      <c r="I319" s="41"/>
    </row>
    <row r="320" ht="18.95" customHeight="1" spans="1:9">
      <c r="A320" s="40"/>
      <c r="B320" s="45" t="s">
        <v>89</v>
      </c>
      <c r="C320" s="41" t="s">
        <v>173</v>
      </c>
      <c r="D320" s="41" t="s">
        <v>91</v>
      </c>
      <c r="E320" s="41" t="s">
        <v>23</v>
      </c>
      <c r="F320" s="41">
        <v>232</v>
      </c>
      <c r="G320" s="17">
        <v>125.33</v>
      </c>
      <c r="H320" s="46">
        <f t="shared" si="18"/>
        <v>29076.56</v>
      </c>
      <c r="I320" s="41"/>
    </row>
    <row r="321" customHeight="1" spans="1:9">
      <c r="A321" s="40"/>
      <c r="B321" s="45" t="s">
        <v>89</v>
      </c>
      <c r="C321" s="41" t="s">
        <v>90</v>
      </c>
      <c r="D321" s="41" t="s">
        <v>91</v>
      </c>
      <c r="E321" s="41" t="s">
        <v>23</v>
      </c>
      <c r="F321" s="41">
        <v>1095</v>
      </c>
      <c r="G321" s="17">
        <v>91.41</v>
      </c>
      <c r="H321" s="46">
        <f t="shared" si="18"/>
        <v>100093.95</v>
      </c>
      <c r="I321" s="41"/>
    </row>
    <row r="322" customHeight="1" spans="1:9">
      <c r="A322" s="40"/>
      <c r="B322" s="45" t="s">
        <v>89</v>
      </c>
      <c r="C322" s="41" t="s">
        <v>92</v>
      </c>
      <c r="D322" s="41" t="s">
        <v>91</v>
      </c>
      <c r="E322" s="41" t="s">
        <v>23</v>
      </c>
      <c r="F322" s="41">
        <v>2460</v>
      </c>
      <c r="G322" s="17">
        <v>77.13</v>
      </c>
      <c r="H322" s="46">
        <f t="shared" si="18"/>
        <v>189739.8</v>
      </c>
      <c r="I322" s="41"/>
    </row>
    <row r="323" ht="18.95" customHeight="1" spans="1:9">
      <c r="A323" s="40"/>
      <c r="B323" s="45" t="s">
        <v>93</v>
      </c>
      <c r="C323" s="41" t="s">
        <v>94</v>
      </c>
      <c r="D323" s="41" t="s">
        <v>95</v>
      </c>
      <c r="E323" s="41" t="s">
        <v>96</v>
      </c>
      <c r="F323" s="41">
        <v>4</v>
      </c>
      <c r="G323" s="41">
        <v>112.63</v>
      </c>
      <c r="H323" s="46">
        <f t="shared" si="18"/>
        <v>450.52</v>
      </c>
      <c r="I323" s="41" t="s">
        <v>97</v>
      </c>
    </row>
    <row r="324" customHeight="1" spans="1:9">
      <c r="A324" s="40"/>
      <c r="B324" s="45" t="s">
        <v>93</v>
      </c>
      <c r="C324" s="41" t="s">
        <v>98</v>
      </c>
      <c r="D324" s="41" t="s">
        <v>95</v>
      </c>
      <c r="E324" s="41" t="s">
        <v>96</v>
      </c>
      <c r="F324" s="41">
        <v>20</v>
      </c>
      <c r="G324" s="41">
        <v>56.95</v>
      </c>
      <c r="H324" s="46">
        <f t="shared" si="18"/>
        <v>1139</v>
      </c>
      <c r="I324" s="41" t="s">
        <v>97</v>
      </c>
    </row>
    <row r="325" customHeight="1" spans="1:9">
      <c r="A325" s="40"/>
      <c r="B325" s="45" t="s">
        <v>100</v>
      </c>
      <c r="C325" s="41" t="s">
        <v>101</v>
      </c>
      <c r="D325" s="41" t="s">
        <v>91</v>
      </c>
      <c r="E325" s="41" t="s">
        <v>96</v>
      </c>
      <c r="F325" s="41">
        <v>264</v>
      </c>
      <c r="G325" s="17">
        <v>68.16</v>
      </c>
      <c r="H325" s="46">
        <f t="shared" si="18"/>
        <v>17994.24</v>
      </c>
      <c r="I325" s="41"/>
    </row>
    <row r="326" ht="18.95" customHeight="1" spans="1:17">
      <c r="A326" s="40"/>
      <c r="B326" s="45" t="s">
        <v>100</v>
      </c>
      <c r="C326" s="41" t="s">
        <v>98</v>
      </c>
      <c r="D326" s="41" t="s">
        <v>91</v>
      </c>
      <c r="E326" s="41" t="s">
        <v>96</v>
      </c>
      <c r="F326" s="41">
        <v>64</v>
      </c>
      <c r="G326" s="17">
        <v>132.78</v>
      </c>
      <c r="H326" s="46">
        <f t="shared" si="18"/>
        <v>8497.92</v>
      </c>
      <c r="I326" s="41"/>
      <c r="J326" s="56">
        <f t="shared" ref="J326" si="19">H326/$H$69</f>
        <v>0.00855266847122551</v>
      </c>
      <c r="K326" s="55"/>
      <c r="L326" s="55"/>
      <c r="M326" s="55"/>
      <c r="N326" s="55"/>
      <c r="O326" s="55"/>
      <c r="P326" s="55"/>
      <c r="Q326" s="55"/>
    </row>
    <row r="327" customHeight="1" spans="1:9">
      <c r="A327" s="40"/>
      <c r="B327" s="45" t="s">
        <v>103</v>
      </c>
      <c r="C327" s="41" t="s">
        <v>104</v>
      </c>
      <c r="D327" s="41" t="s">
        <v>91</v>
      </c>
      <c r="E327" s="41" t="s">
        <v>96</v>
      </c>
      <c r="F327" s="41">
        <v>32</v>
      </c>
      <c r="G327" s="17">
        <v>290.02</v>
      </c>
      <c r="H327" s="46">
        <f t="shared" si="18"/>
        <v>9280.64</v>
      </c>
      <c r="I327" s="41"/>
    </row>
    <row r="328" customHeight="1" spans="1:9">
      <c r="A328" s="40"/>
      <c r="B328" s="45" t="s">
        <v>103</v>
      </c>
      <c r="C328" s="41" t="s">
        <v>106</v>
      </c>
      <c r="D328" s="41" t="s">
        <v>91</v>
      </c>
      <c r="E328" s="41" t="s">
        <v>96</v>
      </c>
      <c r="F328" s="41">
        <v>132</v>
      </c>
      <c r="G328" s="41">
        <v>127.06</v>
      </c>
      <c r="H328" s="46">
        <f t="shared" si="18"/>
        <v>16771.92</v>
      </c>
      <c r="I328" s="41"/>
    </row>
    <row r="329" customHeight="1" spans="1:9">
      <c r="A329" s="40"/>
      <c r="B329" s="45" t="s">
        <v>108</v>
      </c>
      <c r="C329" s="41" t="s">
        <v>101</v>
      </c>
      <c r="D329" s="41" t="s">
        <v>91</v>
      </c>
      <c r="E329" s="41" t="s">
        <v>96</v>
      </c>
      <c r="F329" s="41">
        <v>20</v>
      </c>
      <c r="G329" s="41">
        <v>55</v>
      </c>
      <c r="H329" s="46">
        <f t="shared" si="18"/>
        <v>1100</v>
      </c>
      <c r="I329" s="41"/>
    </row>
    <row r="330" ht="18.95" customHeight="1" spans="1:9">
      <c r="A330" s="40"/>
      <c r="B330" s="45" t="s">
        <v>108</v>
      </c>
      <c r="C330" s="41" t="s">
        <v>98</v>
      </c>
      <c r="D330" s="41" t="s">
        <v>91</v>
      </c>
      <c r="E330" s="41" t="s">
        <v>96</v>
      </c>
      <c r="F330" s="41">
        <v>4</v>
      </c>
      <c r="G330" s="17">
        <v>85</v>
      </c>
      <c r="H330" s="46">
        <f t="shared" si="18"/>
        <v>340</v>
      </c>
      <c r="I330" s="41"/>
    </row>
    <row r="331" customHeight="1" spans="1:9">
      <c r="A331" s="40"/>
      <c r="B331" s="45" t="s">
        <v>111</v>
      </c>
      <c r="C331" s="41" t="s">
        <v>178</v>
      </c>
      <c r="D331" s="41"/>
      <c r="E331" s="41" t="s">
        <v>96</v>
      </c>
      <c r="F331" s="41">
        <v>3</v>
      </c>
      <c r="G331" s="41">
        <v>98.97</v>
      </c>
      <c r="H331" s="46">
        <f t="shared" si="18"/>
        <v>296.91</v>
      </c>
      <c r="I331" s="41"/>
    </row>
    <row r="332" customHeight="1" spans="1:9">
      <c r="A332" s="40"/>
      <c r="B332" s="45" t="s">
        <v>111</v>
      </c>
      <c r="C332" s="41" t="s">
        <v>117</v>
      </c>
      <c r="D332" s="41"/>
      <c r="E332" s="41" t="s">
        <v>96</v>
      </c>
      <c r="F332" s="41">
        <v>5</v>
      </c>
      <c r="G332" s="41">
        <v>98.97</v>
      </c>
      <c r="H332" s="46">
        <f t="shared" si="18"/>
        <v>494.85</v>
      </c>
      <c r="I332" s="41"/>
    </row>
    <row r="333" customHeight="1" spans="1:9">
      <c r="A333" s="40"/>
      <c r="B333" s="45" t="s">
        <v>111</v>
      </c>
      <c r="C333" s="41" t="s">
        <v>113</v>
      </c>
      <c r="D333" s="41"/>
      <c r="E333" s="41" t="s">
        <v>96</v>
      </c>
      <c r="F333" s="41">
        <v>6</v>
      </c>
      <c r="G333" s="41">
        <v>94.07</v>
      </c>
      <c r="H333" s="46">
        <f t="shared" si="18"/>
        <v>564.42</v>
      </c>
      <c r="I333" s="41"/>
    </row>
    <row r="334" customHeight="1" spans="1:9">
      <c r="A334" s="40"/>
      <c r="B334" s="45" t="s">
        <v>111</v>
      </c>
      <c r="C334" s="41" t="s">
        <v>197</v>
      </c>
      <c r="D334" s="41"/>
      <c r="E334" s="41" t="s">
        <v>96</v>
      </c>
      <c r="F334" s="41">
        <v>4</v>
      </c>
      <c r="G334" s="41">
        <v>85.5</v>
      </c>
      <c r="H334" s="46">
        <f t="shared" si="18"/>
        <v>342</v>
      </c>
      <c r="I334" s="41"/>
    </row>
    <row r="335" customHeight="1" spans="1:9">
      <c r="A335" s="40"/>
      <c r="B335" s="45" t="s">
        <v>198</v>
      </c>
      <c r="C335" s="41" t="s">
        <v>178</v>
      </c>
      <c r="D335" s="41"/>
      <c r="E335" s="41" t="s">
        <v>96</v>
      </c>
      <c r="F335" s="45">
        <v>2</v>
      </c>
      <c r="G335" s="45">
        <v>99.52</v>
      </c>
      <c r="H335" s="46">
        <f t="shared" si="18"/>
        <v>199.04</v>
      </c>
      <c r="I335" s="41"/>
    </row>
    <row r="336" customHeight="1" spans="1:9">
      <c r="A336" s="40"/>
      <c r="B336" s="45" t="s">
        <v>198</v>
      </c>
      <c r="C336" s="41" t="s">
        <v>113</v>
      </c>
      <c r="D336" s="41"/>
      <c r="E336" s="41" t="s">
        <v>96</v>
      </c>
      <c r="F336" s="45">
        <v>2</v>
      </c>
      <c r="G336" s="45">
        <v>98.43</v>
      </c>
      <c r="H336" s="46">
        <f t="shared" si="18"/>
        <v>196.86</v>
      </c>
      <c r="I336" s="41"/>
    </row>
    <row r="337" ht="18.95" customHeight="1" spans="1:9">
      <c r="A337" s="40"/>
      <c r="B337" s="45" t="s">
        <v>118</v>
      </c>
      <c r="C337" s="41" t="s">
        <v>179</v>
      </c>
      <c r="D337" s="41"/>
      <c r="E337" s="41" t="s">
        <v>96</v>
      </c>
      <c r="F337" s="45">
        <v>4</v>
      </c>
      <c r="G337" s="17">
        <v>91.72</v>
      </c>
      <c r="H337" s="46">
        <f t="shared" si="18"/>
        <v>366.88</v>
      </c>
      <c r="I337" s="41"/>
    </row>
    <row r="338" ht="18.95" customHeight="1" spans="1:9">
      <c r="A338" s="40"/>
      <c r="B338" s="45" t="s">
        <v>118</v>
      </c>
      <c r="C338" s="41" t="s">
        <v>120</v>
      </c>
      <c r="D338" s="41"/>
      <c r="E338" s="41" t="s">
        <v>96</v>
      </c>
      <c r="F338" s="45">
        <v>6</v>
      </c>
      <c r="G338" s="17">
        <v>83.94</v>
      </c>
      <c r="H338" s="46">
        <f t="shared" si="18"/>
        <v>503.64</v>
      </c>
      <c r="I338" s="41"/>
    </row>
    <row r="339" customHeight="1" spans="1:9">
      <c r="A339" s="40"/>
      <c r="B339" s="45" t="s">
        <v>122</v>
      </c>
      <c r="C339" s="41" t="s">
        <v>179</v>
      </c>
      <c r="D339" s="41"/>
      <c r="E339" s="41" t="s">
        <v>96</v>
      </c>
      <c r="F339" s="45">
        <v>8</v>
      </c>
      <c r="G339" s="45">
        <v>101.7</v>
      </c>
      <c r="H339" s="46">
        <f t="shared" si="18"/>
        <v>813.6</v>
      </c>
      <c r="I339" s="41"/>
    </row>
    <row r="340" customHeight="1" spans="1:9">
      <c r="A340" s="40"/>
      <c r="B340" s="45" t="s">
        <v>122</v>
      </c>
      <c r="C340" s="41" t="s">
        <v>119</v>
      </c>
      <c r="D340" s="41"/>
      <c r="E340" s="41" t="s">
        <v>96</v>
      </c>
      <c r="F340" s="45">
        <v>5</v>
      </c>
      <c r="G340" s="45">
        <v>96.25</v>
      </c>
      <c r="H340" s="46">
        <f t="shared" si="18"/>
        <v>481.25</v>
      </c>
      <c r="I340" s="41"/>
    </row>
    <row r="341" customHeight="1" spans="1:9">
      <c r="A341" s="40"/>
      <c r="B341" s="45" t="s">
        <v>122</v>
      </c>
      <c r="C341" s="41" t="s">
        <v>120</v>
      </c>
      <c r="D341" s="41"/>
      <c r="E341" s="41" t="s">
        <v>96</v>
      </c>
      <c r="F341" s="45">
        <v>25</v>
      </c>
      <c r="G341" s="45">
        <v>94.07</v>
      </c>
      <c r="H341" s="46">
        <f t="shared" si="18"/>
        <v>2351.75</v>
      </c>
      <c r="I341" s="41"/>
    </row>
    <row r="342" customHeight="1" spans="1:9">
      <c r="A342" s="40"/>
      <c r="B342" s="45" t="s">
        <v>122</v>
      </c>
      <c r="C342" s="41" t="s">
        <v>214</v>
      </c>
      <c r="D342" s="41"/>
      <c r="E342" s="41" t="s">
        <v>96</v>
      </c>
      <c r="F342" s="45"/>
      <c r="G342" s="45">
        <v>55</v>
      </c>
      <c r="H342" s="46">
        <f t="shared" si="18"/>
        <v>0</v>
      </c>
      <c r="I342" s="41"/>
    </row>
    <row r="343" ht="18.95" customHeight="1" spans="1:9">
      <c r="A343" s="40"/>
      <c r="B343" s="45" t="s">
        <v>123</v>
      </c>
      <c r="C343" s="41" t="s">
        <v>124</v>
      </c>
      <c r="D343" s="41"/>
      <c r="E343" s="41" t="s">
        <v>96</v>
      </c>
      <c r="F343" s="41">
        <v>4</v>
      </c>
      <c r="G343" s="17">
        <v>263.71</v>
      </c>
      <c r="H343" s="46">
        <f t="shared" si="18"/>
        <v>1054.84</v>
      </c>
      <c r="I343" s="41"/>
    </row>
    <row r="344" customHeight="1" spans="1:9">
      <c r="A344" s="40"/>
      <c r="B344" s="45" t="s">
        <v>123</v>
      </c>
      <c r="C344" s="41" t="s">
        <v>125</v>
      </c>
      <c r="D344" s="41"/>
      <c r="E344" s="41" t="s">
        <v>96</v>
      </c>
      <c r="F344" s="41">
        <v>21</v>
      </c>
      <c r="G344" s="41">
        <v>182.55</v>
      </c>
      <c r="H344" s="46">
        <f t="shared" si="18"/>
        <v>3833.55</v>
      </c>
      <c r="I344" s="41"/>
    </row>
    <row r="345" customHeight="1" spans="1:9">
      <c r="A345" s="40"/>
      <c r="B345" s="45" t="s">
        <v>127</v>
      </c>
      <c r="C345" s="41" t="s">
        <v>101</v>
      </c>
      <c r="D345" s="41"/>
      <c r="E345" s="41" t="s">
        <v>96</v>
      </c>
      <c r="F345" s="41">
        <v>20</v>
      </c>
      <c r="G345" s="41">
        <f>G40</f>
        <v>1682.16</v>
      </c>
      <c r="H345" s="46">
        <f t="shared" si="18"/>
        <v>33643.2</v>
      </c>
      <c r="I345" s="41"/>
    </row>
    <row r="346" ht="18.95" customHeight="1" spans="1:9">
      <c r="A346" s="40"/>
      <c r="B346" s="45" t="s">
        <v>127</v>
      </c>
      <c r="C346" s="41" t="s">
        <v>98</v>
      </c>
      <c r="D346" s="41"/>
      <c r="E346" s="41" t="s">
        <v>96</v>
      </c>
      <c r="F346" s="41">
        <v>4</v>
      </c>
      <c r="G346" s="17">
        <v>2874.81</v>
      </c>
      <c r="H346" s="46">
        <f t="shared" si="18"/>
        <v>11499.24</v>
      </c>
      <c r="I346" s="41"/>
    </row>
    <row r="347" customHeight="1" spans="1:9">
      <c r="A347" s="40"/>
      <c r="B347" s="45" t="s">
        <v>128</v>
      </c>
      <c r="C347" s="41" t="s">
        <v>199</v>
      </c>
      <c r="D347" s="41"/>
      <c r="E347" s="41" t="s">
        <v>130</v>
      </c>
      <c r="F347" s="41">
        <v>1</v>
      </c>
      <c r="G347" s="41">
        <f>G282</f>
        <v>24974.08</v>
      </c>
      <c r="H347" s="46">
        <f t="shared" si="18"/>
        <v>24974.08</v>
      </c>
      <c r="I347" s="41"/>
    </row>
    <row r="348" customHeight="1" spans="1:9">
      <c r="A348" s="40"/>
      <c r="B348" s="45" t="s">
        <v>131</v>
      </c>
      <c r="C348" s="41"/>
      <c r="D348" s="41"/>
      <c r="E348" s="41" t="s">
        <v>130</v>
      </c>
      <c r="F348" s="41">
        <v>1</v>
      </c>
      <c r="G348" s="41">
        <v>1220</v>
      </c>
      <c r="H348" s="46">
        <f t="shared" si="18"/>
        <v>1220</v>
      </c>
      <c r="I348" s="41"/>
    </row>
    <row r="349" customHeight="1" spans="1:9">
      <c r="A349" s="40"/>
      <c r="B349" s="45" t="s">
        <v>135</v>
      </c>
      <c r="C349" s="40" t="s">
        <v>136</v>
      </c>
      <c r="D349" s="41"/>
      <c r="E349" s="41" t="s">
        <v>137</v>
      </c>
      <c r="F349" s="41">
        <v>12</v>
      </c>
      <c r="G349" s="51">
        <f>0.04*7.85*4*5.5*1.45</f>
        <v>10.0166</v>
      </c>
      <c r="H349" s="46">
        <f t="shared" ref="H349:H352" si="20">F349*G349</f>
        <v>120.1992</v>
      </c>
      <c r="I349" s="58"/>
    </row>
    <row r="350" customHeight="1" spans="1:9">
      <c r="A350" s="40"/>
      <c r="B350" s="45" t="s">
        <v>138</v>
      </c>
      <c r="C350" s="41" t="s">
        <v>139</v>
      </c>
      <c r="D350" s="41"/>
      <c r="E350" s="41" t="s">
        <v>140</v>
      </c>
      <c r="F350" s="41">
        <v>4</v>
      </c>
      <c r="G350" s="51">
        <f>3.77*5.5*1.45</f>
        <v>30.06575</v>
      </c>
      <c r="H350" s="46">
        <f t="shared" si="20"/>
        <v>120.263</v>
      </c>
      <c r="I350" s="58" t="s">
        <v>141</v>
      </c>
    </row>
    <row r="351" customHeight="1" spans="1:9">
      <c r="A351" s="40"/>
      <c r="B351" s="45" t="s">
        <v>142</v>
      </c>
      <c r="C351" s="41" t="s">
        <v>98</v>
      </c>
      <c r="D351" s="41" t="s">
        <v>95</v>
      </c>
      <c r="E351" s="41" t="s">
        <v>137</v>
      </c>
      <c r="F351" s="41">
        <v>14</v>
      </c>
      <c r="G351" s="17">
        <v>125.33</v>
      </c>
      <c r="H351" s="46">
        <f t="shared" si="20"/>
        <v>1754.62</v>
      </c>
      <c r="I351" s="41"/>
    </row>
    <row r="352" customHeight="1" spans="1:9">
      <c r="A352" s="40"/>
      <c r="B352" s="45" t="s">
        <v>143</v>
      </c>
      <c r="C352" s="41" t="s">
        <v>144</v>
      </c>
      <c r="D352" s="41"/>
      <c r="E352" s="41" t="s">
        <v>137</v>
      </c>
      <c r="F352" s="41">
        <v>2</v>
      </c>
      <c r="G352" s="41">
        <v>12.6</v>
      </c>
      <c r="H352" s="46">
        <f t="shared" si="20"/>
        <v>25.2</v>
      </c>
      <c r="I352" s="41"/>
    </row>
    <row r="353" customHeight="1" spans="1:9">
      <c r="A353" s="40"/>
      <c r="B353" s="45" t="s">
        <v>132</v>
      </c>
      <c r="C353" s="41"/>
      <c r="D353" s="41"/>
      <c r="E353" s="41" t="s">
        <v>23</v>
      </c>
      <c r="F353" s="41">
        <v>730</v>
      </c>
      <c r="G353" s="41">
        <f>G44</f>
        <v>3.79</v>
      </c>
      <c r="H353" s="46">
        <f t="shared" si="18"/>
        <v>2766.7</v>
      </c>
      <c r="I353" s="41"/>
    </row>
    <row r="354" customHeight="1" spans="1:9">
      <c r="A354" s="40"/>
      <c r="B354" s="45" t="s">
        <v>133</v>
      </c>
      <c r="C354" s="41"/>
      <c r="D354" s="41"/>
      <c r="E354" s="41" t="s">
        <v>23</v>
      </c>
      <c r="F354" s="41">
        <v>730</v>
      </c>
      <c r="G354" s="41">
        <v>29.46</v>
      </c>
      <c r="H354" s="46">
        <f t="shared" si="18"/>
        <v>21505.8</v>
      </c>
      <c r="I354" s="41"/>
    </row>
    <row r="355" customHeight="1" spans="1:9">
      <c r="A355" s="40"/>
      <c r="B355" s="45" t="s">
        <v>134</v>
      </c>
      <c r="C355" s="41" t="s">
        <v>101</v>
      </c>
      <c r="D355" s="41"/>
      <c r="E355" s="41" t="s">
        <v>96</v>
      </c>
      <c r="F355" s="41">
        <v>219</v>
      </c>
      <c r="G355" s="17">
        <v>109.75</v>
      </c>
      <c r="H355" s="46">
        <f t="shared" si="18"/>
        <v>24035.25</v>
      </c>
      <c r="I355" s="41"/>
    </row>
    <row r="356" customHeight="1" spans="1:9">
      <c r="A356" s="40"/>
      <c r="B356" s="45" t="s">
        <v>134</v>
      </c>
      <c r="C356" s="41" t="s">
        <v>98</v>
      </c>
      <c r="D356" s="41"/>
      <c r="E356" s="41" t="s">
        <v>96</v>
      </c>
      <c r="F356" s="41">
        <v>36</v>
      </c>
      <c r="G356" s="17">
        <v>125.57</v>
      </c>
      <c r="H356" s="46">
        <f t="shared" si="18"/>
        <v>4520.52</v>
      </c>
      <c r="I356" s="41"/>
    </row>
    <row r="357" customHeight="1" spans="1:9">
      <c r="A357" s="40"/>
      <c r="B357" s="45" t="s">
        <v>135</v>
      </c>
      <c r="C357" s="40" t="s">
        <v>136</v>
      </c>
      <c r="D357" s="41"/>
      <c r="E357" s="41" t="s">
        <v>137</v>
      </c>
      <c r="F357" s="41">
        <v>1100</v>
      </c>
      <c r="G357" s="51">
        <f>0.04*7.85*4*5.5*1.45</f>
        <v>10.0166</v>
      </c>
      <c r="H357" s="46">
        <f t="shared" si="18"/>
        <v>11018.26</v>
      </c>
      <c r="I357" s="58"/>
    </row>
    <row r="358" customHeight="1" spans="1:9">
      <c r="A358" s="40"/>
      <c r="B358" s="45" t="s">
        <v>138</v>
      </c>
      <c r="C358" s="41" t="s">
        <v>139</v>
      </c>
      <c r="D358" s="41"/>
      <c r="E358" s="41" t="s">
        <v>140</v>
      </c>
      <c r="F358" s="41">
        <v>24</v>
      </c>
      <c r="G358" s="51">
        <f>3.77*5.5*1.45</f>
        <v>30.06575</v>
      </c>
      <c r="H358" s="46">
        <f t="shared" si="18"/>
        <v>721.578</v>
      </c>
      <c r="I358" s="58" t="s">
        <v>141</v>
      </c>
    </row>
    <row r="359" customHeight="1" spans="1:9">
      <c r="A359" s="40"/>
      <c r="B359" s="45" t="s">
        <v>142</v>
      </c>
      <c r="C359" s="41" t="s">
        <v>101</v>
      </c>
      <c r="D359" s="41" t="s">
        <v>95</v>
      </c>
      <c r="E359" s="41" t="s">
        <v>137</v>
      </c>
      <c r="F359" s="41">
        <v>20</v>
      </c>
      <c r="G359" s="41">
        <v>91.41</v>
      </c>
      <c r="H359" s="46">
        <f t="shared" ref="H359" si="21">F359*G359</f>
        <v>1828.2</v>
      </c>
      <c r="I359" s="41"/>
    </row>
    <row r="360" customHeight="1" spans="1:9">
      <c r="A360" s="40"/>
      <c r="B360" s="45" t="s">
        <v>143</v>
      </c>
      <c r="C360" s="41" t="s">
        <v>144</v>
      </c>
      <c r="D360" s="41"/>
      <c r="E360" s="41" t="s">
        <v>137</v>
      </c>
      <c r="F360" s="41">
        <v>11</v>
      </c>
      <c r="G360" s="41">
        <v>12.6</v>
      </c>
      <c r="H360" s="46">
        <f t="shared" si="18"/>
        <v>138.6</v>
      </c>
      <c r="I360" s="41"/>
    </row>
    <row r="361" customHeight="1" spans="1:9">
      <c r="A361" s="40"/>
      <c r="B361" s="45" t="s">
        <v>205</v>
      </c>
      <c r="C361" s="41" t="s">
        <v>146</v>
      </c>
      <c r="D361" s="41" t="s">
        <v>147</v>
      </c>
      <c r="E361" s="41" t="s">
        <v>148</v>
      </c>
      <c r="F361" s="41">
        <v>731</v>
      </c>
      <c r="G361" s="41">
        <v>501.96</v>
      </c>
      <c r="H361" s="46">
        <f t="shared" si="18"/>
        <v>366932.76</v>
      </c>
      <c r="I361" s="41" t="s">
        <v>206</v>
      </c>
    </row>
    <row r="362" customHeight="1" spans="1:9">
      <c r="A362" s="40"/>
      <c r="B362" s="45" t="s">
        <v>151</v>
      </c>
      <c r="C362" s="41"/>
      <c r="D362" s="41"/>
      <c r="E362" s="41" t="s">
        <v>96</v>
      </c>
      <c r="F362" s="41">
        <f>F361*2</f>
        <v>1462</v>
      </c>
      <c r="G362" s="41">
        <v>18.45</v>
      </c>
      <c r="H362" s="46">
        <f t="shared" si="18"/>
        <v>26973.9</v>
      </c>
      <c r="I362" s="41"/>
    </row>
    <row r="363" customHeight="1" spans="1:9">
      <c r="A363" s="40"/>
      <c r="B363" s="45" t="s">
        <v>152</v>
      </c>
      <c r="C363" s="41"/>
      <c r="D363" s="41"/>
      <c r="E363" s="41" t="s">
        <v>96</v>
      </c>
      <c r="F363" s="41">
        <f>F361</f>
        <v>731</v>
      </c>
      <c r="G363" s="41">
        <v>358</v>
      </c>
      <c r="H363" s="46">
        <f t="shared" si="18"/>
        <v>261698</v>
      </c>
      <c r="I363" s="41"/>
    </row>
    <row r="364" customHeight="1" spans="1:9">
      <c r="A364" s="40"/>
      <c r="B364" s="45" t="s">
        <v>150</v>
      </c>
      <c r="C364" s="41"/>
      <c r="D364" s="41"/>
      <c r="E364" s="41" t="s">
        <v>137</v>
      </c>
      <c r="F364" s="41">
        <f>F361</f>
        <v>731</v>
      </c>
      <c r="G364" s="41">
        <v>30.25</v>
      </c>
      <c r="H364" s="46">
        <f t="shared" si="18"/>
        <v>22112.75</v>
      </c>
      <c r="I364" s="58"/>
    </row>
    <row r="365" customHeight="1" spans="1:9">
      <c r="A365" s="40"/>
      <c r="B365" s="45" t="s">
        <v>207</v>
      </c>
      <c r="C365" s="41"/>
      <c r="D365" s="41"/>
      <c r="E365" s="41" t="s">
        <v>96</v>
      </c>
      <c r="F365" s="41">
        <f>F361*2</f>
        <v>1462</v>
      </c>
      <c r="G365" s="41">
        <f>G58</f>
        <v>89.38</v>
      </c>
      <c r="H365" s="46">
        <f t="shared" si="18"/>
        <v>130673.56</v>
      </c>
      <c r="I365" s="58"/>
    </row>
    <row r="366" customHeight="1" spans="1:9">
      <c r="A366" s="40"/>
      <c r="B366" s="45" t="s">
        <v>208</v>
      </c>
      <c r="C366" s="40"/>
      <c r="D366" s="41"/>
      <c r="E366" s="41" t="s">
        <v>96</v>
      </c>
      <c r="F366" s="41">
        <f>F361</f>
        <v>731</v>
      </c>
      <c r="G366" s="41">
        <f>G59</f>
        <v>111.4</v>
      </c>
      <c r="H366" s="46">
        <f t="shared" si="18"/>
        <v>81433.4</v>
      </c>
      <c r="I366" s="58"/>
    </row>
    <row r="367" customHeight="1" spans="1:9">
      <c r="A367" s="40"/>
      <c r="B367" s="45" t="s">
        <v>209</v>
      </c>
      <c r="C367" s="41"/>
      <c r="D367" s="41"/>
      <c r="E367" s="41" t="s">
        <v>96</v>
      </c>
      <c r="F367" s="41">
        <f>F361*3</f>
        <v>2193</v>
      </c>
      <c r="G367" s="41">
        <v>49.43</v>
      </c>
      <c r="H367" s="46">
        <f t="shared" si="18"/>
        <v>108399.99</v>
      </c>
      <c r="I367" s="58"/>
    </row>
    <row r="368" customHeight="1" spans="1:9">
      <c r="A368" s="40"/>
      <c r="B368" s="45" t="s">
        <v>210</v>
      </c>
      <c r="C368" s="41"/>
      <c r="D368" s="41" t="s">
        <v>91</v>
      </c>
      <c r="E368" s="41" t="s">
        <v>96</v>
      </c>
      <c r="F368" s="41">
        <f>F361*3</f>
        <v>2193</v>
      </c>
      <c r="G368" s="41">
        <v>4.2</v>
      </c>
      <c r="H368" s="46">
        <f t="shared" si="18"/>
        <v>9210.6</v>
      </c>
      <c r="I368" s="58"/>
    </row>
    <row r="369" customHeight="1" spans="1:9">
      <c r="A369" s="40"/>
      <c r="B369" s="45" t="s">
        <v>211</v>
      </c>
      <c r="C369" s="41"/>
      <c r="D369" s="41" t="s">
        <v>91</v>
      </c>
      <c r="E369" s="41" t="s">
        <v>96</v>
      </c>
      <c r="F369" s="41">
        <f>F361*2</f>
        <v>1462</v>
      </c>
      <c r="G369" s="41">
        <v>3.85</v>
      </c>
      <c r="H369" s="46">
        <f t="shared" si="18"/>
        <v>5628.7</v>
      </c>
      <c r="I369" s="58"/>
    </row>
    <row r="370" customHeight="1" spans="1:9">
      <c r="A370" s="40"/>
      <c r="B370" s="45" t="s">
        <v>212</v>
      </c>
      <c r="C370" s="41"/>
      <c r="D370" s="41" t="s">
        <v>91</v>
      </c>
      <c r="E370" s="41" t="s">
        <v>96</v>
      </c>
      <c r="F370" s="41">
        <f>F361</f>
        <v>731</v>
      </c>
      <c r="G370" s="41">
        <v>25.14</v>
      </c>
      <c r="H370" s="46">
        <f t="shared" si="18"/>
        <v>18377.34</v>
      </c>
      <c r="I370" s="58"/>
    </row>
    <row r="371" customHeight="1" spans="1:9">
      <c r="A371" s="40"/>
      <c r="B371" s="71" t="s">
        <v>162</v>
      </c>
      <c r="C371" s="72"/>
      <c r="D371" s="72" t="s">
        <v>91</v>
      </c>
      <c r="E371" s="72" t="s">
        <v>96</v>
      </c>
      <c r="F371" s="72">
        <f>F361*2</f>
        <v>1462</v>
      </c>
      <c r="G371" s="41">
        <v>85.5</v>
      </c>
      <c r="H371" s="46">
        <f t="shared" si="18"/>
        <v>125001</v>
      </c>
      <c r="I371" s="76"/>
    </row>
    <row r="372" s="2" customFormat="1" ht="18.75" customHeight="1" spans="1:14">
      <c r="A372" s="40"/>
      <c r="B372" s="68" t="s">
        <v>163</v>
      </c>
      <c r="C372" s="16"/>
      <c r="D372" s="16"/>
      <c r="E372" s="9" t="s">
        <v>164</v>
      </c>
      <c r="F372" s="17">
        <f>730*(0.9*2.1)</f>
        <v>1379.7</v>
      </c>
      <c r="G372" s="17">
        <f>G65</f>
        <v>14.43</v>
      </c>
      <c r="H372" s="18">
        <f t="shared" si="18"/>
        <v>19909.071</v>
      </c>
      <c r="I372" s="16"/>
      <c r="L372" s="25"/>
      <c r="N372" s="5"/>
    </row>
    <row r="373" s="2" customFormat="1" ht="18.75" customHeight="1" spans="1:14">
      <c r="A373" s="40"/>
      <c r="B373" s="68" t="s">
        <v>165</v>
      </c>
      <c r="C373" s="16"/>
      <c r="D373" s="16"/>
      <c r="E373" s="9" t="s">
        <v>164</v>
      </c>
      <c r="F373" s="17">
        <f>730*(0.9*1.8)</f>
        <v>1182.6</v>
      </c>
      <c r="G373" s="17">
        <f>G66</f>
        <v>14.49</v>
      </c>
      <c r="H373" s="18">
        <f t="shared" si="18"/>
        <v>17135.874</v>
      </c>
      <c r="I373" s="16"/>
      <c r="L373" s="25"/>
      <c r="N373" s="5"/>
    </row>
    <row r="374" s="2" customFormat="1" ht="18.75" customHeight="1" spans="1:14">
      <c r="A374" s="40"/>
      <c r="B374" s="68" t="s">
        <v>166</v>
      </c>
      <c r="C374" s="16"/>
      <c r="D374" s="16"/>
      <c r="E374" s="9" t="s">
        <v>164</v>
      </c>
      <c r="F374" s="17">
        <f>730*(0.9*0.2)</f>
        <v>131.4</v>
      </c>
      <c r="G374" s="17">
        <f>G67</f>
        <v>16.87</v>
      </c>
      <c r="H374" s="18">
        <f t="shared" si="18"/>
        <v>2216.718</v>
      </c>
      <c r="I374" s="16"/>
      <c r="L374" s="25"/>
      <c r="N374" s="5"/>
    </row>
    <row r="375" s="2" customFormat="1" ht="18.75" customHeight="1" spans="1:14">
      <c r="A375" s="40"/>
      <c r="B375" s="68" t="s">
        <v>167</v>
      </c>
      <c r="C375" s="16"/>
      <c r="D375" s="16"/>
      <c r="E375" s="9" t="s">
        <v>164</v>
      </c>
      <c r="F375" s="17">
        <f>730*(0.9*0.2)</f>
        <v>131.4</v>
      </c>
      <c r="G375" s="17">
        <v>209.39</v>
      </c>
      <c r="H375" s="18">
        <f t="shared" si="18"/>
        <v>27513.846</v>
      </c>
      <c r="I375" s="16"/>
      <c r="L375" s="25"/>
      <c r="N375" s="5"/>
    </row>
    <row r="376" ht="18.95" customHeight="1" spans="1:9">
      <c r="A376" s="40"/>
      <c r="B376" s="23" t="s">
        <v>168</v>
      </c>
      <c r="C376" s="41"/>
      <c r="D376" s="41"/>
      <c r="E376" s="41" t="s">
        <v>169</v>
      </c>
      <c r="F376" s="41"/>
      <c r="G376" s="41"/>
      <c r="H376" s="46">
        <f>SUM(H316:H375)</f>
        <v>1786467.3792</v>
      </c>
      <c r="I376" s="58"/>
    </row>
    <row r="377" customHeight="1" spans="1:9">
      <c r="A377" s="40">
        <v>7</v>
      </c>
      <c r="B377" s="53" t="s">
        <v>215</v>
      </c>
      <c r="C377" s="77"/>
      <c r="D377" s="77"/>
      <c r="E377" s="77"/>
      <c r="F377" s="77"/>
      <c r="G377" s="43"/>
      <c r="H377" s="43"/>
      <c r="I377" s="78"/>
    </row>
    <row r="378" customHeight="1" spans="1:9">
      <c r="A378" s="40"/>
      <c r="B378" s="45" t="s">
        <v>84</v>
      </c>
      <c r="C378" s="41" t="s">
        <v>171</v>
      </c>
      <c r="D378" s="41" t="s">
        <v>86</v>
      </c>
      <c r="E378" s="41" t="s">
        <v>23</v>
      </c>
      <c r="F378" s="41">
        <v>154</v>
      </c>
      <c r="G378" s="41">
        <v>78.32</v>
      </c>
      <c r="H378" s="46">
        <f t="shared" ref="H378:H432" si="22">F378*G378</f>
        <v>12061.28</v>
      </c>
      <c r="I378" s="79"/>
    </row>
    <row r="379" customHeight="1" spans="1:9">
      <c r="A379" s="40"/>
      <c r="B379" s="45" t="s">
        <v>84</v>
      </c>
      <c r="C379" s="41" t="s">
        <v>85</v>
      </c>
      <c r="D379" s="41" t="s">
        <v>86</v>
      </c>
      <c r="E379" s="41" t="s">
        <v>23</v>
      </c>
      <c r="F379" s="41">
        <v>93</v>
      </c>
      <c r="G379" s="17">
        <v>67.71</v>
      </c>
      <c r="H379" s="46">
        <f t="shared" si="22"/>
        <v>6297.03</v>
      </c>
      <c r="I379" s="79"/>
    </row>
    <row r="380" customHeight="1" spans="1:9">
      <c r="A380" s="40"/>
      <c r="B380" s="45" t="s">
        <v>84</v>
      </c>
      <c r="C380" s="41" t="s">
        <v>87</v>
      </c>
      <c r="D380" s="41" t="s">
        <v>86</v>
      </c>
      <c r="E380" s="41" t="s">
        <v>23</v>
      </c>
      <c r="F380" s="41">
        <v>483</v>
      </c>
      <c r="G380" s="41">
        <v>39.37</v>
      </c>
      <c r="H380" s="46">
        <f t="shared" si="22"/>
        <v>19015.71</v>
      </c>
      <c r="I380" s="79"/>
    </row>
    <row r="381" customHeight="1" spans="1:9">
      <c r="A381" s="40"/>
      <c r="B381" s="45" t="s">
        <v>89</v>
      </c>
      <c r="C381" s="41" t="s">
        <v>173</v>
      </c>
      <c r="D381" s="41" t="s">
        <v>91</v>
      </c>
      <c r="E381" s="41" t="s">
        <v>23</v>
      </c>
      <c r="F381" s="41">
        <v>232</v>
      </c>
      <c r="G381" s="17">
        <v>125.33</v>
      </c>
      <c r="H381" s="46">
        <f t="shared" si="22"/>
        <v>29076.56</v>
      </c>
      <c r="I381" s="79"/>
    </row>
    <row r="382" customHeight="1" spans="1:9">
      <c r="A382" s="40"/>
      <c r="B382" s="45" t="s">
        <v>89</v>
      </c>
      <c r="C382" s="41" t="s">
        <v>90</v>
      </c>
      <c r="D382" s="41" t="s">
        <v>91</v>
      </c>
      <c r="E382" s="41" t="s">
        <v>23</v>
      </c>
      <c r="F382" s="41">
        <v>1095</v>
      </c>
      <c r="G382" s="41">
        <v>91.41</v>
      </c>
      <c r="H382" s="46">
        <f t="shared" si="22"/>
        <v>100093.95</v>
      </c>
      <c r="I382" s="79"/>
    </row>
    <row r="383" customHeight="1" spans="1:9">
      <c r="A383" s="40"/>
      <c r="B383" s="45" t="s">
        <v>89</v>
      </c>
      <c r="C383" s="41" t="s">
        <v>92</v>
      </c>
      <c r="D383" s="41" t="s">
        <v>91</v>
      </c>
      <c r="E383" s="41" t="s">
        <v>23</v>
      </c>
      <c r="F383" s="41">
        <v>2460</v>
      </c>
      <c r="G383" s="17">
        <v>77.13</v>
      </c>
      <c r="H383" s="46">
        <f t="shared" si="22"/>
        <v>189739.8</v>
      </c>
      <c r="I383" s="79"/>
    </row>
    <row r="384" customHeight="1" spans="1:9">
      <c r="A384" s="40"/>
      <c r="B384" s="45" t="s">
        <v>93</v>
      </c>
      <c r="C384" s="41" t="s">
        <v>94</v>
      </c>
      <c r="D384" s="41" t="s">
        <v>95</v>
      </c>
      <c r="E384" s="41" t="s">
        <v>96</v>
      </c>
      <c r="F384" s="41">
        <v>4</v>
      </c>
      <c r="G384" s="41">
        <v>112.63</v>
      </c>
      <c r="H384" s="46">
        <f t="shared" si="22"/>
        <v>450.52</v>
      </c>
      <c r="I384" s="79" t="s">
        <v>97</v>
      </c>
    </row>
    <row r="385" customHeight="1" spans="1:9">
      <c r="A385" s="40"/>
      <c r="B385" s="45" t="s">
        <v>93</v>
      </c>
      <c r="C385" s="41" t="s">
        <v>98</v>
      </c>
      <c r="D385" s="41" t="s">
        <v>95</v>
      </c>
      <c r="E385" s="41" t="s">
        <v>96</v>
      </c>
      <c r="F385" s="41">
        <v>20</v>
      </c>
      <c r="G385" s="41">
        <v>56.95</v>
      </c>
      <c r="H385" s="46">
        <f t="shared" si="22"/>
        <v>1139</v>
      </c>
      <c r="I385" s="79" t="s">
        <v>97</v>
      </c>
    </row>
    <row r="386" customHeight="1" spans="1:9">
      <c r="A386" s="40"/>
      <c r="B386" s="80" t="s">
        <v>100</v>
      </c>
      <c r="C386" s="81" t="s">
        <v>101</v>
      </c>
      <c r="D386" s="81" t="s">
        <v>91</v>
      </c>
      <c r="E386" s="81" t="s">
        <v>96</v>
      </c>
      <c r="F386" s="81">
        <v>264</v>
      </c>
      <c r="G386" s="81">
        <v>68.16</v>
      </c>
      <c r="H386" s="46">
        <f t="shared" si="22"/>
        <v>17994.24</v>
      </c>
      <c r="I386" s="81"/>
    </row>
    <row r="387" customHeight="1" spans="1:9">
      <c r="A387" s="40"/>
      <c r="B387" s="45" t="s">
        <v>100</v>
      </c>
      <c r="C387" s="41" t="s">
        <v>98</v>
      </c>
      <c r="D387" s="41" t="s">
        <v>91</v>
      </c>
      <c r="E387" s="41" t="s">
        <v>96</v>
      </c>
      <c r="F387" s="41">
        <v>64</v>
      </c>
      <c r="G387" s="17">
        <v>132.78</v>
      </c>
      <c r="H387" s="46">
        <f t="shared" si="22"/>
        <v>8497.92</v>
      </c>
      <c r="I387" s="41"/>
    </row>
    <row r="388" customHeight="1" spans="1:9">
      <c r="A388" s="40"/>
      <c r="B388" s="45" t="s">
        <v>103</v>
      </c>
      <c r="C388" s="41" t="s">
        <v>104</v>
      </c>
      <c r="D388" s="41" t="s">
        <v>91</v>
      </c>
      <c r="E388" s="41" t="s">
        <v>96</v>
      </c>
      <c r="F388" s="41">
        <v>32</v>
      </c>
      <c r="G388" s="17">
        <v>176.41</v>
      </c>
      <c r="H388" s="46">
        <f t="shared" si="22"/>
        <v>5645.12</v>
      </c>
      <c r="I388" s="41"/>
    </row>
    <row r="389" customHeight="1" spans="1:9">
      <c r="A389" s="40"/>
      <c r="B389" s="45" t="s">
        <v>103</v>
      </c>
      <c r="C389" s="41" t="s">
        <v>106</v>
      </c>
      <c r="D389" s="41" t="s">
        <v>91</v>
      </c>
      <c r="E389" s="41" t="s">
        <v>96</v>
      </c>
      <c r="F389" s="41">
        <v>132</v>
      </c>
      <c r="G389" s="17">
        <v>125.15</v>
      </c>
      <c r="H389" s="46">
        <f t="shared" si="22"/>
        <v>16519.8</v>
      </c>
      <c r="I389" s="41"/>
    </row>
    <row r="390" customHeight="1" spans="1:9">
      <c r="A390" s="40"/>
      <c r="B390" s="45" t="s">
        <v>108</v>
      </c>
      <c r="C390" s="41" t="s">
        <v>101</v>
      </c>
      <c r="D390" s="41" t="s">
        <v>91</v>
      </c>
      <c r="E390" s="41" t="s">
        <v>96</v>
      </c>
      <c r="F390" s="41">
        <v>20</v>
      </c>
      <c r="G390" s="41">
        <v>55</v>
      </c>
      <c r="H390" s="46">
        <f t="shared" si="22"/>
        <v>1100</v>
      </c>
      <c r="I390" s="41"/>
    </row>
    <row r="391" customHeight="1" spans="1:9">
      <c r="A391" s="40"/>
      <c r="B391" s="45" t="s">
        <v>108</v>
      </c>
      <c r="C391" s="41" t="s">
        <v>98</v>
      </c>
      <c r="D391" s="41" t="s">
        <v>91</v>
      </c>
      <c r="E391" s="41" t="s">
        <v>96</v>
      </c>
      <c r="F391" s="41">
        <v>4</v>
      </c>
      <c r="G391" s="41">
        <v>85</v>
      </c>
      <c r="H391" s="46">
        <f t="shared" si="22"/>
        <v>340</v>
      </c>
      <c r="I391" s="41"/>
    </row>
    <row r="392" customHeight="1" spans="1:9">
      <c r="A392" s="40"/>
      <c r="B392" s="45" t="s">
        <v>111</v>
      </c>
      <c r="C392" s="41" t="s">
        <v>178</v>
      </c>
      <c r="D392" s="41"/>
      <c r="E392" s="41" t="s">
        <v>96</v>
      </c>
      <c r="F392" s="41">
        <v>3</v>
      </c>
      <c r="G392" s="41">
        <v>98.97</v>
      </c>
      <c r="H392" s="46">
        <f t="shared" si="22"/>
        <v>296.91</v>
      </c>
      <c r="I392" s="41"/>
    </row>
    <row r="393" customHeight="1" spans="1:9">
      <c r="A393" s="40"/>
      <c r="B393" s="45" t="s">
        <v>111</v>
      </c>
      <c r="C393" s="41" t="s">
        <v>117</v>
      </c>
      <c r="D393" s="41"/>
      <c r="E393" s="41" t="s">
        <v>96</v>
      </c>
      <c r="F393" s="41">
        <v>5</v>
      </c>
      <c r="G393" s="41">
        <v>98.97</v>
      </c>
      <c r="H393" s="46">
        <f t="shared" si="22"/>
        <v>494.85</v>
      </c>
      <c r="I393" s="41"/>
    </row>
    <row r="394" customHeight="1" spans="1:9">
      <c r="A394" s="40"/>
      <c r="B394" s="45" t="s">
        <v>111</v>
      </c>
      <c r="C394" s="41" t="s">
        <v>113</v>
      </c>
      <c r="D394" s="41"/>
      <c r="E394" s="41" t="s">
        <v>96</v>
      </c>
      <c r="F394" s="41">
        <v>6</v>
      </c>
      <c r="G394" s="41">
        <v>75.5</v>
      </c>
      <c r="H394" s="46">
        <f t="shared" si="22"/>
        <v>453</v>
      </c>
      <c r="I394" s="41"/>
    </row>
    <row r="395" customHeight="1" spans="1:9">
      <c r="A395" s="40"/>
      <c r="B395" s="45" t="s">
        <v>198</v>
      </c>
      <c r="C395" s="41" t="s">
        <v>178</v>
      </c>
      <c r="D395" s="41"/>
      <c r="E395" s="41" t="s">
        <v>96</v>
      </c>
      <c r="F395" s="45">
        <v>2</v>
      </c>
      <c r="G395" s="41">
        <v>99.52</v>
      </c>
      <c r="H395" s="46">
        <f t="shared" si="22"/>
        <v>199.04</v>
      </c>
      <c r="I395" s="41"/>
    </row>
    <row r="396" customHeight="1" spans="1:9">
      <c r="A396" s="40"/>
      <c r="B396" s="45" t="s">
        <v>198</v>
      </c>
      <c r="C396" s="41" t="s">
        <v>113</v>
      </c>
      <c r="D396" s="41"/>
      <c r="E396" s="41" t="s">
        <v>96</v>
      </c>
      <c r="F396" s="45">
        <v>2</v>
      </c>
      <c r="G396" s="41">
        <v>75.5</v>
      </c>
      <c r="H396" s="46">
        <f t="shared" si="22"/>
        <v>151</v>
      </c>
      <c r="I396" s="41"/>
    </row>
    <row r="397" customHeight="1" spans="1:9">
      <c r="A397" s="40"/>
      <c r="B397" s="45" t="s">
        <v>118</v>
      </c>
      <c r="C397" s="41" t="s">
        <v>179</v>
      </c>
      <c r="D397" s="41"/>
      <c r="E397" s="41" t="s">
        <v>96</v>
      </c>
      <c r="F397" s="45">
        <v>4</v>
      </c>
      <c r="G397" s="17">
        <v>91.72</v>
      </c>
      <c r="H397" s="46">
        <f t="shared" si="22"/>
        <v>366.88</v>
      </c>
      <c r="I397" s="41"/>
    </row>
    <row r="398" customHeight="1" spans="1:9">
      <c r="A398" s="40"/>
      <c r="B398" s="45" t="s">
        <v>118</v>
      </c>
      <c r="C398" s="41" t="s">
        <v>120</v>
      </c>
      <c r="D398" s="41"/>
      <c r="E398" s="41" t="s">
        <v>96</v>
      </c>
      <c r="F398" s="45">
        <v>6</v>
      </c>
      <c r="G398" s="45">
        <v>83.94</v>
      </c>
      <c r="H398" s="46">
        <f t="shared" si="22"/>
        <v>503.64</v>
      </c>
      <c r="I398" s="41"/>
    </row>
    <row r="399" customHeight="1" spans="1:9">
      <c r="A399" s="40"/>
      <c r="B399" s="45" t="s">
        <v>122</v>
      </c>
      <c r="C399" s="41" t="s">
        <v>179</v>
      </c>
      <c r="D399" s="41"/>
      <c r="E399" s="41" t="s">
        <v>96</v>
      </c>
      <c r="F399" s="45">
        <v>8</v>
      </c>
      <c r="G399" s="17">
        <v>101.7</v>
      </c>
      <c r="H399" s="46">
        <f t="shared" si="22"/>
        <v>813.6</v>
      </c>
      <c r="I399" s="41"/>
    </row>
    <row r="400" customHeight="1" spans="1:9">
      <c r="A400" s="40"/>
      <c r="B400" s="45" t="s">
        <v>122</v>
      </c>
      <c r="C400" s="41" t="s">
        <v>119</v>
      </c>
      <c r="D400" s="41"/>
      <c r="E400" s="41" t="s">
        <v>96</v>
      </c>
      <c r="F400" s="45">
        <v>5</v>
      </c>
      <c r="G400" s="45">
        <v>96.25</v>
      </c>
      <c r="H400" s="46">
        <f t="shared" si="22"/>
        <v>481.25</v>
      </c>
      <c r="I400" s="41"/>
    </row>
    <row r="401" customHeight="1" spans="1:9">
      <c r="A401" s="40"/>
      <c r="B401" s="45" t="s">
        <v>122</v>
      </c>
      <c r="C401" s="41" t="s">
        <v>120</v>
      </c>
      <c r="D401" s="41"/>
      <c r="E401" s="41" t="s">
        <v>96</v>
      </c>
      <c r="F401" s="45">
        <v>25</v>
      </c>
      <c r="G401" s="45">
        <v>94.07</v>
      </c>
      <c r="H401" s="46">
        <f t="shared" si="22"/>
        <v>2351.75</v>
      </c>
      <c r="I401" s="41"/>
    </row>
    <row r="402" customHeight="1" spans="1:9">
      <c r="A402" s="40"/>
      <c r="B402" s="45" t="s">
        <v>123</v>
      </c>
      <c r="C402" s="41" t="s">
        <v>124</v>
      </c>
      <c r="D402" s="41"/>
      <c r="E402" s="41" t="s">
        <v>96</v>
      </c>
      <c r="F402" s="41">
        <v>4</v>
      </c>
      <c r="G402" s="17">
        <v>263.71</v>
      </c>
      <c r="H402" s="46">
        <f t="shared" si="22"/>
        <v>1054.84</v>
      </c>
      <c r="I402" s="41"/>
    </row>
    <row r="403" customHeight="1" spans="1:9">
      <c r="A403" s="40"/>
      <c r="B403" s="45" t="s">
        <v>123</v>
      </c>
      <c r="C403" s="41" t="s">
        <v>125</v>
      </c>
      <c r="D403" s="41"/>
      <c r="E403" s="41" t="s">
        <v>96</v>
      </c>
      <c r="F403" s="41">
        <v>21</v>
      </c>
      <c r="G403" s="17">
        <v>182.55</v>
      </c>
      <c r="H403" s="46">
        <f t="shared" si="22"/>
        <v>3833.55</v>
      </c>
      <c r="I403" s="41"/>
    </row>
    <row r="404" customHeight="1" spans="1:9">
      <c r="A404" s="40"/>
      <c r="B404" s="45" t="s">
        <v>127</v>
      </c>
      <c r="C404" s="41" t="s">
        <v>101</v>
      </c>
      <c r="D404" s="41"/>
      <c r="E404" s="41" t="s">
        <v>96</v>
      </c>
      <c r="F404" s="41">
        <v>20</v>
      </c>
      <c r="G404" s="17">
        <f>G40</f>
        <v>1682.16</v>
      </c>
      <c r="H404" s="46">
        <f t="shared" si="22"/>
        <v>33643.2</v>
      </c>
      <c r="I404" s="41"/>
    </row>
    <row r="405" customHeight="1" spans="1:9">
      <c r="A405" s="40"/>
      <c r="B405" s="45" t="s">
        <v>127</v>
      </c>
      <c r="C405" s="41" t="s">
        <v>98</v>
      </c>
      <c r="D405" s="41"/>
      <c r="E405" s="41" t="s">
        <v>96</v>
      </c>
      <c r="F405" s="41">
        <v>4</v>
      </c>
      <c r="G405" s="17">
        <v>2874.81</v>
      </c>
      <c r="H405" s="46">
        <f t="shared" si="22"/>
        <v>11499.24</v>
      </c>
      <c r="I405" s="41"/>
    </row>
    <row r="406" customHeight="1" spans="1:9">
      <c r="A406" s="40"/>
      <c r="B406" s="45" t="s">
        <v>128</v>
      </c>
      <c r="C406" s="41" t="s">
        <v>199</v>
      </c>
      <c r="D406" s="41"/>
      <c r="E406" s="41" t="s">
        <v>130</v>
      </c>
      <c r="F406" s="41">
        <v>2</v>
      </c>
      <c r="G406" s="17">
        <f>G282</f>
        <v>24974.08</v>
      </c>
      <c r="H406" s="46">
        <f t="shared" si="22"/>
        <v>49948.16</v>
      </c>
      <c r="I406" s="41"/>
    </row>
    <row r="407" customHeight="1" spans="1:9">
      <c r="A407" s="40"/>
      <c r="B407" s="45" t="s">
        <v>131</v>
      </c>
      <c r="C407" s="41"/>
      <c r="D407" s="41"/>
      <c r="E407" s="41" t="s">
        <v>130</v>
      </c>
      <c r="F407" s="41">
        <v>2</v>
      </c>
      <c r="G407" s="41">
        <v>1220</v>
      </c>
      <c r="H407" s="46">
        <f t="shared" si="22"/>
        <v>2440</v>
      </c>
      <c r="I407" s="41"/>
    </row>
    <row r="408" customHeight="1" spans="1:9">
      <c r="A408" s="40"/>
      <c r="B408" s="45" t="s">
        <v>132</v>
      </c>
      <c r="C408" s="41"/>
      <c r="D408" s="41"/>
      <c r="E408" s="41" t="s">
        <v>23</v>
      </c>
      <c r="F408" s="41">
        <v>730</v>
      </c>
      <c r="G408" s="41">
        <f>G44</f>
        <v>3.79</v>
      </c>
      <c r="H408" s="46">
        <f t="shared" si="22"/>
        <v>2766.7</v>
      </c>
      <c r="I408" s="41"/>
    </row>
    <row r="409" customHeight="1" spans="1:9">
      <c r="A409" s="40"/>
      <c r="B409" s="45" t="s">
        <v>133</v>
      </c>
      <c r="C409" s="41"/>
      <c r="D409" s="41"/>
      <c r="E409" s="41" t="s">
        <v>23</v>
      </c>
      <c r="F409" s="41">
        <v>730</v>
      </c>
      <c r="G409" s="41">
        <v>29.46</v>
      </c>
      <c r="H409" s="46">
        <f t="shared" si="22"/>
        <v>21505.8</v>
      </c>
      <c r="I409" s="41"/>
    </row>
    <row r="410" customHeight="1" spans="1:9">
      <c r="A410" s="40"/>
      <c r="B410" s="45" t="s">
        <v>134</v>
      </c>
      <c r="C410" s="41" t="s">
        <v>98</v>
      </c>
      <c r="D410" s="41"/>
      <c r="E410" s="41" t="s">
        <v>96</v>
      </c>
      <c r="F410" s="41">
        <v>48</v>
      </c>
      <c r="G410" s="17">
        <v>125.57</v>
      </c>
      <c r="H410" s="46">
        <f t="shared" si="22"/>
        <v>6027.36</v>
      </c>
      <c r="I410" s="41"/>
    </row>
    <row r="411" customHeight="1" spans="1:9">
      <c r="A411" s="40"/>
      <c r="B411" s="45" t="s">
        <v>134</v>
      </c>
      <c r="C411" s="41" t="s">
        <v>102</v>
      </c>
      <c r="D411" s="41"/>
      <c r="E411" s="41" t="s">
        <v>96</v>
      </c>
      <c r="F411" s="41">
        <v>300</v>
      </c>
      <c r="G411" s="41">
        <v>60.29</v>
      </c>
      <c r="H411" s="46">
        <f t="shared" si="22"/>
        <v>18087</v>
      </c>
      <c r="I411" s="41"/>
    </row>
    <row r="412" customHeight="1" spans="1:9">
      <c r="A412" s="40"/>
      <c r="B412" s="45" t="s">
        <v>135</v>
      </c>
      <c r="C412" s="40" t="s">
        <v>136</v>
      </c>
      <c r="D412" s="41"/>
      <c r="E412" s="41" t="s">
        <v>137</v>
      </c>
      <c r="F412" s="41">
        <v>1100</v>
      </c>
      <c r="G412" s="51">
        <f>0.04*7.85*4*5.5*1.45</f>
        <v>10.0166</v>
      </c>
      <c r="H412" s="46">
        <f t="shared" si="22"/>
        <v>11018.26</v>
      </c>
      <c r="I412" s="58"/>
    </row>
    <row r="413" customHeight="1" spans="1:9">
      <c r="A413" s="40"/>
      <c r="B413" s="45" t="s">
        <v>138</v>
      </c>
      <c r="C413" s="41" t="s">
        <v>139</v>
      </c>
      <c r="D413" s="41"/>
      <c r="E413" s="41" t="s">
        <v>140</v>
      </c>
      <c r="F413" s="41">
        <v>4</v>
      </c>
      <c r="G413" s="51">
        <f>3.77*5.5*1.45</f>
        <v>30.06575</v>
      </c>
      <c r="H413" s="46">
        <f t="shared" si="22"/>
        <v>120.263</v>
      </c>
      <c r="I413" s="58" t="s">
        <v>141</v>
      </c>
    </row>
    <row r="414" customHeight="1" spans="1:9">
      <c r="A414" s="40"/>
      <c r="B414" s="45" t="s">
        <v>142</v>
      </c>
      <c r="C414" s="41" t="s">
        <v>98</v>
      </c>
      <c r="D414" s="41" t="s">
        <v>95</v>
      </c>
      <c r="E414" s="41" t="s">
        <v>137</v>
      </c>
      <c r="F414" s="41">
        <v>36</v>
      </c>
      <c r="G414" s="17">
        <v>125.33</v>
      </c>
      <c r="H414" s="46">
        <f t="shared" si="22"/>
        <v>4511.88</v>
      </c>
      <c r="I414" s="41"/>
    </row>
    <row r="415" customHeight="1" spans="1:9">
      <c r="A415" s="40"/>
      <c r="B415" s="45" t="s">
        <v>142</v>
      </c>
      <c r="C415" s="41" t="s">
        <v>101</v>
      </c>
      <c r="D415" s="41" t="s">
        <v>95</v>
      </c>
      <c r="E415" s="41" t="s">
        <v>137</v>
      </c>
      <c r="F415" s="41">
        <v>219</v>
      </c>
      <c r="G415" s="41">
        <v>91.41</v>
      </c>
      <c r="H415" s="46">
        <f t="shared" si="22"/>
        <v>20018.79</v>
      </c>
      <c r="I415" s="41"/>
    </row>
    <row r="416" customHeight="1" spans="1:9">
      <c r="A416" s="40"/>
      <c r="B416" s="45" t="s">
        <v>143</v>
      </c>
      <c r="C416" s="41" t="s">
        <v>144</v>
      </c>
      <c r="D416" s="41"/>
      <c r="E416" s="41" t="s">
        <v>137</v>
      </c>
      <c r="F416" s="41">
        <v>3</v>
      </c>
      <c r="G416" s="41">
        <v>12.6</v>
      </c>
      <c r="H416" s="46">
        <f t="shared" si="22"/>
        <v>37.8</v>
      </c>
      <c r="I416" s="41"/>
    </row>
    <row r="417" customHeight="1" spans="1:9">
      <c r="A417" s="40"/>
      <c r="B417" s="82" t="s">
        <v>205</v>
      </c>
      <c r="C417" s="83" t="s">
        <v>146</v>
      </c>
      <c r="D417" s="83" t="s">
        <v>147</v>
      </c>
      <c r="E417" s="83" t="s">
        <v>148</v>
      </c>
      <c r="F417" s="83">
        <v>731</v>
      </c>
      <c r="G417" s="41">
        <v>501.96</v>
      </c>
      <c r="H417" s="46">
        <f t="shared" si="22"/>
        <v>366932.76</v>
      </c>
      <c r="I417" s="83" t="s">
        <v>206</v>
      </c>
    </row>
    <row r="418" customHeight="1" spans="1:9">
      <c r="A418" s="40"/>
      <c r="B418" s="45" t="s">
        <v>151</v>
      </c>
      <c r="C418" s="41"/>
      <c r="D418" s="41"/>
      <c r="E418" s="41" t="s">
        <v>96</v>
      </c>
      <c r="F418" s="41">
        <f>F417*2</f>
        <v>1462</v>
      </c>
      <c r="G418" s="41">
        <v>18.45</v>
      </c>
      <c r="H418" s="46">
        <f t="shared" si="22"/>
        <v>26973.9</v>
      </c>
      <c r="I418" s="79"/>
    </row>
    <row r="419" customHeight="1" spans="1:9">
      <c r="A419" s="40"/>
      <c r="B419" s="45" t="s">
        <v>152</v>
      </c>
      <c r="C419" s="41"/>
      <c r="D419" s="41"/>
      <c r="E419" s="41" t="s">
        <v>96</v>
      </c>
      <c r="F419" s="41">
        <f>F417</f>
        <v>731</v>
      </c>
      <c r="G419" s="41">
        <v>358</v>
      </c>
      <c r="H419" s="46">
        <f t="shared" si="22"/>
        <v>261698</v>
      </c>
      <c r="I419" s="79"/>
    </row>
    <row r="420" customHeight="1" spans="1:9">
      <c r="A420" s="40"/>
      <c r="B420" s="45" t="s">
        <v>150</v>
      </c>
      <c r="C420" s="41"/>
      <c r="D420" s="41"/>
      <c r="E420" s="41" t="s">
        <v>137</v>
      </c>
      <c r="F420" s="41">
        <f>F417</f>
        <v>731</v>
      </c>
      <c r="G420" s="41">
        <v>30.25</v>
      </c>
      <c r="H420" s="46">
        <f t="shared" si="22"/>
        <v>22112.75</v>
      </c>
      <c r="I420" s="84"/>
    </row>
    <row r="421" customHeight="1" spans="1:9">
      <c r="A421" s="40"/>
      <c r="B421" s="45" t="s">
        <v>207</v>
      </c>
      <c r="C421" s="41"/>
      <c r="D421" s="41"/>
      <c r="E421" s="41" t="s">
        <v>96</v>
      </c>
      <c r="F421" s="41">
        <f>F417*2</f>
        <v>1462</v>
      </c>
      <c r="G421" s="41">
        <f>G58</f>
        <v>89.38</v>
      </c>
      <c r="H421" s="46">
        <f t="shared" si="22"/>
        <v>130673.56</v>
      </c>
      <c r="I421" s="84"/>
    </row>
    <row r="422" customHeight="1" spans="1:9">
      <c r="A422" s="40"/>
      <c r="B422" s="45" t="s">
        <v>208</v>
      </c>
      <c r="C422" s="40"/>
      <c r="D422" s="41"/>
      <c r="E422" s="41" t="s">
        <v>96</v>
      </c>
      <c r="F422" s="41">
        <f>F417</f>
        <v>731</v>
      </c>
      <c r="G422" s="41">
        <f>G59</f>
        <v>111.4</v>
      </c>
      <c r="H422" s="46">
        <f t="shared" si="22"/>
        <v>81433.4</v>
      </c>
      <c r="I422" s="84"/>
    </row>
    <row r="423" customHeight="1" spans="1:9">
      <c r="A423" s="40"/>
      <c r="B423" s="45" t="s">
        <v>209</v>
      </c>
      <c r="C423" s="41"/>
      <c r="D423" s="41"/>
      <c r="E423" s="41" t="s">
        <v>96</v>
      </c>
      <c r="F423" s="41">
        <f>F417*3</f>
        <v>2193</v>
      </c>
      <c r="G423" s="41">
        <v>49.43</v>
      </c>
      <c r="H423" s="46">
        <f t="shared" si="22"/>
        <v>108399.99</v>
      </c>
      <c r="I423" s="84"/>
    </row>
    <row r="424" customHeight="1" spans="1:9">
      <c r="A424" s="40"/>
      <c r="B424" s="45" t="s">
        <v>210</v>
      </c>
      <c r="C424" s="41"/>
      <c r="D424" s="41" t="s">
        <v>91</v>
      </c>
      <c r="E424" s="41" t="s">
        <v>96</v>
      </c>
      <c r="F424" s="41">
        <f>F417*3</f>
        <v>2193</v>
      </c>
      <c r="G424" s="41">
        <v>4.2</v>
      </c>
      <c r="H424" s="46">
        <f t="shared" si="22"/>
        <v>9210.6</v>
      </c>
      <c r="I424" s="84"/>
    </row>
    <row r="425" customHeight="1" spans="1:9">
      <c r="A425" s="40"/>
      <c r="B425" s="45" t="s">
        <v>211</v>
      </c>
      <c r="C425" s="41"/>
      <c r="D425" s="41" t="s">
        <v>91</v>
      </c>
      <c r="E425" s="41" t="s">
        <v>96</v>
      </c>
      <c r="F425" s="41">
        <f>F417*2</f>
        <v>1462</v>
      </c>
      <c r="G425" s="41">
        <v>3.85</v>
      </c>
      <c r="H425" s="46">
        <f t="shared" si="22"/>
        <v>5628.7</v>
      </c>
      <c r="I425" s="84"/>
    </row>
    <row r="426" customHeight="1" spans="1:9">
      <c r="A426" s="40"/>
      <c r="B426" s="45" t="s">
        <v>212</v>
      </c>
      <c r="C426" s="41"/>
      <c r="D426" s="41" t="s">
        <v>91</v>
      </c>
      <c r="E426" s="41" t="s">
        <v>96</v>
      </c>
      <c r="F426" s="41">
        <f>F417</f>
        <v>731</v>
      </c>
      <c r="G426" s="41">
        <v>25.14</v>
      </c>
      <c r="H426" s="46">
        <f t="shared" si="22"/>
        <v>18377.34</v>
      </c>
      <c r="I426" s="84"/>
    </row>
    <row r="427" customHeight="1" spans="1:9">
      <c r="A427" s="40"/>
      <c r="B427" s="71" t="s">
        <v>162</v>
      </c>
      <c r="C427" s="72"/>
      <c r="D427" s="72" t="s">
        <v>91</v>
      </c>
      <c r="E427" s="72" t="s">
        <v>96</v>
      </c>
      <c r="F427" s="72">
        <f>F417*2</f>
        <v>1462</v>
      </c>
      <c r="G427" s="41">
        <v>85.5</v>
      </c>
      <c r="H427" s="46">
        <f t="shared" si="22"/>
        <v>125001</v>
      </c>
      <c r="I427" s="74"/>
    </row>
    <row r="428" customHeight="1" spans="1:9">
      <c r="A428" s="40"/>
      <c r="B428" s="71" t="s">
        <v>200</v>
      </c>
      <c r="C428" s="72" t="s">
        <v>201</v>
      </c>
      <c r="D428" s="72"/>
      <c r="E428" s="72" t="s">
        <v>202</v>
      </c>
      <c r="F428" s="72">
        <v>1</v>
      </c>
      <c r="G428" s="73">
        <f>G296</f>
        <v>6923.78</v>
      </c>
      <c r="H428" s="46">
        <f t="shared" si="22"/>
        <v>6923.78</v>
      </c>
      <c r="I428" s="74"/>
    </row>
    <row r="429" s="2" customFormat="1" ht="18.75" customHeight="1" spans="1:14">
      <c r="A429" s="70"/>
      <c r="B429" s="68" t="s">
        <v>163</v>
      </c>
      <c r="C429" s="16"/>
      <c r="D429" s="16"/>
      <c r="E429" s="9" t="s">
        <v>164</v>
      </c>
      <c r="F429" s="17">
        <f>730*(0.9*2.1)</f>
        <v>1379.7</v>
      </c>
      <c r="G429" s="17">
        <f>G65</f>
        <v>14.43</v>
      </c>
      <c r="H429" s="18">
        <f t="shared" si="22"/>
        <v>19909.071</v>
      </c>
      <c r="I429" s="16"/>
      <c r="L429" s="25"/>
      <c r="N429" s="5"/>
    </row>
    <row r="430" s="2" customFormat="1" ht="18.75" customHeight="1" spans="1:14">
      <c r="A430" s="70"/>
      <c r="B430" s="68" t="s">
        <v>165</v>
      </c>
      <c r="C430" s="16"/>
      <c r="D430" s="16"/>
      <c r="E430" s="9" t="s">
        <v>164</v>
      </c>
      <c r="F430" s="17">
        <f>730*(0.9*1.8)</f>
        <v>1182.6</v>
      </c>
      <c r="G430" s="17">
        <f>G66</f>
        <v>14.49</v>
      </c>
      <c r="H430" s="18">
        <f t="shared" si="22"/>
        <v>17135.874</v>
      </c>
      <c r="I430" s="16"/>
      <c r="L430" s="25"/>
      <c r="N430" s="5"/>
    </row>
    <row r="431" s="2" customFormat="1" ht="18.75" customHeight="1" spans="1:14">
      <c r="A431" s="70"/>
      <c r="B431" s="68" t="s">
        <v>166</v>
      </c>
      <c r="C431" s="16"/>
      <c r="D431" s="16"/>
      <c r="E431" s="9" t="s">
        <v>164</v>
      </c>
      <c r="F431" s="17">
        <f>730*(0.9*0.2)</f>
        <v>131.4</v>
      </c>
      <c r="G431" s="17">
        <f>G67</f>
        <v>16.87</v>
      </c>
      <c r="H431" s="18">
        <f t="shared" si="22"/>
        <v>2216.718</v>
      </c>
      <c r="I431" s="16"/>
      <c r="L431" s="25"/>
      <c r="N431" s="5"/>
    </row>
    <row r="432" s="2" customFormat="1" ht="18.75" customHeight="1" spans="1:14">
      <c r="A432" s="70"/>
      <c r="B432" s="68" t="s">
        <v>167</v>
      </c>
      <c r="C432" s="16"/>
      <c r="D432" s="16"/>
      <c r="E432" s="9" t="s">
        <v>164</v>
      </c>
      <c r="F432" s="17">
        <f>730*(0.9*0.2)</f>
        <v>131.4</v>
      </c>
      <c r="G432" s="17">
        <v>209.39</v>
      </c>
      <c r="H432" s="18">
        <f t="shared" si="22"/>
        <v>27513.846</v>
      </c>
      <c r="I432" s="16"/>
      <c r="L432" s="25"/>
      <c r="N432" s="5"/>
    </row>
    <row r="433" ht="18.95" customHeight="1" spans="1:9">
      <c r="A433" s="40"/>
      <c r="B433" s="23" t="s">
        <v>168</v>
      </c>
      <c r="C433" s="41"/>
      <c r="D433" s="41"/>
      <c r="E433" s="41" t="s">
        <v>169</v>
      </c>
      <c r="F433" s="41"/>
      <c r="G433" s="41"/>
      <c r="H433" s="46">
        <f>SUM(H378:H432)</f>
        <v>1830736.982</v>
      </c>
      <c r="I433" s="58"/>
    </row>
    <row r="434" customHeight="1" spans="1:9">
      <c r="A434" s="40">
        <v>8</v>
      </c>
      <c r="B434" s="53" t="s">
        <v>216</v>
      </c>
      <c r="C434" s="77"/>
      <c r="D434" s="77"/>
      <c r="E434" s="77"/>
      <c r="F434" s="77"/>
      <c r="G434" s="43"/>
      <c r="H434" s="43"/>
      <c r="I434" s="78"/>
    </row>
    <row r="435" customHeight="1" spans="1:9">
      <c r="A435" s="40"/>
      <c r="B435" s="45" t="s">
        <v>84</v>
      </c>
      <c r="C435" s="41" t="s">
        <v>171</v>
      </c>
      <c r="D435" s="41" t="s">
        <v>86</v>
      </c>
      <c r="E435" s="41" t="s">
        <v>23</v>
      </c>
      <c r="F435" s="41">
        <v>154</v>
      </c>
      <c r="G435" s="41">
        <v>78.32</v>
      </c>
      <c r="H435" s="46">
        <f t="shared" ref="H435:H494" si="23">F435*G435</f>
        <v>12061.28</v>
      </c>
      <c r="I435" s="79"/>
    </row>
    <row r="436" customHeight="1" spans="1:9">
      <c r="A436" s="40"/>
      <c r="B436" s="45" t="s">
        <v>84</v>
      </c>
      <c r="C436" s="41" t="s">
        <v>85</v>
      </c>
      <c r="D436" s="41" t="s">
        <v>86</v>
      </c>
      <c r="E436" s="41" t="s">
        <v>23</v>
      </c>
      <c r="F436" s="41">
        <v>66</v>
      </c>
      <c r="G436" s="17">
        <v>67.71</v>
      </c>
      <c r="H436" s="46">
        <f t="shared" si="23"/>
        <v>4468.86</v>
      </c>
      <c r="I436" s="79"/>
    </row>
    <row r="437" customHeight="1" spans="1:9">
      <c r="A437" s="40"/>
      <c r="B437" s="45" t="s">
        <v>84</v>
      </c>
      <c r="C437" s="41" t="s">
        <v>87</v>
      </c>
      <c r="D437" s="41" t="s">
        <v>86</v>
      </c>
      <c r="E437" s="41" t="s">
        <v>23</v>
      </c>
      <c r="F437" s="41">
        <v>468</v>
      </c>
      <c r="G437" s="41">
        <v>39.37</v>
      </c>
      <c r="H437" s="46">
        <f t="shared" si="23"/>
        <v>18425.16</v>
      </c>
      <c r="I437" s="79"/>
    </row>
    <row r="438" customHeight="1" spans="1:9">
      <c r="A438" s="40"/>
      <c r="B438" s="45" t="s">
        <v>89</v>
      </c>
      <c r="C438" s="41" t="s">
        <v>173</v>
      </c>
      <c r="D438" s="41" t="s">
        <v>91</v>
      </c>
      <c r="E438" s="41" t="s">
        <v>23</v>
      </c>
      <c r="F438" s="41">
        <v>233</v>
      </c>
      <c r="G438" s="17">
        <v>125.33</v>
      </c>
      <c r="H438" s="46">
        <f t="shared" si="23"/>
        <v>29201.89</v>
      </c>
      <c r="I438" s="79"/>
    </row>
    <row r="439" customHeight="1" spans="1:9">
      <c r="A439" s="40"/>
      <c r="B439" s="45" t="s">
        <v>89</v>
      </c>
      <c r="C439" s="41" t="s">
        <v>90</v>
      </c>
      <c r="D439" s="41" t="s">
        <v>91</v>
      </c>
      <c r="E439" s="41" t="s">
        <v>23</v>
      </c>
      <c r="F439" s="41">
        <v>453</v>
      </c>
      <c r="G439" s="41">
        <v>91.41</v>
      </c>
      <c r="H439" s="46">
        <f t="shared" si="23"/>
        <v>41408.73</v>
      </c>
      <c r="I439" s="79"/>
    </row>
    <row r="440" customHeight="1" spans="1:9">
      <c r="A440" s="40"/>
      <c r="B440" s="45" t="s">
        <v>89</v>
      </c>
      <c r="C440" s="41" t="s">
        <v>92</v>
      </c>
      <c r="D440" s="41" t="s">
        <v>91</v>
      </c>
      <c r="E440" s="41" t="s">
        <v>23</v>
      </c>
      <c r="F440" s="41">
        <v>1440</v>
      </c>
      <c r="G440" s="17">
        <v>77.13</v>
      </c>
      <c r="H440" s="46">
        <f t="shared" si="23"/>
        <v>111067.2</v>
      </c>
      <c r="I440" s="79"/>
    </row>
    <row r="441" customHeight="1" spans="1:9">
      <c r="A441" s="40"/>
      <c r="B441" s="45" t="s">
        <v>93</v>
      </c>
      <c r="C441" s="41" t="s">
        <v>94</v>
      </c>
      <c r="D441" s="41" t="s">
        <v>95</v>
      </c>
      <c r="E441" s="41" t="s">
        <v>96</v>
      </c>
      <c r="F441" s="41">
        <v>3</v>
      </c>
      <c r="G441" s="41">
        <v>112.63</v>
      </c>
      <c r="H441" s="46">
        <f t="shared" si="23"/>
        <v>337.89</v>
      </c>
      <c r="I441" s="79" t="s">
        <v>97</v>
      </c>
    </row>
    <row r="442" customHeight="1" spans="1:9">
      <c r="A442" s="40"/>
      <c r="B442" s="45" t="s">
        <v>93</v>
      </c>
      <c r="C442" s="41" t="s">
        <v>98</v>
      </c>
      <c r="D442" s="41" t="s">
        <v>95</v>
      </c>
      <c r="E442" s="41" t="s">
        <v>96</v>
      </c>
      <c r="F442" s="41">
        <v>12</v>
      </c>
      <c r="G442" s="41">
        <v>56.95</v>
      </c>
      <c r="H442" s="46">
        <f t="shared" si="23"/>
        <v>683.4</v>
      </c>
      <c r="I442" s="79" t="s">
        <v>97</v>
      </c>
    </row>
    <row r="443" customHeight="1" spans="1:9">
      <c r="A443" s="40"/>
      <c r="B443" s="80" t="s">
        <v>100</v>
      </c>
      <c r="C443" s="81" t="s">
        <v>101</v>
      </c>
      <c r="D443" s="81" t="s">
        <v>91</v>
      </c>
      <c r="E443" s="81" t="s">
        <v>96</v>
      </c>
      <c r="F443" s="81">
        <v>164</v>
      </c>
      <c r="G443" s="17">
        <v>68.16</v>
      </c>
      <c r="H443" s="46">
        <f t="shared" si="23"/>
        <v>11178.24</v>
      </c>
      <c r="I443" s="81"/>
    </row>
    <row r="444" customHeight="1" spans="1:9">
      <c r="A444" s="40"/>
      <c r="B444" s="45" t="s">
        <v>100</v>
      </c>
      <c r="C444" s="41" t="s">
        <v>98</v>
      </c>
      <c r="D444" s="41" t="s">
        <v>91</v>
      </c>
      <c r="E444" s="41" t="s">
        <v>96</v>
      </c>
      <c r="F444" s="41">
        <v>32</v>
      </c>
      <c r="G444" s="17">
        <v>132.78</v>
      </c>
      <c r="H444" s="46">
        <f t="shared" si="23"/>
        <v>4248.96</v>
      </c>
      <c r="I444" s="41"/>
    </row>
    <row r="445" customHeight="1" spans="1:9">
      <c r="A445" s="40"/>
      <c r="B445" s="45" t="s">
        <v>103</v>
      </c>
      <c r="C445" s="41" t="s">
        <v>104</v>
      </c>
      <c r="D445" s="41" t="s">
        <v>91</v>
      </c>
      <c r="E445" s="41" t="s">
        <v>96</v>
      </c>
      <c r="F445" s="41">
        <v>16</v>
      </c>
      <c r="G445" s="17">
        <v>176.41</v>
      </c>
      <c r="H445" s="46">
        <f t="shared" si="23"/>
        <v>2822.56</v>
      </c>
      <c r="I445" s="41"/>
    </row>
    <row r="446" customHeight="1" spans="1:9">
      <c r="A446" s="40"/>
      <c r="B446" s="45" t="s">
        <v>103</v>
      </c>
      <c r="C446" s="41" t="s">
        <v>106</v>
      </c>
      <c r="D446" s="41" t="s">
        <v>91</v>
      </c>
      <c r="E446" s="41" t="s">
        <v>96</v>
      </c>
      <c r="F446" s="41">
        <v>80</v>
      </c>
      <c r="G446" s="17">
        <v>125.15</v>
      </c>
      <c r="H446" s="46">
        <f t="shared" si="23"/>
        <v>10012</v>
      </c>
      <c r="I446" s="41"/>
    </row>
    <row r="447" customHeight="1" spans="1:9">
      <c r="A447" s="40"/>
      <c r="B447" s="45" t="s">
        <v>108</v>
      </c>
      <c r="C447" s="41" t="s">
        <v>101</v>
      </c>
      <c r="D447" s="41" t="s">
        <v>91</v>
      </c>
      <c r="E447" s="41" t="s">
        <v>96</v>
      </c>
      <c r="F447" s="41">
        <v>12</v>
      </c>
      <c r="G447" s="41">
        <v>55</v>
      </c>
      <c r="H447" s="46">
        <f t="shared" si="23"/>
        <v>660</v>
      </c>
      <c r="I447" s="41"/>
    </row>
    <row r="448" customHeight="1" spans="1:9">
      <c r="A448" s="40"/>
      <c r="B448" s="45" t="s">
        <v>108</v>
      </c>
      <c r="C448" s="41" t="s">
        <v>98</v>
      </c>
      <c r="D448" s="41" t="s">
        <v>91</v>
      </c>
      <c r="E448" s="41" t="s">
        <v>96</v>
      </c>
      <c r="F448" s="41">
        <v>3</v>
      </c>
      <c r="G448" s="41">
        <v>85</v>
      </c>
      <c r="H448" s="46">
        <f t="shared" si="23"/>
        <v>255</v>
      </c>
      <c r="I448" s="41"/>
    </row>
    <row r="449" customHeight="1" spans="1:9">
      <c r="A449" s="40"/>
      <c r="B449" s="45" t="s">
        <v>111</v>
      </c>
      <c r="C449" s="41" t="s">
        <v>177</v>
      </c>
      <c r="D449" s="41"/>
      <c r="E449" s="41" t="s">
        <v>96</v>
      </c>
      <c r="F449" s="41">
        <v>1</v>
      </c>
      <c r="G449" s="41">
        <v>98.97</v>
      </c>
      <c r="H449" s="46">
        <f t="shared" si="23"/>
        <v>98.97</v>
      </c>
      <c r="I449" s="41"/>
    </row>
    <row r="450" customHeight="1" spans="1:9">
      <c r="A450" s="40"/>
      <c r="B450" s="45" t="s">
        <v>111</v>
      </c>
      <c r="C450" s="41" t="s">
        <v>178</v>
      </c>
      <c r="D450" s="41"/>
      <c r="E450" s="41" t="s">
        <v>96</v>
      </c>
      <c r="F450" s="41">
        <v>3</v>
      </c>
      <c r="G450" s="41">
        <v>98.97</v>
      </c>
      <c r="H450" s="46">
        <f t="shared" ref="H450" si="24">F450*G450</f>
        <v>296.91</v>
      </c>
      <c r="I450" s="41"/>
    </row>
    <row r="451" customHeight="1" spans="1:9">
      <c r="A451" s="40"/>
      <c r="B451" s="45" t="s">
        <v>111</v>
      </c>
      <c r="C451" s="41" t="s">
        <v>117</v>
      </c>
      <c r="D451" s="41"/>
      <c r="E451" s="41" t="s">
        <v>96</v>
      </c>
      <c r="F451" s="41">
        <v>2</v>
      </c>
      <c r="G451" s="41">
        <v>98.97</v>
      </c>
      <c r="H451" s="46">
        <f t="shared" si="23"/>
        <v>197.94</v>
      </c>
      <c r="I451" s="41"/>
    </row>
    <row r="452" customHeight="1" spans="1:9">
      <c r="A452" s="40"/>
      <c r="B452" s="45" t="s">
        <v>111</v>
      </c>
      <c r="C452" s="41" t="s">
        <v>113</v>
      </c>
      <c r="D452" s="41"/>
      <c r="E452" s="41" t="s">
        <v>96</v>
      </c>
      <c r="F452" s="41">
        <v>3</v>
      </c>
      <c r="G452" s="41">
        <v>75.5</v>
      </c>
      <c r="H452" s="46">
        <f t="shared" si="23"/>
        <v>226.5</v>
      </c>
      <c r="I452" s="41"/>
    </row>
    <row r="453" customHeight="1" spans="1:9">
      <c r="A453" s="40"/>
      <c r="B453" s="45" t="s">
        <v>111</v>
      </c>
      <c r="C453" s="41" t="s">
        <v>197</v>
      </c>
      <c r="D453" s="41"/>
      <c r="E453" s="41" t="s">
        <v>96</v>
      </c>
      <c r="F453" s="45">
        <v>2</v>
      </c>
      <c r="G453" s="45">
        <v>55</v>
      </c>
      <c r="H453" s="46">
        <f t="shared" si="23"/>
        <v>110</v>
      </c>
      <c r="I453" s="41"/>
    </row>
    <row r="454" customHeight="1" spans="1:9">
      <c r="A454" s="40"/>
      <c r="B454" s="45" t="s">
        <v>198</v>
      </c>
      <c r="C454" s="41" t="s">
        <v>178</v>
      </c>
      <c r="D454" s="41"/>
      <c r="E454" s="41" t="s">
        <v>96</v>
      </c>
      <c r="F454" s="45">
        <v>1</v>
      </c>
      <c r="G454" s="41">
        <v>99.52</v>
      </c>
      <c r="H454" s="46">
        <f t="shared" si="23"/>
        <v>99.52</v>
      </c>
      <c r="I454" s="41"/>
    </row>
    <row r="455" customHeight="1" spans="1:9">
      <c r="A455" s="40"/>
      <c r="B455" s="45" t="s">
        <v>198</v>
      </c>
      <c r="C455" s="41" t="s">
        <v>113</v>
      </c>
      <c r="D455" s="41"/>
      <c r="E455" s="41" t="s">
        <v>96</v>
      </c>
      <c r="F455" s="45">
        <v>1</v>
      </c>
      <c r="G455" s="41">
        <v>75.5</v>
      </c>
      <c r="H455" s="46">
        <f t="shared" si="23"/>
        <v>75.5</v>
      </c>
      <c r="I455" s="41"/>
    </row>
    <row r="456" customHeight="1" spans="1:9">
      <c r="A456" s="40"/>
      <c r="B456" s="45" t="s">
        <v>118</v>
      </c>
      <c r="C456" s="41" t="s">
        <v>179</v>
      </c>
      <c r="D456" s="41"/>
      <c r="E456" s="41" t="s">
        <v>96</v>
      </c>
      <c r="F456" s="45">
        <v>4</v>
      </c>
      <c r="G456" s="17">
        <v>91.72</v>
      </c>
      <c r="H456" s="46">
        <f t="shared" si="23"/>
        <v>366.88</v>
      </c>
      <c r="I456" s="41"/>
    </row>
    <row r="457" customHeight="1" spans="1:9">
      <c r="A457" s="40"/>
      <c r="B457" s="45" t="s">
        <v>118</v>
      </c>
      <c r="C457" s="41" t="s">
        <v>120</v>
      </c>
      <c r="D457" s="41"/>
      <c r="E457" s="41" t="s">
        <v>96</v>
      </c>
      <c r="F457" s="45">
        <v>3</v>
      </c>
      <c r="G457" s="45">
        <v>83.94</v>
      </c>
      <c r="H457" s="46">
        <f t="shared" si="23"/>
        <v>251.82</v>
      </c>
      <c r="I457" s="41"/>
    </row>
    <row r="458" customHeight="1" spans="1:9">
      <c r="A458" s="40"/>
      <c r="B458" s="45" t="s">
        <v>122</v>
      </c>
      <c r="C458" s="41" t="s">
        <v>179</v>
      </c>
      <c r="D458" s="41"/>
      <c r="E458" s="41" t="s">
        <v>96</v>
      </c>
      <c r="F458" s="45">
        <v>8</v>
      </c>
      <c r="G458" s="17">
        <v>101.7</v>
      </c>
      <c r="H458" s="46">
        <f t="shared" si="23"/>
        <v>813.6</v>
      </c>
      <c r="I458" s="41"/>
    </row>
    <row r="459" customHeight="1" spans="1:9">
      <c r="A459" s="40"/>
      <c r="B459" s="45" t="s">
        <v>122</v>
      </c>
      <c r="C459" s="41" t="s">
        <v>119</v>
      </c>
      <c r="D459" s="41"/>
      <c r="E459" s="41" t="s">
        <v>96</v>
      </c>
      <c r="F459" s="45">
        <v>4</v>
      </c>
      <c r="G459" s="17">
        <v>96.25</v>
      </c>
      <c r="H459" s="46">
        <f t="shared" si="23"/>
        <v>385</v>
      </c>
      <c r="I459" s="41"/>
    </row>
    <row r="460" customHeight="1" spans="1:9">
      <c r="A460" s="40"/>
      <c r="B460" s="45" t="s">
        <v>122</v>
      </c>
      <c r="C460" s="41" t="s">
        <v>120</v>
      </c>
      <c r="D460" s="41"/>
      <c r="E460" s="41" t="s">
        <v>96</v>
      </c>
      <c r="F460" s="45">
        <v>24</v>
      </c>
      <c r="G460" s="45">
        <v>94.07</v>
      </c>
      <c r="H460" s="46">
        <f t="shared" si="23"/>
        <v>2257.68</v>
      </c>
      <c r="I460" s="41"/>
    </row>
    <row r="461" customHeight="1" spans="1:9">
      <c r="A461" s="40"/>
      <c r="B461" s="45" t="s">
        <v>123</v>
      </c>
      <c r="C461" s="41" t="s">
        <v>124</v>
      </c>
      <c r="D461" s="41"/>
      <c r="E461" s="41" t="s">
        <v>96</v>
      </c>
      <c r="F461" s="41">
        <v>3</v>
      </c>
      <c r="G461" s="41">
        <v>263.71</v>
      </c>
      <c r="H461" s="46">
        <f t="shared" si="23"/>
        <v>791.13</v>
      </c>
      <c r="I461" s="41"/>
    </row>
    <row r="462" customHeight="1" spans="1:9">
      <c r="A462" s="40"/>
      <c r="B462" s="45" t="s">
        <v>123</v>
      </c>
      <c r="C462" s="41" t="s">
        <v>125</v>
      </c>
      <c r="D462" s="41"/>
      <c r="E462" s="41" t="s">
        <v>96</v>
      </c>
      <c r="F462" s="41">
        <v>12</v>
      </c>
      <c r="G462" s="41">
        <v>182.55</v>
      </c>
      <c r="H462" s="46">
        <f t="shared" si="23"/>
        <v>2190.6</v>
      </c>
      <c r="I462" s="41"/>
    </row>
    <row r="463" customHeight="1" spans="1:9">
      <c r="A463" s="40"/>
      <c r="B463" s="45" t="s">
        <v>127</v>
      </c>
      <c r="C463" s="41" t="s">
        <v>101</v>
      </c>
      <c r="D463" s="41"/>
      <c r="E463" s="41" t="s">
        <v>96</v>
      </c>
      <c r="F463" s="41">
        <v>12</v>
      </c>
      <c r="G463" s="17">
        <f>G40</f>
        <v>1682.16</v>
      </c>
      <c r="H463" s="46">
        <f t="shared" si="23"/>
        <v>20185.92</v>
      </c>
      <c r="I463" s="41"/>
    </row>
    <row r="464" customHeight="1" spans="1:9">
      <c r="A464" s="40"/>
      <c r="B464" s="45" t="s">
        <v>127</v>
      </c>
      <c r="C464" s="41" t="s">
        <v>98</v>
      </c>
      <c r="D464" s="41"/>
      <c r="E464" s="41" t="s">
        <v>96</v>
      </c>
      <c r="F464" s="41">
        <v>3</v>
      </c>
      <c r="G464" s="17">
        <v>2874.81</v>
      </c>
      <c r="H464" s="46">
        <f t="shared" si="23"/>
        <v>8624.43</v>
      </c>
      <c r="I464" s="41"/>
    </row>
    <row r="465" customHeight="1" spans="1:9">
      <c r="A465" s="40"/>
      <c r="B465" s="45" t="s">
        <v>128</v>
      </c>
      <c r="C465" s="41" t="s">
        <v>199</v>
      </c>
      <c r="D465" s="41"/>
      <c r="E465" s="41" t="s">
        <v>130</v>
      </c>
      <c r="F465" s="41">
        <v>2</v>
      </c>
      <c r="G465" s="17">
        <f>G282</f>
        <v>24974.08</v>
      </c>
      <c r="H465" s="46">
        <f t="shared" si="23"/>
        <v>49948.16</v>
      </c>
      <c r="I465" s="41"/>
    </row>
    <row r="466" customHeight="1" spans="1:9">
      <c r="A466" s="40"/>
      <c r="B466" s="45" t="s">
        <v>131</v>
      </c>
      <c r="C466" s="41"/>
      <c r="D466" s="41"/>
      <c r="E466" s="41" t="s">
        <v>130</v>
      </c>
      <c r="F466" s="41">
        <v>2</v>
      </c>
      <c r="G466" s="41">
        <v>1220</v>
      </c>
      <c r="H466" s="46">
        <f t="shared" si="23"/>
        <v>2440</v>
      </c>
      <c r="I466" s="41"/>
    </row>
    <row r="467" customHeight="1" spans="1:9">
      <c r="A467" s="40"/>
      <c r="B467" s="45" t="s">
        <v>135</v>
      </c>
      <c r="C467" s="40" t="s">
        <v>136</v>
      </c>
      <c r="D467" s="41"/>
      <c r="E467" s="41" t="s">
        <v>137</v>
      </c>
      <c r="F467" s="41">
        <v>12</v>
      </c>
      <c r="G467" s="17">
        <f>0.04*7.85*4*5.5*1.35</f>
        <v>9.3258</v>
      </c>
      <c r="H467" s="46">
        <f t="shared" ref="H467:H470" si="25">F467*G467</f>
        <v>111.9096</v>
      </c>
      <c r="I467" s="58"/>
    </row>
    <row r="468" customHeight="1" spans="1:9">
      <c r="A468" s="40"/>
      <c r="B468" s="45" t="s">
        <v>138</v>
      </c>
      <c r="C468" s="41" t="s">
        <v>139</v>
      </c>
      <c r="D468" s="41"/>
      <c r="E468" s="41" t="s">
        <v>140</v>
      </c>
      <c r="F468" s="41">
        <v>4</v>
      </c>
      <c r="G468" s="17">
        <f>3.77*5.5*1.35</f>
        <v>27.99225</v>
      </c>
      <c r="H468" s="46">
        <f t="shared" si="25"/>
        <v>111.969</v>
      </c>
      <c r="I468" s="58" t="s">
        <v>141</v>
      </c>
    </row>
    <row r="469" customHeight="1" spans="1:9">
      <c r="A469" s="40"/>
      <c r="B469" s="45" t="s">
        <v>142</v>
      </c>
      <c r="C469" s="41" t="s">
        <v>98</v>
      </c>
      <c r="D469" s="41" t="s">
        <v>95</v>
      </c>
      <c r="E469" s="41" t="s">
        <v>137</v>
      </c>
      <c r="F469" s="41">
        <v>14</v>
      </c>
      <c r="G469" s="17">
        <v>125.33</v>
      </c>
      <c r="H469" s="46">
        <f t="shared" si="25"/>
        <v>1754.62</v>
      </c>
      <c r="I469" s="41"/>
    </row>
    <row r="470" customHeight="1" spans="1:9">
      <c r="A470" s="40"/>
      <c r="B470" s="45" t="s">
        <v>143</v>
      </c>
      <c r="C470" s="41" t="s">
        <v>144</v>
      </c>
      <c r="D470" s="41"/>
      <c r="E470" s="41" t="s">
        <v>137</v>
      </c>
      <c r="F470" s="41">
        <v>2</v>
      </c>
      <c r="G470" s="41">
        <v>12.6</v>
      </c>
      <c r="H470" s="46">
        <f t="shared" si="25"/>
        <v>25.2</v>
      </c>
      <c r="I470" s="41"/>
    </row>
    <row r="471" customHeight="1" spans="1:9">
      <c r="A471" s="40"/>
      <c r="B471" s="45" t="s">
        <v>132</v>
      </c>
      <c r="C471" s="41"/>
      <c r="D471" s="41"/>
      <c r="E471" s="41" t="s">
        <v>23</v>
      </c>
      <c r="F471" s="41">
        <v>688</v>
      </c>
      <c r="G471" s="17">
        <f>G44</f>
        <v>3.79</v>
      </c>
      <c r="H471" s="46">
        <f t="shared" si="23"/>
        <v>2607.52</v>
      </c>
      <c r="I471" s="41"/>
    </row>
    <row r="472" customHeight="1" spans="1:9">
      <c r="A472" s="40"/>
      <c r="B472" s="45" t="s">
        <v>133</v>
      </c>
      <c r="C472" s="41"/>
      <c r="D472" s="41"/>
      <c r="E472" s="41" t="s">
        <v>23</v>
      </c>
      <c r="F472" s="41">
        <v>688</v>
      </c>
      <c r="G472" s="17">
        <v>29.46</v>
      </c>
      <c r="H472" s="46">
        <f t="shared" si="23"/>
        <v>20268.48</v>
      </c>
      <c r="I472" s="41"/>
    </row>
    <row r="473" customHeight="1" spans="1:9">
      <c r="A473" s="40"/>
      <c r="B473" s="45" t="s">
        <v>134</v>
      </c>
      <c r="C473" s="41" t="s">
        <v>101</v>
      </c>
      <c r="D473" s="41"/>
      <c r="E473" s="41" t="s">
        <v>96</v>
      </c>
      <c r="F473" s="41">
        <v>91</v>
      </c>
      <c r="G473" s="17">
        <v>109.75</v>
      </c>
      <c r="H473" s="46">
        <f t="shared" si="23"/>
        <v>9987.25</v>
      </c>
      <c r="I473" s="41"/>
    </row>
    <row r="474" customHeight="1" spans="1:9">
      <c r="A474" s="40"/>
      <c r="B474" s="45" t="s">
        <v>134</v>
      </c>
      <c r="C474" s="41" t="s">
        <v>98</v>
      </c>
      <c r="D474" s="41"/>
      <c r="E474" s="41" t="s">
        <v>96</v>
      </c>
      <c r="F474" s="41">
        <v>36</v>
      </c>
      <c r="G474" s="17">
        <v>125.57</v>
      </c>
      <c r="H474" s="46">
        <f t="shared" si="23"/>
        <v>4520.52</v>
      </c>
      <c r="I474" s="41"/>
    </row>
    <row r="475" customHeight="1" spans="1:9">
      <c r="A475" s="40"/>
      <c r="B475" s="45" t="s">
        <v>135</v>
      </c>
      <c r="C475" s="40" t="s">
        <v>136</v>
      </c>
      <c r="D475" s="41"/>
      <c r="E475" s="41" t="s">
        <v>137</v>
      </c>
      <c r="F475" s="41">
        <v>610</v>
      </c>
      <c r="G475" s="17">
        <f>0.04*7.85*4*5.5*1.35</f>
        <v>9.3258</v>
      </c>
      <c r="H475" s="46">
        <f t="shared" si="23"/>
        <v>5688.738</v>
      </c>
      <c r="I475" s="58"/>
    </row>
    <row r="476" customHeight="1" spans="1:9">
      <c r="A476" s="40"/>
      <c r="B476" s="45" t="s">
        <v>138</v>
      </c>
      <c r="C476" s="41" t="s">
        <v>139</v>
      </c>
      <c r="D476" s="41"/>
      <c r="E476" s="41" t="s">
        <v>140</v>
      </c>
      <c r="F476" s="41">
        <v>15</v>
      </c>
      <c r="G476" s="17">
        <f>3.77*5.5*1.35</f>
        <v>27.99225</v>
      </c>
      <c r="H476" s="46">
        <f t="shared" si="23"/>
        <v>419.88375</v>
      </c>
      <c r="I476" s="58" t="s">
        <v>141</v>
      </c>
    </row>
    <row r="477" customHeight="1" spans="1:9">
      <c r="A477" s="40"/>
      <c r="B477" s="45" t="s">
        <v>142</v>
      </c>
      <c r="C477" s="41" t="s">
        <v>101</v>
      </c>
      <c r="D477" s="41" t="s">
        <v>95</v>
      </c>
      <c r="E477" s="41" t="s">
        <v>137</v>
      </c>
      <c r="F477" s="41">
        <v>40</v>
      </c>
      <c r="G477" s="17">
        <v>91.41</v>
      </c>
      <c r="H477" s="46">
        <f t="shared" si="23"/>
        <v>3656.4</v>
      </c>
      <c r="I477" s="41"/>
    </row>
    <row r="478" customHeight="1" spans="1:9">
      <c r="A478" s="40"/>
      <c r="B478" s="45" t="s">
        <v>143</v>
      </c>
      <c r="C478" s="41" t="s">
        <v>144</v>
      </c>
      <c r="D478" s="41"/>
      <c r="E478" s="41" t="s">
        <v>137</v>
      </c>
      <c r="F478" s="41">
        <v>15</v>
      </c>
      <c r="G478" s="41">
        <v>12.6</v>
      </c>
      <c r="H478" s="46">
        <f t="shared" si="23"/>
        <v>189</v>
      </c>
      <c r="I478" s="41"/>
    </row>
    <row r="479" customHeight="1" spans="1:9">
      <c r="A479" s="40"/>
      <c r="B479" s="82" t="s">
        <v>205</v>
      </c>
      <c r="C479" s="83" t="s">
        <v>146</v>
      </c>
      <c r="D479" s="83" t="s">
        <v>147</v>
      </c>
      <c r="E479" s="83" t="s">
        <v>148</v>
      </c>
      <c r="F479" s="83">
        <v>477</v>
      </c>
      <c r="G479" s="41">
        <v>501.96</v>
      </c>
      <c r="H479" s="46">
        <f t="shared" si="23"/>
        <v>239434.92</v>
      </c>
      <c r="I479" s="83" t="s">
        <v>206</v>
      </c>
    </row>
    <row r="480" customHeight="1" spans="1:9">
      <c r="A480" s="40"/>
      <c r="B480" s="45" t="s">
        <v>151</v>
      </c>
      <c r="C480" s="41"/>
      <c r="D480" s="41"/>
      <c r="E480" s="41" t="s">
        <v>96</v>
      </c>
      <c r="F480" s="41">
        <f>F479*2</f>
        <v>954</v>
      </c>
      <c r="G480" s="41">
        <v>30.25</v>
      </c>
      <c r="H480" s="46">
        <f t="shared" si="23"/>
        <v>28858.5</v>
      </c>
      <c r="I480" s="79"/>
    </row>
    <row r="481" customHeight="1" spans="1:9">
      <c r="A481" s="40"/>
      <c r="B481" s="45" t="s">
        <v>152</v>
      </c>
      <c r="C481" s="41"/>
      <c r="D481" s="41"/>
      <c r="E481" s="41" t="s">
        <v>96</v>
      </c>
      <c r="F481" s="41">
        <f>F479</f>
        <v>477</v>
      </c>
      <c r="G481" s="41">
        <v>358</v>
      </c>
      <c r="H481" s="46">
        <f t="shared" si="23"/>
        <v>170766</v>
      </c>
      <c r="I481" s="79"/>
    </row>
    <row r="482" customHeight="1" spans="1:9">
      <c r="A482" s="40"/>
      <c r="B482" s="45" t="s">
        <v>150</v>
      </c>
      <c r="C482" s="41"/>
      <c r="D482" s="41"/>
      <c r="E482" s="41" t="s">
        <v>137</v>
      </c>
      <c r="F482" s="41">
        <f>F479</f>
        <v>477</v>
      </c>
      <c r="G482" s="41">
        <v>30.25</v>
      </c>
      <c r="H482" s="46">
        <f t="shared" si="23"/>
        <v>14429.25</v>
      </c>
      <c r="I482" s="84"/>
    </row>
    <row r="483" customHeight="1" spans="1:9">
      <c r="A483" s="40"/>
      <c r="B483" s="45" t="s">
        <v>207</v>
      </c>
      <c r="C483" s="41"/>
      <c r="D483" s="41"/>
      <c r="E483" s="41" t="s">
        <v>96</v>
      </c>
      <c r="F483" s="41">
        <f>F479*2</f>
        <v>954</v>
      </c>
      <c r="G483" s="41">
        <f>G58</f>
        <v>89.38</v>
      </c>
      <c r="H483" s="46">
        <f t="shared" si="23"/>
        <v>85268.52</v>
      </c>
      <c r="I483" s="84"/>
    </row>
    <row r="484" customHeight="1" spans="1:9">
      <c r="A484" s="40"/>
      <c r="B484" s="45" t="s">
        <v>208</v>
      </c>
      <c r="C484" s="40"/>
      <c r="D484" s="41"/>
      <c r="E484" s="41" t="s">
        <v>96</v>
      </c>
      <c r="F484" s="41">
        <f>F479</f>
        <v>477</v>
      </c>
      <c r="G484" s="41">
        <f>G59</f>
        <v>111.4</v>
      </c>
      <c r="H484" s="46">
        <f t="shared" si="23"/>
        <v>53137.8</v>
      </c>
      <c r="I484" s="84"/>
    </row>
    <row r="485" customHeight="1" spans="1:9">
      <c r="A485" s="40"/>
      <c r="B485" s="45" t="s">
        <v>209</v>
      </c>
      <c r="C485" s="41"/>
      <c r="D485" s="41"/>
      <c r="E485" s="41" t="s">
        <v>96</v>
      </c>
      <c r="F485" s="41">
        <f>F479*3</f>
        <v>1431</v>
      </c>
      <c r="G485" s="41">
        <v>49.43</v>
      </c>
      <c r="H485" s="46">
        <f t="shared" si="23"/>
        <v>70734.33</v>
      </c>
      <c r="I485" s="84"/>
    </row>
    <row r="486" customHeight="1" spans="1:9">
      <c r="A486" s="40"/>
      <c r="B486" s="45" t="s">
        <v>210</v>
      </c>
      <c r="C486" s="41"/>
      <c r="D486" s="41" t="s">
        <v>91</v>
      </c>
      <c r="E486" s="41" t="s">
        <v>96</v>
      </c>
      <c r="F486" s="41">
        <f>F479*3</f>
        <v>1431</v>
      </c>
      <c r="G486" s="41">
        <v>4.2</v>
      </c>
      <c r="H486" s="46">
        <f t="shared" si="23"/>
        <v>6010.2</v>
      </c>
      <c r="I486" s="84"/>
    </row>
    <row r="487" customHeight="1" spans="1:9">
      <c r="A487" s="40"/>
      <c r="B487" s="45" t="s">
        <v>211</v>
      </c>
      <c r="C487" s="41"/>
      <c r="D487" s="41" t="s">
        <v>91</v>
      </c>
      <c r="E487" s="41" t="s">
        <v>96</v>
      </c>
      <c r="F487" s="41">
        <f>F479*2</f>
        <v>954</v>
      </c>
      <c r="G487" s="41">
        <v>3.85</v>
      </c>
      <c r="H487" s="46">
        <f t="shared" si="23"/>
        <v>3672.9</v>
      </c>
      <c r="I487" s="84"/>
    </row>
    <row r="488" customHeight="1" spans="1:9">
      <c r="A488" s="40"/>
      <c r="B488" s="45" t="s">
        <v>212</v>
      </c>
      <c r="C488" s="41"/>
      <c r="D488" s="41" t="s">
        <v>91</v>
      </c>
      <c r="E488" s="41" t="s">
        <v>96</v>
      </c>
      <c r="F488" s="41">
        <f>F479</f>
        <v>477</v>
      </c>
      <c r="G488" s="41">
        <v>25.14</v>
      </c>
      <c r="H488" s="46">
        <f t="shared" si="23"/>
        <v>11991.78</v>
      </c>
      <c r="I488" s="84"/>
    </row>
    <row r="489" customHeight="1" spans="1:9">
      <c r="A489" s="40"/>
      <c r="B489" s="71" t="s">
        <v>162</v>
      </c>
      <c r="C489" s="72"/>
      <c r="D489" s="72" t="s">
        <v>91</v>
      </c>
      <c r="E489" s="72" t="s">
        <v>96</v>
      </c>
      <c r="F489" s="72">
        <f>F479*2</f>
        <v>954</v>
      </c>
      <c r="G489" s="41">
        <v>85.5</v>
      </c>
      <c r="H489" s="46">
        <f t="shared" si="23"/>
        <v>81567</v>
      </c>
      <c r="I489" s="74"/>
    </row>
    <row r="490" s="2" customFormat="1" ht="18.75" customHeight="1" spans="1:14">
      <c r="A490" s="70"/>
      <c r="B490" s="68" t="s">
        <v>163</v>
      </c>
      <c r="C490" s="16"/>
      <c r="D490" s="16"/>
      <c r="E490" s="9" t="s">
        <v>164</v>
      </c>
      <c r="F490" s="17">
        <f>688*(0.9*2.1)</f>
        <v>1300.32</v>
      </c>
      <c r="G490" s="17">
        <f>G65</f>
        <v>14.43</v>
      </c>
      <c r="H490" s="18">
        <f t="shared" si="23"/>
        <v>18763.6176</v>
      </c>
      <c r="I490" s="16"/>
      <c r="L490" s="25"/>
      <c r="N490" s="5"/>
    </row>
    <row r="491" s="2" customFormat="1" ht="18.75" customHeight="1" spans="1:14">
      <c r="A491" s="70"/>
      <c r="B491" s="68" t="s">
        <v>165</v>
      </c>
      <c r="C491" s="16"/>
      <c r="D491" s="16"/>
      <c r="E491" s="9" t="s">
        <v>164</v>
      </c>
      <c r="F491" s="17">
        <f>688*(0.9*1.8)</f>
        <v>1114.56</v>
      </c>
      <c r="G491" s="17">
        <f>G66</f>
        <v>14.49</v>
      </c>
      <c r="H491" s="18">
        <f t="shared" si="23"/>
        <v>16149.9744</v>
      </c>
      <c r="I491" s="16"/>
      <c r="L491" s="25"/>
      <c r="N491" s="5"/>
    </row>
    <row r="492" s="2" customFormat="1" ht="18.75" customHeight="1" spans="1:14">
      <c r="A492" s="70"/>
      <c r="B492" s="68" t="s">
        <v>166</v>
      </c>
      <c r="C492" s="16"/>
      <c r="D492" s="16"/>
      <c r="E492" s="9" t="s">
        <v>164</v>
      </c>
      <c r="F492" s="17">
        <f>688*(0.9*0.2)</f>
        <v>123.84</v>
      </c>
      <c r="G492" s="17">
        <f>G67</f>
        <v>16.87</v>
      </c>
      <c r="H492" s="18">
        <f t="shared" si="23"/>
        <v>2089.1808</v>
      </c>
      <c r="I492" s="16"/>
      <c r="L492" s="25"/>
      <c r="N492" s="5"/>
    </row>
    <row r="493" s="2" customFormat="1" ht="18.75" customHeight="1" spans="1:14">
      <c r="A493" s="70"/>
      <c r="B493" s="68" t="s">
        <v>167</v>
      </c>
      <c r="C493" s="16"/>
      <c r="D493" s="16"/>
      <c r="E493" s="9" t="s">
        <v>164</v>
      </c>
      <c r="F493" s="17">
        <f>688*(0.9*0.2)</f>
        <v>123.84</v>
      </c>
      <c r="G493" s="17">
        <v>209.39</v>
      </c>
      <c r="H493" s="18">
        <f t="shared" si="23"/>
        <v>25930.8576</v>
      </c>
      <c r="I493" s="16"/>
      <c r="L493" s="25"/>
      <c r="N493" s="5"/>
    </row>
    <row r="494" customHeight="1" spans="1:9">
      <c r="A494" s="40"/>
      <c r="B494" s="71" t="s">
        <v>200</v>
      </c>
      <c r="C494" s="72" t="s">
        <v>201</v>
      </c>
      <c r="D494" s="72"/>
      <c r="E494" s="72" t="s">
        <v>202</v>
      </c>
      <c r="F494" s="72">
        <v>1</v>
      </c>
      <c r="G494" s="73">
        <f>G296</f>
        <v>6923.78</v>
      </c>
      <c r="H494" s="46">
        <f t="shared" si="23"/>
        <v>6923.78</v>
      </c>
      <c r="I494" s="74"/>
    </row>
    <row r="495" ht="18.95" customHeight="1" spans="1:9">
      <c r="A495" s="40"/>
      <c r="B495" s="23" t="s">
        <v>168</v>
      </c>
      <c r="C495" s="41"/>
      <c r="D495" s="41"/>
      <c r="E495" s="41" t="s">
        <v>169</v>
      </c>
      <c r="F495" s="41"/>
      <c r="G495" s="41"/>
      <c r="H495" s="46">
        <f>SUM(H435:H494)</f>
        <v>1221261.83075</v>
      </c>
      <c r="I495" s="58"/>
    </row>
    <row r="496" customHeight="1" spans="1:9">
      <c r="A496" s="40">
        <v>9</v>
      </c>
      <c r="B496" s="53" t="s">
        <v>217</v>
      </c>
      <c r="C496" s="77"/>
      <c r="D496" s="77"/>
      <c r="E496" s="77"/>
      <c r="F496" s="77"/>
      <c r="G496" s="43"/>
      <c r="H496" s="43"/>
      <c r="I496" s="78"/>
    </row>
    <row r="497" customHeight="1" spans="1:9">
      <c r="A497" s="40"/>
      <c r="B497" s="45" t="s">
        <v>84</v>
      </c>
      <c r="C497" s="41" t="s">
        <v>171</v>
      </c>
      <c r="D497" s="41" t="s">
        <v>86</v>
      </c>
      <c r="E497" s="41" t="s">
        <v>23</v>
      </c>
      <c r="F497" s="41">
        <v>87</v>
      </c>
      <c r="G497" s="17">
        <v>78.32</v>
      </c>
      <c r="H497" s="46">
        <f t="shared" ref="H497:H546" si="26">F497*G497</f>
        <v>6813.84</v>
      </c>
      <c r="I497" s="79"/>
    </row>
    <row r="498" customHeight="1" spans="1:9">
      <c r="A498" s="40"/>
      <c r="B498" s="45" t="s">
        <v>84</v>
      </c>
      <c r="C498" s="41" t="s">
        <v>85</v>
      </c>
      <c r="D498" s="41" t="s">
        <v>86</v>
      </c>
      <c r="E498" s="41" t="s">
        <v>23</v>
      </c>
      <c r="F498" s="41">
        <v>120</v>
      </c>
      <c r="G498" s="17">
        <v>67.71</v>
      </c>
      <c r="H498" s="46">
        <f t="shared" si="26"/>
        <v>8125.2</v>
      </c>
      <c r="I498" s="79"/>
    </row>
    <row r="499" customHeight="1" spans="1:9">
      <c r="A499" s="40"/>
      <c r="B499" s="45" t="s">
        <v>84</v>
      </c>
      <c r="C499" s="41" t="s">
        <v>87</v>
      </c>
      <c r="D499" s="41" t="s">
        <v>86</v>
      </c>
      <c r="E499" s="41" t="s">
        <v>23</v>
      </c>
      <c r="F499" s="41">
        <v>35</v>
      </c>
      <c r="G499" s="17">
        <v>39.37</v>
      </c>
      <c r="H499" s="46">
        <f t="shared" si="26"/>
        <v>1377.95</v>
      </c>
      <c r="I499" s="79"/>
    </row>
    <row r="500" customHeight="1" spans="1:9">
      <c r="A500" s="40"/>
      <c r="B500" s="45" t="s">
        <v>89</v>
      </c>
      <c r="C500" s="41" t="s">
        <v>90</v>
      </c>
      <c r="D500" s="41" t="s">
        <v>91</v>
      </c>
      <c r="E500" s="41" t="s">
        <v>23</v>
      </c>
      <c r="F500" s="41">
        <v>770</v>
      </c>
      <c r="G500" s="17">
        <v>91.41</v>
      </c>
      <c r="H500" s="46">
        <f t="shared" si="26"/>
        <v>70385.7</v>
      </c>
      <c r="I500" s="79"/>
    </row>
    <row r="501" customHeight="1" spans="1:9">
      <c r="A501" s="40"/>
      <c r="B501" s="45" t="s">
        <v>89</v>
      </c>
      <c r="C501" s="41" t="s">
        <v>92</v>
      </c>
      <c r="D501" s="41" t="s">
        <v>91</v>
      </c>
      <c r="E501" s="41" t="s">
        <v>23</v>
      </c>
      <c r="F501" s="41">
        <v>1170</v>
      </c>
      <c r="G501" s="17">
        <v>77.13</v>
      </c>
      <c r="H501" s="46">
        <f t="shared" si="26"/>
        <v>90242.1</v>
      </c>
      <c r="I501" s="79"/>
    </row>
    <row r="502" customHeight="1" spans="1:9">
      <c r="A502" s="40"/>
      <c r="B502" s="45" t="s">
        <v>93</v>
      </c>
      <c r="C502" s="41" t="s">
        <v>98</v>
      </c>
      <c r="D502" s="41" t="s">
        <v>95</v>
      </c>
      <c r="E502" s="41" t="s">
        <v>96</v>
      </c>
      <c r="F502" s="41">
        <v>15</v>
      </c>
      <c r="G502" s="41">
        <v>56.95</v>
      </c>
      <c r="H502" s="46">
        <f t="shared" si="26"/>
        <v>854.25</v>
      </c>
      <c r="I502" s="79" t="s">
        <v>97</v>
      </c>
    </row>
    <row r="503" customHeight="1" spans="1:9">
      <c r="A503" s="40"/>
      <c r="B503" s="45" t="s">
        <v>100</v>
      </c>
      <c r="C503" s="41" t="s">
        <v>101</v>
      </c>
      <c r="D503" s="41" t="s">
        <v>91</v>
      </c>
      <c r="E503" s="41" t="s">
        <v>96</v>
      </c>
      <c r="F503" s="41">
        <v>156</v>
      </c>
      <c r="G503" s="17">
        <v>68.16</v>
      </c>
      <c r="H503" s="46">
        <f t="shared" si="26"/>
        <v>10632.96</v>
      </c>
      <c r="I503" s="79"/>
    </row>
    <row r="504" customHeight="1" spans="1:9">
      <c r="A504" s="40"/>
      <c r="B504" s="80" t="s">
        <v>103</v>
      </c>
      <c r="C504" s="81" t="s">
        <v>106</v>
      </c>
      <c r="D504" s="81" t="s">
        <v>91</v>
      </c>
      <c r="E504" s="81" t="s">
        <v>96</v>
      </c>
      <c r="F504" s="81">
        <v>78</v>
      </c>
      <c r="G504" s="41">
        <v>125.15</v>
      </c>
      <c r="H504" s="46">
        <f t="shared" si="26"/>
        <v>9761.7</v>
      </c>
      <c r="I504" s="81"/>
    </row>
    <row r="505" customHeight="1" spans="1:9">
      <c r="A505" s="40"/>
      <c r="B505" s="45" t="s">
        <v>108</v>
      </c>
      <c r="C505" s="41" t="s">
        <v>101</v>
      </c>
      <c r="D505" s="41" t="s">
        <v>91</v>
      </c>
      <c r="E505" s="41" t="s">
        <v>96</v>
      </c>
      <c r="F505" s="41">
        <v>15</v>
      </c>
      <c r="G505" s="41">
        <v>55</v>
      </c>
      <c r="H505" s="46">
        <f t="shared" si="26"/>
        <v>825</v>
      </c>
      <c r="I505" s="41"/>
    </row>
    <row r="506" customHeight="1" spans="1:9">
      <c r="A506" s="40"/>
      <c r="B506" s="45" t="s">
        <v>111</v>
      </c>
      <c r="C506" s="41" t="s">
        <v>177</v>
      </c>
      <c r="D506" s="41"/>
      <c r="E506" s="41" t="s">
        <v>96</v>
      </c>
      <c r="F506" s="41">
        <v>1</v>
      </c>
      <c r="G506" s="41">
        <v>98.97</v>
      </c>
      <c r="H506" s="46">
        <f t="shared" si="26"/>
        <v>98.97</v>
      </c>
      <c r="I506" s="41"/>
    </row>
    <row r="507" customHeight="1" spans="1:9">
      <c r="A507" s="40"/>
      <c r="B507" s="45" t="s">
        <v>111</v>
      </c>
      <c r="C507" s="41" t="s">
        <v>117</v>
      </c>
      <c r="D507" s="41"/>
      <c r="E507" s="41" t="s">
        <v>96</v>
      </c>
      <c r="F507" s="41">
        <v>4</v>
      </c>
      <c r="G507" s="41">
        <v>98.97</v>
      </c>
      <c r="H507" s="46">
        <f t="shared" si="26"/>
        <v>395.88</v>
      </c>
      <c r="I507" s="41"/>
    </row>
    <row r="508" customHeight="1" spans="1:9">
      <c r="A508" s="40"/>
      <c r="B508" s="45" t="s">
        <v>111</v>
      </c>
      <c r="C508" s="41" t="s">
        <v>113</v>
      </c>
      <c r="D508" s="41"/>
      <c r="E508" s="41" t="s">
        <v>96</v>
      </c>
      <c r="F508" s="41">
        <v>3</v>
      </c>
      <c r="G508" s="41">
        <v>94.07</v>
      </c>
      <c r="H508" s="46">
        <f t="shared" si="26"/>
        <v>282.21</v>
      </c>
      <c r="I508" s="41"/>
    </row>
    <row r="509" customHeight="1" spans="1:9">
      <c r="A509" s="40"/>
      <c r="B509" s="45" t="s">
        <v>111</v>
      </c>
      <c r="C509" s="41" t="s">
        <v>197</v>
      </c>
      <c r="D509" s="41"/>
      <c r="E509" s="41" t="s">
        <v>96</v>
      </c>
      <c r="F509" s="45">
        <v>2</v>
      </c>
      <c r="G509" s="41">
        <v>85.5</v>
      </c>
      <c r="H509" s="46">
        <f t="shared" si="26"/>
        <v>171</v>
      </c>
      <c r="I509" s="41"/>
    </row>
    <row r="510" customHeight="1" spans="1:9">
      <c r="A510" s="40"/>
      <c r="B510" s="45" t="s">
        <v>198</v>
      </c>
      <c r="C510" s="41" t="s">
        <v>178</v>
      </c>
      <c r="D510" s="41"/>
      <c r="E510" s="41" t="s">
        <v>96</v>
      </c>
      <c r="F510" s="45">
        <v>2</v>
      </c>
      <c r="G510" s="41">
        <v>99.52</v>
      </c>
      <c r="H510" s="46">
        <f t="shared" si="26"/>
        <v>199.04</v>
      </c>
      <c r="I510" s="41"/>
    </row>
    <row r="511" customHeight="1" spans="1:9">
      <c r="A511" s="40"/>
      <c r="B511" s="45" t="s">
        <v>198</v>
      </c>
      <c r="C511" s="41" t="s">
        <v>113</v>
      </c>
      <c r="D511" s="41"/>
      <c r="E511" s="41" t="s">
        <v>96</v>
      </c>
      <c r="F511" s="45">
        <v>2</v>
      </c>
      <c r="G511" s="41">
        <v>98.43</v>
      </c>
      <c r="H511" s="46">
        <f t="shared" si="26"/>
        <v>196.86</v>
      </c>
      <c r="I511" s="41"/>
    </row>
    <row r="512" customHeight="1" spans="1:9">
      <c r="A512" s="40"/>
      <c r="B512" s="45" t="s">
        <v>118</v>
      </c>
      <c r="C512" s="41" t="s">
        <v>179</v>
      </c>
      <c r="D512" s="41"/>
      <c r="E512" s="41" t="s">
        <v>96</v>
      </c>
      <c r="F512" s="45">
        <v>2</v>
      </c>
      <c r="G512" s="17">
        <v>91.72</v>
      </c>
      <c r="H512" s="46">
        <f t="shared" si="26"/>
        <v>183.44</v>
      </c>
      <c r="I512" s="41"/>
    </row>
    <row r="513" customHeight="1" spans="1:9">
      <c r="A513" s="40"/>
      <c r="B513" s="45" t="s">
        <v>118</v>
      </c>
      <c r="C513" s="41" t="s">
        <v>120</v>
      </c>
      <c r="D513" s="41"/>
      <c r="E513" s="41" t="s">
        <v>96</v>
      </c>
      <c r="F513" s="45">
        <v>2</v>
      </c>
      <c r="G513" s="17">
        <v>83.94</v>
      </c>
      <c r="H513" s="46">
        <f t="shared" si="26"/>
        <v>167.88</v>
      </c>
      <c r="I513" s="41"/>
    </row>
    <row r="514" customHeight="1" spans="1:9">
      <c r="A514" s="40"/>
      <c r="B514" s="45" t="s">
        <v>122</v>
      </c>
      <c r="C514" s="41" t="s">
        <v>179</v>
      </c>
      <c r="D514" s="41"/>
      <c r="E514" s="41" t="s">
        <v>96</v>
      </c>
      <c r="F514" s="45">
        <v>5</v>
      </c>
      <c r="G514" s="17">
        <v>101.7</v>
      </c>
      <c r="H514" s="46">
        <f t="shared" si="26"/>
        <v>508.5</v>
      </c>
      <c r="I514" s="41"/>
    </row>
    <row r="515" customHeight="1" spans="1:9">
      <c r="A515" s="40"/>
      <c r="B515" s="45" t="s">
        <v>122</v>
      </c>
      <c r="C515" s="41" t="s">
        <v>119</v>
      </c>
      <c r="D515" s="41"/>
      <c r="E515" s="41" t="s">
        <v>96</v>
      </c>
      <c r="F515" s="45">
        <v>6</v>
      </c>
      <c r="G515" s="17">
        <v>96.25</v>
      </c>
      <c r="H515" s="46">
        <f t="shared" si="26"/>
        <v>577.5</v>
      </c>
      <c r="I515" s="41"/>
    </row>
    <row r="516" customHeight="1" spans="1:9">
      <c r="A516" s="40"/>
      <c r="B516" s="45" t="s">
        <v>122</v>
      </c>
      <c r="C516" s="41" t="s">
        <v>120</v>
      </c>
      <c r="D516" s="41"/>
      <c r="E516" s="41" t="s">
        <v>96</v>
      </c>
      <c r="F516" s="45">
        <v>2</v>
      </c>
      <c r="G516" s="17">
        <v>94.07</v>
      </c>
      <c r="H516" s="46">
        <f t="shared" si="26"/>
        <v>188.14</v>
      </c>
      <c r="I516" s="41"/>
    </row>
    <row r="517" customHeight="1" spans="1:9">
      <c r="A517" s="40"/>
      <c r="B517" s="45" t="s">
        <v>123</v>
      </c>
      <c r="C517" s="41" t="s">
        <v>125</v>
      </c>
      <c r="D517" s="41"/>
      <c r="E517" s="41" t="s">
        <v>96</v>
      </c>
      <c r="F517" s="41">
        <v>15</v>
      </c>
      <c r="G517" s="17">
        <v>182.55</v>
      </c>
      <c r="H517" s="46">
        <f t="shared" si="26"/>
        <v>2738.25</v>
      </c>
      <c r="I517" s="41"/>
    </row>
    <row r="518" customHeight="1" spans="1:9">
      <c r="A518" s="40"/>
      <c r="B518" s="45" t="s">
        <v>127</v>
      </c>
      <c r="C518" s="41" t="s">
        <v>101</v>
      </c>
      <c r="D518" s="41"/>
      <c r="E518" s="41" t="s">
        <v>96</v>
      </c>
      <c r="F518" s="41">
        <v>15</v>
      </c>
      <c r="G518" s="17">
        <f>G40</f>
        <v>1682.16</v>
      </c>
      <c r="H518" s="46">
        <f t="shared" si="26"/>
        <v>25232.4</v>
      </c>
      <c r="I518" s="41"/>
    </row>
    <row r="519" customHeight="1" spans="1:9">
      <c r="A519" s="40"/>
      <c r="B519" s="45" t="s">
        <v>128</v>
      </c>
      <c r="C519" s="41" t="s">
        <v>199</v>
      </c>
      <c r="D519" s="41"/>
      <c r="E519" s="41" t="s">
        <v>130</v>
      </c>
      <c r="F519" s="41">
        <v>3</v>
      </c>
      <c r="G519" s="17">
        <f>G282</f>
        <v>24974.08</v>
      </c>
      <c r="H519" s="46">
        <f t="shared" si="26"/>
        <v>74922.24</v>
      </c>
      <c r="I519" s="41"/>
    </row>
    <row r="520" customHeight="1" spans="1:9">
      <c r="A520" s="40"/>
      <c r="B520" s="45" t="s">
        <v>131</v>
      </c>
      <c r="C520" s="41"/>
      <c r="D520" s="41"/>
      <c r="E520" s="41" t="s">
        <v>130</v>
      </c>
      <c r="F520" s="41">
        <v>3</v>
      </c>
      <c r="G520" s="41">
        <v>1220</v>
      </c>
      <c r="H520" s="46">
        <f t="shared" si="26"/>
        <v>3660</v>
      </c>
      <c r="I520" s="41"/>
    </row>
    <row r="521" customHeight="1" spans="1:9">
      <c r="A521" s="40"/>
      <c r="B521" s="45" t="s">
        <v>135</v>
      </c>
      <c r="C521" s="40" t="s">
        <v>136</v>
      </c>
      <c r="D521" s="41"/>
      <c r="E521" s="41" t="s">
        <v>137</v>
      </c>
      <c r="F521" s="41">
        <v>18</v>
      </c>
      <c r="G521" s="51">
        <f>0.04*7.85*4*5.5*1.45</f>
        <v>10.0166</v>
      </c>
      <c r="H521" s="46">
        <f t="shared" ref="H521:H524" si="27">F521*G521</f>
        <v>180.2988</v>
      </c>
      <c r="I521" s="58"/>
    </row>
    <row r="522" customHeight="1" spans="1:9">
      <c r="A522" s="40"/>
      <c r="B522" s="45" t="s">
        <v>138</v>
      </c>
      <c r="C522" s="41" t="s">
        <v>139</v>
      </c>
      <c r="D522" s="41"/>
      <c r="E522" s="41" t="s">
        <v>140</v>
      </c>
      <c r="F522" s="41">
        <v>6</v>
      </c>
      <c r="G522" s="51">
        <f>3.77*5.5*1.45</f>
        <v>30.06575</v>
      </c>
      <c r="H522" s="46">
        <f t="shared" si="27"/>
        <v>180.3945</v>
      </c>
      <c r="I522" s="58" t="s">
        <v>141</v>
      </c>
    </row>
    <row r="523" customHeight="1" spans="1:9">
      <c r="A523" s="40"/>
      <c r="B523" s="45" t="s">
        <v>142</v>
      </c>
      <c r="C523" s="41" t="s">
        <v>98</v>
      </c>
      <c r="D523" s="41" t="s">
        <v>95</v>
      </c>
      <c r="E523" s="41" t="s">
        <v>137</v>
      </c>
      <c r="F523" s="41">
        <v>21</v>
      </c>
      <c r="G523" s="17">
        <v>125.33</v>
      </c>
      <c r="H523" s="46">
        <f t="shared" si="27"/>
        <v>2631.93</v>
      </c>
      <c r="I523" s="41"/>
    </row>
    <row r="524" customHeight="1" spans="1:9">
      <c r="A524" s="40"/>
      <c r="B524" s="45" t="s">
        <v>143</v>
      </c>
      <c r="C524" s="41" t="s">
        <v>144</v>
      </c>
      <c r="D524" s="41"/>
      <c r="E524" s="41" t="s">
        <v>137</v>
      </c>
      <c r="F524" s="41">
        <v>3</v>
      </c>
      <c r="G524" s="41">
        <v>12.6</v>
      </c>
      <c r="H524" s="46">
        <f t="shared" si="27"/>
        <v>37.8</v>
      </c>
      <c r="I524" s="41"/>
    </row>
    <row r="525" customHeight="1" spans="1:9">
      <c r="A525" s="40"/>
      <c r="B525" s="45" t="s">
        <v>132</v>
      </c>
      <c r="C525" s="41"/>
      <c r="D525" s="41"/>
      <c r="E525" s="41" t="s">
        <v>23</v>
      </c>
      <c r="F525" s="41">
        <v>242</v>
      </c>
      <c r="G525" s="41">
        <f>G44</f>
        <v>3.79</v>
      </c>
      <c r="H525" s="46">
        <f t="shared" si="26"/>
        <v>917.18</v>
      </c>
      <c r="I525" s="41"/>
    </row>
    <row r="526" customHeight="1" spans="1:9">
      <c r="A526" s="40"/>
      <c r="B526" s="45" t="s">
        <v>133</v>
      </c>
      <c r="C526" s="41"/>
      <c r="D526" s="41"/>
      <c r="E526" s="41" t="s">
        <v>23</v>
      </c>
      <c r="F526" s="41">
        <v>242</v>
      </c>
      <c r="G526" s="41">
        <v>29.46</v>
      </c>
      <c r="H526" s="46">
        <f t="shared" si="26"/>
        <v>7129.32</v>
      </c>
      <c r="I526" s="41"/>
    </row>
    <row r="527" customHeight="1" spans="1:9">
      <c r="A527" s="40"/>
      <c r="B527" s="45" t="s">
        <v>134</v>
      </c>
      <c r="C527" s="41" t="s">
        <v>101</v>
      </c>
      <c r="D527" s="41"/>
      <c r="E527" s="41" t="s">
        <v>96</v>
      </c>
      <c r="F527" s="41">
        <v>154</v>
      </c>
      <c r="G527" s="17">
        <v>109.75</v>
      </c>
      <c r="H527" s="46">
        <f t="shared" si="26"/>
        <v>16901.5</v>
      </c>
      <c r="I527" s="41"/>
    </row>
    <row r="528" customHeight="1" spans="1:9">
      <c r="A528" s="40"/>
      <c r="B528" s="45" t="s">
        <v>135</v>
      </c>
      <c r="C528" s="40" t="s">
        <v>136</v>
      </c>
      <c r="D528" s="41"/>
      <c r="E528" s="41" t="s">
        <v>137</v>
      </c>
      <c r="F528" s="41">
        <v>700</v>
      </c>
      <c r="G528" s="51">
        <f>0.04*7.85*4*5.5*1.45</f>
        <v>10.0166</v>
      </c>
      <c r="H528" s="46">
        <f t="shared" si="26"/>
        <v>7011.62</v>
      </c>
      <c r="I528" s="58"/>
    </row>
    <row r="529" customHeight="1" spans="1:9">
      <c r="A529" s="40"/>
      <c r="B529" s="45" t="s">
        <v>138</v>
      </c>
      <c r="C529" s="41" t="s">
        <v>139</v>
      </c>
      <c r="D529" s="41"/>
      <c r="E529" s="41" t="s">
        <v>140</v>
      </c>
      <c r="F529" s="41">
        <v>15</v>
      </c>
      <c r="G529" s="51">
        <f>3.77*5.5*1.45</f>
        <v>30.06575</v>
      </c>
      <c r="H529" s="46">
        <f t="shared" si="26"/>
        <v>450.98625</v>
      </c>
      <c r="I529" s="58" t="s">
        <v>141</v>
      </c>
    </row>
    <row r="530" customHeight="1" spans="1:9">
      <c r="A530" s="40"/>
      <c r="B530" s="45" t="s">
        <v>142</v>
      </c>
      <c r="C530" s="41" t="s">
        <v>101</v>
      </c>
      <c r="D530" s="41" t="s">
        <v>95</v>
      </c>
      <c r="E530" s="41" t="s">
        <v>137</v>
      </c>
      <c r="F530" s="41">
        <v>60</v>
      </c>
      <c r="G530" s="17">
        <v>91.41</v>
      </c>
      <c r="H530" s="46">
        <f t="shared" si="26"/>
        <v>5484.6</v>
      </c>
      <c r="I530" s="41"/>
    </row>
    <row r="531" customHeight="1" spans="1:9">
      <c r="A531" s="40"/>
      <c r="B531" s="45" t="s">
        <v>143</v>
      </c>
      <c r="C531" s="41" t="s">
        <v>144</v>
      </c>
      <c r="D531" s="41"/>
      <c r="E531" s="41" t="s">
        <v>137</v>
      </c>
      <c r="F531" s="41">
        <v>15</v>
      </c>
      <c r="G531" s="41">
        <v>12.6</v>
      </c>
      <c r="H531" s="46">
        <f t="shared" si="26"/>
        <v>189</v>
      </c>
      <c r="I531" s="41"/>
    </row>
    <row r="532" customHeight="1" spans="1:9">
      <c r="A532" s="40"/>
      <c r="B532" s="45" t="s">
        <v>205</v>
      </c>
      <c r="C532" s="41" t="s">
        <v>146</v>
      </c>
      <c r="D532" s="41" t="s">
        <v>147</v>
      </c>
      <c r="E532" s="41" t="s">
        <v>148</v>
      </c>
      <c r="F532" s="41">
        <v>438</v>
      </c>
      <c r="G532" s="41">
        <v>501.96</v>
      </c>
      <c r="H532" s="46">
        <f t="shared" si="26"/>
        <v>219858.48</v>
      </c>
      <c r="I532" s="41" t="s">
        <v>206</v>
      </c>
    </row>
    <row r="533" customHeight="1" spans="1:9">
      <c r="A533" s="40"/>
      <c r="B533" s="45" t="s">
        <v>151</v>
      </c>
      <c r="C533" s="41"/>
      <c r="D533" s="41"/>
      <c r="E533" s="41" t="s">
        <v>96</v>
      </c>
      <c r="F533" s="41">
        <f>F532*2</f>
        <v>876</v>
      </c>
      <c r="G533" s="41">
        <v>18.45</v>
      </c>
      <c r="H533" s="46">
        <f t="shared" si="26"/>
        <v>16162.2</v>
      </c>
      <c r="I533" s="41"/>
    </row>
    <row r="534" customHeight="1" spans="1:9">
      <c r="A534" s="40"/>
      <c r="B534" s="45" t="s">
        <v>152</v>
      </c>
      <c r="C534" s="41"/>
      <c r="D534" s="41"/>
      <c r="E534" s="41" t="s">
        <v>96</v>
      </c>
      <c r="F534" s="41">
        <f>F532</f>
        <v>438</v>
      </c>
      <c r="G534" s="41">
        <v>358</v>
      </c>
      <c r="H534" s="46">
        <f t="shared" si="26"/>
        <v>156804</v>
      </c>
      <c r="I534" s="41"/>
    </row>
    <row r="535" customHeight="1" spans="1:9">
      <c r="A535" s="40"/>
      <c r="B535" s="45" t="s">
        <v>150</v>
      </c>
      <c r="C535" s="41"/>
      <c r="D535" s="41"/>
      <c r="E535" s="41" t="s">
        <v>137</v>
      </c>
      <c r="F535" s="41">
        <f>F532</f>
        <v>438</v>
      </c>
      <c r="G535" s="41">
        <v>30.25</v>
      </c>
      <c r="H535" s="46">
        <f t="shared" si="26"/>
        <v>13249.5</v>
      </c>
      <c r="I535" s="58"/>
    </row>
    <row r="536" customHeight="1" spans="1:9">
      <c r="A536" s="40"/>
      <c r="B536" s="45" t="s">
        <v>207</v>
      </c>
      <c r="C536" s="41"/>
      <c r="D536" s="41"/>
      <c r="E536" s="41" t="s">
        <v>96</v>
      </c>
      <c r="F536" s="41">
        <f>F532*2</f>
        <v>876</v>
      </c>
      <c r="G536" s="41">
        <f>G58</f>
        <v>89.38</v>
      </c>
      <c r="H536" s="46">
        <f t="shared" si="26"/>
        <v>78296.88</v>
      </c>
      <c r="I536" s="58"/>
    </row>
    <row r="537" customHeight="1" spans="1:9">
      <c r="A537" s="40"/>
      <c r="B537" s="45" t="s">
        <v>208</v>
      </c>
      <c r="C537" s="40"/>
      <c r="D537" s="41"/>
      <c r="E537" s="41" t="s">
        <v>96</v>
      </c>
      <c r="F537" s="41">
        <f>F532</f>
        <v>438</v>
      </c>
      <c r="G537" s="41">
        <f>G59</f>
        <v>111.4</v>
      </c>
      <c r="H537" s="46">
        <f t="shared" si="26"/>
        <v>48793.2</v>
      </c>
      <c r="I537" s="58"/>
    </row>
    <row r="538" customHeight="1" spans="1:9">
      <c r="A538" s="40"/>
      <c r="B538" s="45" t="s">
        <v>209</v>
      </c>
      <c r="C538" s="41"/>
      <c r="D538" s="41"/>
      <c r="E538" s="41" t="s">
        <v>96</v>
      </c>
      <c r="F538" s="41">
        <f>F532*3</f>
        <v>1314</v>
      </c>
      <c r="G538" s="41">
        <v>49.43</v>
      </c>
      <c r="H538" s="46">
        <f t="shared" si="26"/>
        <v>64951.02</v>
      </c>
      <c r="I538" s="58"/>
    </row>
    <row r="539" customHeight="1" spans="1:9">
      <c r="A539" s="40"/>
      <c r="B539" s="45" t="s">
        <v>210</v>
      </c>
      <c r="C539" s="41"/>
      <c r="D539" s="41" t="s">
        <v>91</v>
      </c>
      <c r="E539" s="41" t="s">
        <v>96</v>
      </c>
      <c r="F539" s="41">
        <f>F532*3</f>
        <v>1314</v>
      </c>
      <c r="G539" s="41">
        <v>4.2</v>
      </c>
      <c r="H539" s="46">
        <f t="shared" si="26"/>
        <v>5518.8</v>
      </c>
      <c r="I539" s="58"/>
    </row>
    <row r="540" customHeight="1" spans="1:9">
      <c r="A540" s="40"/>
      <c r="B540" s="45" t="s">
        <v>211</v>
      </c>
      <c r="C540" s="41"/>
      <c r="D540" s="41" t="s">
        <v>91</v>
      </c>
      <c r="E540" s="41" t="s">
        <v>96</v>
      </c>
      <c r="F540" s="41">
        <f>F532*2</f>
        <v>876</v>
      </c>
      <c r="G540" s="41">
        <v>3.85</v>
      </c>
      <c r="H540" s="46">
        <f t="shared" si="26"/>
        <v>3372.6</v>
      </c>
      <c r="I540" s="58"/>
    </row>
    <row r="541" customHeight="1" spans="1:9">
      <c r="A541" s="40"/>
      <c r="B541" s="45" t="s">
        <v>212</v>
      </c>
      <c r="C541" s="41"/>
      <c r="D541" s="41" t="s">
        <v>91</v>
      </c>
      <c r="E541" s="41" t="s">
        <v>96</v>
      </c>
      <c r="F541" s="41">
        <f>F532</f>
        <v>438</v>
      </c>
      <c r="G541" s="41">
        <v>25.14</v>
      </c>
      <c r="H541" s="46">
        <f t="shared" si="26"/>
        <v>11011.32</v>
      </c>
      <c r="I541" s="58"/>
    </row>
    <row r="542" customHeight="1" spans="1:9">
      <c r="A542" s="40"/>
      <c r="B542" s="71" t="s">
        <v>162</v>
      </c>
      <c r="C542" s="72"/>
      <c r="D542" s="72" t="s">
        <v>91</v>
      </c>
      <c r="E542" s="72" t="s">
        <v>96</v>
      </c>
      <c r="F542" s="72">
        <f>F532*2</f>
        <v>876</v>
      </c>
      <c r="G542" s="41">
        <v>85.5</v>
      </c>
      <c r="H542" s="46">
        <f t="shared" si="26"/>
        <v>74898</v>
      </c>
      <c r="I542" s="76"/>
    </row>
    <row r="543" s="2" customFormat="1" ht="18.75" customHeight="1" spans="1:14">
      <c r="A543" s="70"/>
      <c r="B543" s="68" t="s">
        <v>163</v>
      </c>
      <c r="C543" s="16"/>
      <c r="D543" s="16"/>
      <c r="E543" s="9" t="s">
        <v>164</v>
      </c>
      <c r="F543" s="17">
        <f>242*(0.9*2.1)</f>
        <v>457.38</v>
      </c>
      <c r="G543" s="17">
        <f>G65</f>
        <v>14.43</v>
      </c>
      <c r="H543" s="18">
        <f t="shared" si="26"/>
        <v>6599.9934</v>
      </c>
      <c r="I543" s="16"/>
      <c r="L543" s="25"/>
      <c r="N543" s="5"/>
    </row>
    <row r="544" s="2" customFormat="1" ht="18.75" customHeight="1" spans="1:14">
      <c r="A544" s="70"/>
      <c r="B544" s="68" t="s">
        <v>165</v>
      </c>
      <c r="C544" s="16"/>
      <c r="D544" s="16"/>
      <c r="E544" s="9" t="s">
        <v>164</v>
      </c>
      <c r="F544" s="17">
        <f>242*(0.9*1.8)</f>
        <v>392.04</v>
      </c>
      <c r="G544" s="17">
        <f>G66</f>
        <v>14.49</v>
      </c>
      <c r="H544" s="18">
        <f t="shared" si="26"/>
        <v>5680.6596</v>
      </c>
      <c r="I544" s="16"/>
      <c r="L544" s="25"/>
      <c r="N544" s="5"/>
    </row>
    <row r="545" s="2" customFormat="1" ht="18.75" customHeight="1" spans="1:14">
      <c r="A545" s="70"/>
      <c r="B545" s="68" t="s">
        <v>166</v>
      </c>
      <c r="C545" s="16"/>
      <c r="D545" s="16"/>
      <c r="E545" s="9" t="s">
        <v>164</v>
      </c>
      <c r="F545" s="17">
        <f>242*(0.9*0.2)</f>
        <v>43.56</v>
      </c>
      <c r="G545" s="17">
        <f>G67</f>
        <v>16.87</v>
      </c>
      <c r="H545" s="18">
        <f t="shared" si="26"/>
        <v>734.8572</v>
      </c>
      <c r="I545" s="16"/>
      <c r="L545" s="25"/>
      <c r="N545" s="5"/>
    </row>
    <row r="546" s="2" customFormat="1" ht="18.75" customHeight="1" spans="1:14">
      <c r="A546" s="70"/>
      <c r="B546" s="68" t="s">
        <v>167</v>
      </c>
      <c r="C546" s="16"/>
      <c r="D546" s="16"/>
      <c r="E546" s="9" t="s">
        <v>164</v>
      </c>
      <c r="F546" s="17">
        <f>242*(0.9*0.2)</f>
        <v>43.56</v>
      </c>
      <c r="G546" s="17">
        <v>209.39</v>
      </c>
      <c r="H546" s="18">
        <f t="shared" si="26"/>
        <v>9121.0284</v>
      </c>
      <c r="I546" s="16"/>
      <c r="L546" s="25"/>
      <c r="N546" s="5"/>
    </row>
    <row r="547" ht="18.95" customHeight="1" spans="1:9">
      <c r="A547" s="40"/>
      <c r="B547" s="23" t="s">
        <v>168</v>
      </c>
      <c r="C547" s="41"/>
      <c r="D547" s="41"/>
      <c r="E547" s="41" t="s">
        <v>169</v>
      </c>
      <c r="F547" s="41"/>
      <c r="G547" s="41"/>
      <c r="H547" s="46">
        <f>SUM(H497:H546)</f>
        <v>1064708.17815</v>
      </c>
      <c r="I547" s="58"/>
    </row>
    <row r="548" customHeight="1" spans="1:9">
      <c r="A548" s="65">
        <v>10</v>
      </c>
      <c r="B548" s="44" t="s">
        <v>218</v>
      </c>
      <c r="C548" s="44"/>
      <c r="D548" s="44"/>
      <c r="E548" s="44"/>
      <c r="F548" s="44"/>
      <c r="G548" s="44"/>
      <c r="H548" s="44"/>
      <c r="I548" s="53"/>
    </row>
    <row r="549" customHeight="1" spans="1:9">
      <c r="A549" s="40"/>
      <c r="B549" s="45" t="s">
        <v>84</v>
      </c>
      <c r="C549" s="41" t="s">
        <v>171</v>
      </c>
      <c r="D549" s="41" t="s">
        <v>86</v>
      </c>
      <c r="E549" s="41" t="s">
        <v>23</v>
      </c>
      <c r="F549" s="41">
        <v>318</v>
      </c>
      <c r="G549" s="17">
        <v>78.32</v>
      </c>
      <c r="H549" s="46">
        <f t="shared" ref="H549:H612" si="28">F549*G549</f>
        <v>24905.76</v>
      </c>
      <c r="I549" s="41"/>
    </row>
    <row r="550" customHeight="1" spans="1:9">
      <c r="A550" s="40"/>
      <c r="B550" s="45" t="s">
        <v>84</v>
      </c>
      <c r="C550" s="41" t="s">
        <v>85</v>
      </c>
      <c r="D550" s="41" t="s">
        <v>86</v>
      </c>
      <c r="E550" s="41" t="s">
        <v>23</v>
      </c>
      <c r="F550" s="41">
        <v>231</v>
      </c>
      <c r="G550" s="17">
        <v>67.71</v>
      </c>
      <c r="H550" s="46">
        <f t="shared" si="28"/>
        <v>15641.01</v>
      </c>
      <c r="I550" s="41"/>
    </row>
    <row r="551" customHeight="1" spans="1:9">
      <c r="A551" s="40"/>
      <c r="B551" s="45" t="s">
        <v>84</v>
      </c>
      <c r="C551" s="41" t="s">
        <v>87</v>
      </c>
      <c r="D551" s="41" t="s">
        <v>86</v>
      </c>
      <c r="E551" s="41" t="s">
        <v>23</v>
      </c>
      <c r="F551" s="41">
        <v>354</v>
      </c>
      <c r="G551" s="17">
        <v>39.37</v>
      </c>
      <c r="H551" s="46">
        <f t="shared" si="28"/>
        <v>13936.98</v>
      </c>
      <c r="I551" s="41"/>
    </row>
    <row r="552" customHeight="1" spans="1:9">
      <c r="A552" s="40"/>
      <c r="B552" s="45" t="s">
        <v>84</v>
      </c>
      <c r="C552" s="41" t="s">
        <v>88</v>
      </c>
      <c r="D552" s="41" t="s">
        <v>86</v>
      </c>
      <c r="E552" s="41" t="s">
        <v>23</v>
      </c>
      <c r="F552" s="41">
        <v>20</v>
      </c>
      <c r="G552" s="41">
        <v>31.5</v>
      </c>
      <c r="H552" s="46">
        <f t="shared" si="28"/>
        <v>630</v>
      </c>
      <c r="I552" s="41"/>
    </row>
    <row r="553" customHeight="1" spans="1:9">
      <c r="A553" s="40"/>
      <c r="B553" s="45" t="s">
        <v>89</v>
      </c>
      <c r="C553" s="41" t="s">
        <v>172</v>
      </c>
      <c r="D553" s="41" t="s">
        <v>91</v>
      </c>
      <c r="E553" s="41" t="s">
        <v>23</v>
      </c>
      <c r="F553" s="41">
        <v>118</v>
      </c>
      <c r="G553" s="17">
        <v>167.5</v>
      </c>
      <c r="H553" s="46">
        <f t="shared" si="28"/>
        <v>19765</v>
      </c>
      <c r="I553" s="41"/>
    </row>
    <row r="554" customHeight="1" spans="1:9">
      <c r="A554" s="40"/>
      <c r="B554" s="45" t="s">
        <v>89</v>
      </c>
      <c r="C554" s="41" t="s">
        <v>173</v>
      </c>
      <c r="D554" s="41" t="s">
        <v>91</v>
      </c>
      <c r="E554" s="41" t="s">
        <v>23</v>
      </c>
      <c r="F554" s="41">
        <v>507</v>
      </c>
      <c r="G554" s="17">
        <v>125.33</v>
      </c>
      <c r="H554" s="46">
        <f t="shared" si="28"/>
        <v>63542.31</v>
      </c>
      <c r="I554" s="41"/>
    </row>
    <row r="555" customHeight="1" spans="1:9">
      <c r="A555" s="40"/>
      <c r="B555" s="45" t="s">
        <v>89</v>
      </c>
      <c r="C555" s="41" t="s">
        <v>90</v>
      </c>
      <c r="D555" s="41" t="s">
        <v>91</v>
      </c>
      <c r="E555" s="41" t="s">
        <v>23</v>
      </c>
      <c r="F555" s="41">
        <v>560</v>
      </c>
      <c r="G555" s="17">
        <v>91.41</v>
      </c>
      <c r="H555" s="46">
        <f t="shared" si="28"/>
        <v>51189.6</v>
      </c>
      <c r="I555" s="41"/>
    </row>
    <row r="556" customHeight="1" spans="1:9">
      <c r="A556" s="40"/>
      <c r="B556" s="45" t="s">
        <v>89</v>
      </c>
      <c r="C556" s="41" t="s">
        <v>92</v>
      </c>
      <c r="D556" s="41" t="s">
        <v>91</v>
      </c>
      <c r="E556" s="41" t="s">
        <v>23</v>
      </c>
      <c r="F556" s="41">
        <v>1942</v>
      </c>
      <c r="G556" s="17">
        <v>77.13</v>
      </c>
      <c r="H556" s="46">
        <f t="shared" si="28"/>
        <v>149786.46</v>
      </c>
      <c r="I556" s="41"/>
    </row>
    <row r="557" customHeight="1" spans="1:9">
      <c r="A557" s="40"/>
      <c r="B557" s="45" t="s">
        <v>93</v>
      </c>
      <c r="C557" s="41" t="s">
        <v>94</v>
      </c>
      <c r="D557" s="41" t="s">
        <v>95</v>
      </c>
      <c r="E557" s="41" t="s">
        <v>96</v>
      </c>
      <c r="F557" s="41">
        <v>9</v>
      </c>
      <c r="G557" s="41">
        <v>112.63</v>
      </c>
      <c r="H557" s="46">
        <f t="shared" si="28"/>
        <v>1013.67</v>
      </c>
      <c r="I557" s="41" t="s">
        <v>97</v>
      </c>
    </row>
    <row r="558" customHeight="1" spans="1:9">
      <c r="A558" s="40"/>
      <c r="B558" s="45" t="s">
        <v>93</v>
      </c>
      <c r="C558" s="41" t="s">
        <v>98</v>
      </c>
      <c r="D558" s="41" t="s">
        <v>95</v>
      </c>
      <c r="E558" s="41" t="s">
        <v>96</v>
      </c>
      <c r="F558" s="41">
        <v>10</v>
      </c>
      <c r="G558" s="41">
        <v>56.95</v>
      </c>
      <c r="H558" s="46">
        <f t="shared" si="28"/>
        <v>569.5</v>
      </c>
      <c r="I558" s="41" t="s">
        <v>97</v>
      </c>
    </row>
    <row r="559" customHeight="1" spans="1:9">
      <c r="A559" s="40"/>
      <c r="B559" s="45" t="s">
        <v>93</v>
      </c>
      <c r="C559" s="41" t="s">
        <v>99</v>
      </c>
      <c r="D559" s="41" t="s">
        <v>95</v>
      </c>
      <c r="E559" s="41" t="s">
        <v>96</v>
      </c>
      <c r="F559" s="41">
        <v>4</v>
      </c>
      <c r="G559" s="41">
        <v>40.19</v>
      </c>
      <c r="H559" s="46">
        <f t="shared" si="28"/>
        <v>160.76</v>
      </c>
      <c r="I559" s="41" t="s">
        <v>97</v>
      </c>
    </row>
    <row r="560" customHeight="1" spans="1:9">
      <c r="A560" s="40"/>
      <c r="B560" s="45" t="s">
        <v>100</v>
      </c>
      <c r="C560" s="41" t="s">
        <v>174</v>
      </c>
      <c r="D560" s="41" t="s">
        <v>91</v>
      </c>
      <c r="E560" s="41" t="s">
        <v>96</v>
      </c>
      <c r="F560" s="41">
        <v>11</v>
      </c>
      <c r="G560" s="17">
        <v>155.44</v>
      </c>
      <c r="H560" s="46">
        <f t="shared" si="28"/>
        <v>1709.84</v>
      </c>
      <c r="I560" s="41"/>
    </row>
    <row r="561" customHeight="1" spans="1:9">
      <c r="A561" s="40"/>
      <c r="B561" s="45" t="s">
        <v>100</v>
      </c>
      <c r="C561" s="41" t="s">
        <v>98</v>
      </c>
      <c r="D561" s="41" t="s">
        <v>91</v>
      </c>
      <c r="E561" s="41" t="s">
        <v>96</v>
      </c>
      <c r="F561" s="41">
        <v>83</v>
      </c>
      <c r="G561" s="17">
        <v>132.78</v>
      </c>
      <c r="H561" s="46">
        <f t="shared" si="28"/>
        <v>11020.74</v>
      </c>
      <c r="I561" s="41"/>
    </row>
    <row r="562" customHeight="1" spans="1:9">
      <c r="A562" s="40"/>
      <c r="B562" s="45" t="s">
        <v>100</v>
      </c>
      <c r="C562" s="41" t="s">
        <v>101</v>
      </c>
      <c r="D562" s="41" t="s">
        <v>91</v>
      </c>
      <c r="E562" s="41" t="s">
        <v>96</v>
      </c>
      <c r="F562" s="41">
        <v>52</v>
      </c>
      <c r="G562" s="17">
        <v>68.16</v>
      </c>
      <c r="H562" s="46">
        <f t="shared" si="28"/>
        <v>3544.32</v>
      </c>
      <c r="I562" s="41"/>
    </row>
    <row r="563" customHeight="1" spans="1:9">
      <c r="A563" s="40"/>
      <c r="B563" s="45" t="s">
        <v>100</v>
      </c>
      <c r="C563" s="41" t="s">
        <v>102</v>
      </c>
      <c r="D563" s="41" t="s">
        <v>91</v>
      </c>
      <c r="E563" s="41" t="s">
        <v>96</v>
      </c>
      <c r="F563" s="41">
        <v>264</v>
      </c>
      <c r="G563" s="17">
        <v>57.26</v>
      </c>
      <c r="H563" s="46">
        <f t="shared" si="28"/>
        <v>15116.64</v>
      </c>
      <c r="I563" s="41"/>
    </row>
    <row r="564" customHeight="1" spans="1:9">
      <c r="A564" s="40"/>
      <c r="B564" s="45" t="s">
        <v>103</v>
      </c>
      <c r="C564" s="41" t="s">
        <v>219</v>
      </c>
      <c r="D564" s="41" t="s">
        <v>91</v>
      </c>
      <c r="E564" s="41" t="s">
        <v>96</v>
      </c>
      <c r="F564" s="41">
        <v>1</v>
      </c>
      <c r="G564" s="17">
        <v>231.72</v>
      </c>
      <c r="H564" s="46">
        <f t="shared" si="28"/>
        <v>231.72</v>
      </c>
      <c r="I564" s="41"/>
    </row>
    <row r="565" customHeight="1" spans="1:9">
      <c r="A565" s="40"/>
      <c r="B565" s="45" t="s">
        <v>103</v>
      </c>
      <c r="C565" s="41" t="s">
        <v>175</v>
      </c>
      <c r="D565" s="41" t="s">
        <v>91</v>
      </c>
      <c r="E565" s="41" t="s">
        <v>96</v>
      </c>
      <c r="F565" s="41">
        <v>1</v>
      </c>
      <c r="G565" s="17">
        <v>231.72</v>
      </c>
      <c r="H565" s="46">
        <f t="shared" si="28"/>
        <v>231.72</v>
      </c>
      <c r="I565" s="41"/>
    </row>
    <row r="566" customHeight="1" spans="1:9">
      <c r="A566" s="40"/>
      <c r="B566" s="45" t="s">
        <v>103</v>
      </c>
      <c r="C566" s="41" t="s">
        <v>188</v>
      </c>
      <c r="D566" s="41" t="s">
        <v>91</v>
      </c>
      <c r="E566" s="41" t="s">
        <v>96</v>
      </c>
      <c r="F566" s="41">
        <v>1</v>
      </c>
      <c r="G566" s="17">
        <v>231.72</v>
      </c>
      <c r="H566" s="46">
        <f t="shared" si="28"/>
        <v>231.72</v>
      </c>
      <c r="I566" s="41"/>
    </row>
    <row r="567" customHeight="1" spans="1:9">
      <c r="A567" s="40"/>
      <c r="B567" s="45" t="s">
        <v>103</v>
      </c>
      <c r="C567" s="41" t="s">
        <v>105</v>
      </c>
      <c r="D567" s="41" t="s">
        <v>91</v>
      </c>
      <c r="E567" s="41" t="s">
        <v>96</v>
      </c>
      <c r="F567" s="41">
        <v>1</v>
      </c>
      <c r="G567" s="17">
        <v>125.15</v>
      </c>
      <c r="H567" s="46">
        <f t="shared" si="28"/>
        <v>125.15</v>
      </c>
      <c r="I567" s="41"/>
    </row>
    <row r="568" customHeight="1" spans="1:9">
      <c r="A568" s="40"/>
      <c r="B568" s="45" t="s">
        <v>108</v>
      </c>
      <c r="C568" s="41" t="s">
        <v>174</v>
      </c>
      <c r="D568" s="41" t="s">
        <v>91</v>
      </c>
      <c r="E568" s="41" t="s">
        <v>96</v>
      </c>
      <c r="F568" s="41">
        <v>1</v>
      </c>
      <c r="G568" s="41"/>
      <c r="H568" s="46">
        <f t="shared" si="28"/>
        <v>0</v>
      </c>
      <c r="I568" s="41"/>
    </row>
    <row r="569" customHeight="1" spans="1:9">
      <c r="A569" s="40"/>
      <c r="B569" s="45" t="s">
        <v>108</v>
      </c>
      <c r="C569" s="41" t="s">
        <v>98</v>
      </c>
      <c r="D569" s="41" t="s">
        <v>91</v>
      </c>
      <c r="E569" s="41" t="s">
        <v>96</v>
      </c>
      <c r="F569" s="41">
        <v>7</v>
      </c>
      <c r="G569" s="17">
        <v>85</v>
      </c>
      <c r="H569" s="46">
        <f t="shared" si="28"/>
        <v>595</v>
      </c>
      <c r="I569" s="41"/>
    </row>
    <row r="570" customHeight="1" spans="1:9">
      <c r="A570" s="40"/>
      <c r="B570" s="45" t="s">
        <v>108</v>
      </c>
      <c r="C570" s="41" t="s">
        <v>101</v>
      </c>
      <c r="D570" s="41" t="s">
        <v>91</v>
      </c>
      <c r="E570" s="41" t="s">
        <v>96</v>
      </c>
      <c r="F570" s="41">
        <v>6</v>
      </c>
      <c r="G570" s="17">
        <v>55</v>
      </c>
      <c r="H570" s="46">
        <f t="shared" si="28"/>
        <v>330</v>
      </c>
      <c r="I570" s="41"/>
    </row>
    <row r="571" customHeight="1" spans="1:9">
      <c r="A571" s="40"/>
      <c r="B571" s="45" t="s">
        <v>108</v>
      </c>
      <c r="C571" s="41" t="s">
        <v>102</v>
      </c>
      <c r="D571" s="41" t="s">
        <v>91</v>
      </c>
      <c r="E571" s="41" t="s">
        <v>96</v>
      </c>
      <c r="F571" s="41">
        <v>4</v>
      </c>
      <c r="G571" s="41">
        <v>45</v>
      </c>
      <c r="H571" s="46">
        <f t="shared" si="28"/>
        <v>180</v>
      </c>
      <c r="I571" s="41"/>
    </row>
    <row r="572" customHeight="1" spans="1:9">
      <c r="A572" s="40"/>
      <c r="B572" s="45" t="s">
        <v>111</v>
      </c>
      <c r="C572" s="41" t="s">
        <v>177</v>
      </c>
      <c r="D572" s="41"/>
      <c r="E572" s="41" t="s">
        <v>96</v>
      </c>
      <c r="F572" s="41">
        <v>1</v>
      </c>
      <c r="G572" s="41">
        <v>98.97</v>
      </c>
      <c r="H572" s="46">
        <f t="shared" si="28"/>
        <v>98.97</v>
      </c>
      <c r="I572" s="41"/>
    </row>
    <row r="573" customHeight="1" spans="1:9">
      <c r="A573" s="40"/>
      <c r="B573" s="45" t="s">
        <v>111</v>
      </c>
      <c r="C573" s="41" t="s">
        <v>178</v>
      </c>
      <c r="D573" s="41"/>
      <c r="E573" s="41" t="s">
        <v>96</v>
      </c>
      <c r="F573" s="41">
        <v>1</v>
      </c>
      <c r="G573" s="41">
        <v>98.97</v>
      </c>
      <c r="H573" s="46">
        <f t="shared" si="28"/>
        <v>98.97</v>
      </c>
      <c r="I573" s="41"/>
    </row>
    <row r="574" customHeight="1" spans="1:9">
      <c r="A574" s="40"/>
      <c r="B574" s="45" t="s">
        <v>111</v>
      </c>
      <c r="C574" s="41" t="s">
        <v>117</v>
      </c>
      <c r="D574" s="41"/>
      <c r="E574" s="41" t="s">
        <v>96</v>
      </c>
      <c r="F574" s="41">
        <v>5</v>
      </c>
      <c r="G574" s="41">
        <v>98.97</v>
      </c>
      <c r="H574" s="46">
        <f t="shared" si="28"/>
        <v>494.85</v>
      </c>
      <c r="I574" s="41"/>
    </row>
    <row r="575" customHeight="1" spans="1:9">
      <c r="A575" s="40"/>
      <c r="B575" s="45" t="s">
        <v>111</v>
      </c>
      <c r="C575" s="41" t="s">
        <v>114</v>
      </c>
      <c r="D575" s="41"/>
      <c r="E575" s="41" t="s">
        <v>96</v>
      </c>
      <c r="F575" s="41">
        <v>3</v>
      </c>
      <c r="G575" s="17">
        <v>94.07</v>
      </c>
      <c r="H575" s="46">
        <f t="shared" si="28"/>
        <v>282.21</v>
      </c>
      <c r="I575" s="41"/>
    </row>
    <row r="576" customHeight="1" spans="1:9">
      <c r="A576" s="40"/>
      <c r="B576" s="45" t="s">
        <v>198</v>
      </c>
      <c r="C576" s="41" t="s">
        <v>178</v>
      </c>
      <c r="D576" s="41"/>
      <c r="E576" s="41" t="s">
        <v>96</v>
      </c>
      <c r="F576" s="45">
        <v>2</v>
      </c>
      <c r="G576" s="41">
        <v>99.52</v>
      </c>
      <c r="H576" s="46">
        <f t="shared" si="28"/>
        <v>199.04</v>
      </c>
      <c r="I576" s="41"/>
    </row>
    <row r="577" customHeight="1" spans="1:9">
      <c r="A577" s="40"/>
      <c r="B577" s="45" t="s">
        <v>198</v>
      </c>
      <c r="C577" s="41" t="s">
        <v>113</v>
      </c>
      <c r="D577" s="41"/>
      <c r="E577" s="41" t="s">
        <v>96</v>
      </c>
      <c r="F577" s="45">
        <v>2</v>
      </c>
      <c r="G577" s="45">
        <v>90.8</v>
      </c>
      <c r="H577" s="46">
        <f t="shared" si="28"/>
        <v>181.6</v>
      </c>
      <c r="I577" s="41"/>
    </row>
    <row r="578" customHeight="1" spans="1:9">
      <c r="A578" s="40"/>
      <c r="B578" s="45" t="s">
        <v>198</v>
      </c>
      <c r="C578" s="41" t="s">
        <v>115</v>
      </c>
      <c r="D578" s="41"/>
      <c r="E578" s="41" t="s">
        <v>96</v>
      </c>
      <c r="F578" s="45">
        <v>1</v>
      </c>
      <c r="G578" s="45">
        <v>83.94</v>
      </c>
      <c r="H578" s="46">
        <f t="shared" si="28"/>
        <v>83.94</v>
      </c>
      <c r="I578" s="41"/>
    </row>
    <row r="579" customHeight="1" spans="1:9">
      <c r="A579" s="40"/>
      <c r="B579" s="45" t="s">
        <v>118</v>
      </c>
      <c r="C579" s="41" t="s">
        <v>179</v>
      </c>
      <c r="D579" s="41"/>
      <c r="E579" s="41" t="s">
        <v>96</v>
      </c>
      <c r="F579" s="45">
        <v>3</v>
      </c>
      <c r="G579" s="17">
        <v>91.72</v>
      </c>
      <c r="H579" s="46">
        <f t="shared" si="28"/>
        <v>275.16</v>
      </c>
      <c r="I579" s="41"/>
    </row>
    <row r="580" customHeight="1" spans="1:9">
      <c r="A580" s="40"/>
      <c r="B580" s="45" t="s">
        <v>118</v>
      </c>
      <c r="C580" s="41" t="s">
        <v>119</v>
      </c>
      <c r="D580" s="41"/>
      <c r="E580" s="41" t="s">
        <v>96</v>
      </c>
      <c r="F580" s="45">
        <v>3</v>
      </c>
      <c r="G580" s="17">
        <v>90.8</v>
      </c>
      <c r="H580" s="46">
        <f t="shared" si="28"/>
        <v>272.4</v>
      </c>
      <c r="I580" s="41"/>
    </row>
    <row r="581" customHeight="1" spans="1:9">
      <c r="A581" s="40"/>
      <c r="B581" s="45" t="s">
        <v>118</v>
      </c>
      <c r="C581" s="41" t="s">
        <v>120</v>
      </c>
      <c r="D581" s="41"/>
      <c r="E581" s="41" t="s">
        <v>96</v>
      </c>
      <c r="F581" s="45">
        <v>3</v>
      </c>
      <c r="G581" s="17">
        <v>83.94</v>
      </c>
      <c r="H581" s="46">
        <f t="shared" si="28"/>
        <v>251.82</v>
      </c>
      <c r="I581" s="41"/>
    </row>
    <row r="582" customHeight="1" spans="1:9">
      <c r="A582" s="40"/>
      <c r="B582" s="45" t="s">
        <v>122</v>
      </c>
      <c r="C582" s="41" t="s">
        <v>179</v>
      </c>
      <c r="D582" s="41"/>
      <c r="E582" s="41" t="s">
        <v>96</v>
      </c>
      <c r="F582" s="45">
        <v>2</v>
      </c>
      <c r="G582" s="17">
        <v>101.7</v>
      </c>
      <c r="H582" s="46">
        <f t="shared" si="28"/>
        <v>203.4</v>
      </c>
      <c r="I582" s="41"/>
    </row>
    <row r="583" customHeight="1" spans="1:9">
      <c r="A583" s="40"/>
      <c r="B583" s="45" t="s">
        <v>122</v>
      </c>
      <c r="C583" s="41" t="s">
        <v>119</v>
      </c>
      <c r="D583" s="41"/>
      <c r="E583" s="41" t="s">
        <v>96</v>
      </c>
      <c r="F583" s="45">
        <v>8</v>
      </c>
      <c r="G583" s="17">
        <v>96.25</v>
      </c>
      <c r="H583" s="46">
        <f t="shared" si="28"/>
        <v>770</v>
      </c>
      <c r="I583" s="41"/>
    </row>
    <row r="584" customHeight="1" spans="1:9">
      <c r="A584" s="40"/>
      <c r="B584" s="45" t="s">
        <v>122</v>
      </c>
      <c r="C584" s="41" t="s">
        <v>120</v>
      </c>
      <c r="D584" s="41"/>
      <c r="E584" s="41" t="s">
        <v>96</v>
      </c>
      <c r="F584" s="45">
        <v>7</v>
      </c>
      <c r="G584" s="17">
        <v>94.07</v>
      </c>
      <c r="H584" s="46">
        <f t="shared" si="28"/>
        <v>658.49</v>
      </c>
      <c r="I584" s="41"/>
    </row>
    <row r="585" customHeight="1" spans="1:9">
      <c r="A585" s="40"/>
      <c r="B585" s="45" t="s">
        <v>122</v>
      </c>
      <c r="C585" s="41" t="s">
        <v>121</v>
      </c>
      <c r="D585" s="41"/>
      <c r="E585" s="41" t="s">
        <v>96</v>
      </c>
      <c r="F585" s="45">
        <v>6</v>
      </c>
      <c r="G585" s="45">
        <v>42.2</v>
      </c>
      <c r="H585" s="46">
        <f t="shared" si="28"/>
        <v>253.2</v>
      </c>
      <c r="I585" s="41"/>
    </row>
    <row r="586" customHeight="1" spans="1:9">
      <c r="A586" s="40"/>
      <c r="B586" s="45" t="s">
        <v>123</v>
      </c>
      <c r="C586" s="41" t="s">
        <v>180</v>
      </c>
      <c r="D586" s="41"/>
      <c r="E586" s="41" t="s">
        <v>96</v>
      </c>
      <c r="F586" s="41">
        <v>3</v>
      </c>
      <c r="G586" s="17">
        <v>376.13</v>
      </c>
      <c r="H586" s="46">
        <f t="shared" si="28"/>
        <v>1128.39</v>
      </c>
      <c r="I586" s="41"/>
    </row>
    <row r="587" customHeight="1" spans="1:9">
      <c r="A587" s="40"/>
      <c r="B587" s="45" t="s">
        <v>123</v>
      </c>
      <c r="C587" s="41" t="s">
        <v>124</v>
      </c>
      <c r="D587" s="41"/>
      <c r="E587" s="41" t="s">
        <v>96</v>
      </c>
      <c r="F587" s="41">
        <v>2</v>
      </c>
      <c r="G587" s="17">
        <v>263.71</v>
      </c>
      <c r="H587" s="46">
        <f t="shared" si="28"/>
        <v>527.42</v>
      </c>
      <c r="I587" s="41"/>
    </row>
    <row r="588" customHeight="1" spans="1:9">
      <c r="A588" s="40"/>
      <c r="B588" s="45" t="s">
        <v>123</v>
      </c>
      <c r="C588" s="41" t="s">
        <v>125</v>
      </c>
      <c r="D588" s="41"/>
      <c r="E588" s="41" t="s">
        <v>96</v>
      </c>
      <c r="F588" s="41">
        <v>9</v>
      </c>
      <c r="G588" s="17">
        <v>182.55</v>
      </c>
      <c r="H588" s="46">
        <f t="shared" si="28"/>
        <v>1642.95</v>
      </c>
      <c r="I588" s="41"/>
    </row>
    <row r="589" customHeight="1" spans="1:9">
      <c r="A589" s="40"/>
      <c r="B589" s="45" t="s">
        <v>123</v>
      </c>
      <c r="C589" s="41" t="s">
        <v>126</v>
      </c>
      <c r="D589" s="41"/>
      <c r="E589" s="41" t="s">
        <v>96</v>
      </c>
      <c r="F589" s="41">
        <v>4</v>
      </c>
      <c r="G589" s="41">
        <v>46.6</v>
      </c>
      <c r="H589" s="46">
        <f t="shared" si="28"/>
        <v>186.4</v>
      </c>
      <c r="I589" s="41"/>
    </row>
    <row r="590" customHeight="1" spans="1:9">
      <c r="A590" s="40"/>
      <c r="B590" s="45" t="s">
        <v>127</v>
      </c>
      <c r="C590" s="41" t="s">
        <v>174</v>
      </c>
      <c r="D590" s="41"/>
      <c r="E590" s="41" t="s">
        <v>96</v>
      </c>
      <c r="F590" s="41">
        <v>3</v>
      </c>
      <c r="G590" s="17">
        <v>3690.76</v>
      </c>
      <c r="H590" s="46">
        <f t="shared" si="28"/>
        <v>11072.28</v>
      </c>
      <c r="I590" s="41"/>
    </row>
    <row r="591" customHeight="1" spans="1:9">
      <c r="A591" s="40"/>
      <c r="B591" s="45" t="s">
        <v>127</v>
      </c>
      <c r="C591" s="41" t="s">
        <v>98</v>
      </c>
      <c r="D591" s="41"/>
      <c r="E591" s="41" t="s">
        <v>96</v>
      </c>
      <c r="F591" s="41">
        <v>5</v>
      </c>
      <c r="G591" s="17">
        <v>2874.81</v>
      </c>
      <c r="H591" s="46">
        <f t="shared" si="28"/>
        <v>14374.05</v>
      </c>
      <c r="I591" s="41"/>
    </row>
    <row r="592" customHeight="1" spans="1:9">
      <c r="A592" s="40"/>
      <c r="B592" s="45" t="s">
        <v>127</v>
      </c>
      <c r="C592" s="41" t="s">
        <v>101</v>
      </c>
      <c r="D592" s="41"/>
      <c r="E592" s="41" t="s">
        <v>96</v>
      </c>
      <c r="F592" s="41">
        <v>10</v>
      </c>
      <c r="G592" s="17">
        <f>G40</f>
        <v>1682.16</v>
      </c>
      <c r="H592" s="46">
        <f t="shared" si="28"/>
        <v>16821.6</v>
      </c>
      <c r="I592" s="41"/>
    </row>
    <row r="593" customHeight="1" spans="1:9">
      <c r="A593" s="40"/>
      <c r="B593" s="45" t="s">
        <v>127</v>
      </c>
      <c r="C593" s="41" t="s">
        <v>102</v>
      </c>
      <c r="D593" s="41"/>
      <c r="E593" s="41" t="s">
        <v>96</v>
      </c>
      <c r="F593" s="41">
        <v>4</v>
      </c>
      <c r="G593" s="17">
        <f>G41</f>
        <v>280</v>
      </c>
      <c r="H593" s="46">
        <f t="shared" si="28"/>
        <v>1120</v>
      </c>
      <c r="I593" s="41"/>
    </row>
    <row r="594" customHeight="1" spans="1:9">
      <c r="A594" s="40"/>
      <c r="B594" s="45" t="s">
        <v>128</v>
      </c>
      <c r="C594" s="41" t="s">
        <v>199</v>
      </c>
      <c r="D594" s="41"/>
      <c r="E594" s="41" t="s">
        <v>130</v>
      </c>
      <c r="F594" s="41">
        <v>1</v>
      </c>
      <c r="G594" s="17">
        <f>G282</f>
        <v>24974.08</v>
      </c>
      <c r="H594" s="46">
        <f t="shared" si="28"/>
        <v>24974.08</v>
      </c>
      <c r="I594" s="41"/>
    </row>
    <row r="595" customHeight="1" spans="1:9">
      <c r="A595" s="40"/>
      <c r="B595" s="45" t="s">
        <v>128</v>
      </c>
      <c r="C595" s="41" t="s">
        <v>190</v>
      </c>
      <c r="D595" s="41"/>
      <c r="E595" s="41" t="s">
        <v>130</v>
      </c>
      <c r="F595" s="41">
        <v>1</v>
      </c>
      <c r="G595" s="41">
        <f>G218</f>
        <v>19524.08</v>
      </c>
      <c r="H595" s="46">
        <f t="shared" si="28"/>
        <v>19524.08</v>
      </c>
      <c r="I595" s="41"/>
    </row>
    <row r="596" customHeight="1" spans="1:9">
      <c r="A596" s="40"/>
      <c r="B596" s="45" t="s">
        <v>128</v>
      </c>
      <c r="C596" s="41" t="s">
        <v>129</v>
      </c>
      <c r="D596" s="41"/>
      <c r="E596" s="41" t="s">
        <v>130</v>
      </c>
      <c r="F596" s="41">
        <v>2</v>
      </c>
      <c r="G596" s="41">
        <f>G42</f>
        <v>10251.47</v>
      </c>
      <c r="H596" s="46">
        <f t="shared" si="28"/>
        <v>20502.94</v>
      </c>
      <c r="I596" s="41"/>
    </row>
    <row r="597" customHeight="1" spans="1:9">
      <c r="A597" s="40"/>
      <c r="B597" s="45" t="s">
        <v>131</v>
      </c>
      <c r="C597" s="41"/>
      <c r="D597" s="41"/>
      <c r="E597" s="41" t="s">
        <v>130</v>
      </c>
      <c r="F597" s="41">
        <v>4</v>
      </c>
      <c r="G597" s="41">
        <v>1220</v>
      </c>
      <c r="H597" s="46">
        <f t="shared" si="28"/>
        <v>4880</v>
      </c>
      <c r="I597" s="41"/>
    </row>
    <row r="598" customHeight="1" spans="1:9">
      <c r="A598" s="40"/>
      <c r="B598" s="45" t="s">
        <v>132</v>
      </c>
      <c r="C598" s="41"/>
      <c r="D598" s="41"/>
      <c r="E598" s="41" t="s">
        <v>23</v>
      </c>
      <c r="F598" s="41">
        <v>923</v>
      </c>
      <c r="G598" s="41">
        <f>G44</f>
        <v>3.79</v>
      </c>
      <c r="H598" s="46">
        <f t="shared" si="28"/>
        <v>3498.17</v>
      </c>
      <c r="I598" s="41"/>
    </row>
    <row r="599" customHeight="1" spans="1:9">
      <c r="A599" s="40"/>
      <c r="B599" s="45" t="s">
        <v>133</v>
      </c>
      <c r="C599" s="41"/>
      <c r="D599" s="41"/>
      <c r="E599" s="41" t="s">
        <v>23</v>
      </c>
      <c r="F599" s="41">
        <v>923</v>
      </c>
      <c r="G599" s="41">
        <v>29.46</v>
      </c>
      <c r="H599" s="46">
        <f t="shared" si="28"/>
        <v>27191.58</v>
      </c>
      <c r="I599" s="41"/>
    </row>
    <row r="600" customHeight="1" spans="1:9">
      <c r="A600" s="40"/>
      <c r="B600" s="45" t="s">
        <v>134</v>
      </c>
      <c r="C600" s="41" t="s">
        <v>174</v>
      </c>
      <c r="D600" s="41"/>
      <c r="E600" s="41" t="s">
        <v>96</v>
      </c>
      <c r="F600" s="41">
        <v>17</v>
      </c>
      <c r="G600" s="17">
        <v>140.97</v>
      </c>
      <c r="H600" s="46">
        <f t="shared" si="28"/>
        <v>2396.49</v>
      </c>
      <c r="I600" s="41"/>
    </row>
    <row r="601" customHeight="1" spans="1:9">
      <c r="A601" s="40"/>
      <c r="B601" s="45" t="s">
        <v>134</v>
      </c>
      <c r="C601" s="41" t="s">
        <v>98</v>
      </c>
      <c r="D601" s="41"/>
      <c r="E601" s="41" t="s">
        <v>96</v>
      </c>
      <c r="F601" s="41">
        <v>85</v>
      </c>
      <c r="G601" s="17">
        <v>125.57</v>
      </c>
      <c r="H601" s="46">
        <f t="shared" si="28"/>
        <v>10673.45</v>
      </c>
      <c r="I601" s="41"/>
    </row>
    <row r="602" customHeight="1" spans="1:9">
      <c r="A602" s="40"/>
      <c r="B602" s="45" t="s">
        <v>134</v>
      </c>
      <c r="C602" s="41" t="s">
        <v>101</v>
      </c>
      <c r="D602" s="41"/>
      <c r="E602" s="41" t="s">
        <v>96</v>
      </c>
      <c r="F602" s="41">
        <v>12</v>
      </c>
      <c r="G602" s="17">
        <v>109.75</v>
      </c>
      <c r="H602" s="46">
        <f t="shared" si="28"/>
        <v>1317</v>
      </c>
      <c r="I602" s="41"/>
    </row>
    <row r="603" customHeight="1" spans="1:9">
      <c r="A603" s="40"/>
      <c r="B603" s="45" t="s">
        <v>134</v>
      </c>
      <c r="C603" s="41" t="s">
        <v>102</v>
      </c>
      <c r="D603" s="41"/>
      <c r="E603" s="41" t="s">
        <v>96</v>
      </c>
      <c r="F603" s="41">
        <v>486</v>
      </c>
      <c r="G603" s="41">
        <v>60.29</v>
      </c>
      <c r="H603" s="46">
        <f t="shared" si="28"/>
        <v>29300.94</v>
      </c>
      <c r="I603" s="41"/>
    </row>
    <row r="604" customHeight="1" spans="1:9">
      <c r="A604" s="40"/>
      <c r="B604" s="45" t="s">
        <v>135</v>
      </c>
      <c r="C604" s="40" t="s">
        <v>136</v>
      </c>
      <c r="D604" s="41"/>
      <c r="E604" s="41" t="s">
        <v>137</v>
      </c>
      <c r="F604" s="41">
        <v>2213</v>
      </c>
      <c r="G604" s="17">
        <f>0.04*7.85*4*5.5*1.35</f>
        <v>9.3258</v>
      </c>
      <c r="H604" s="46">
        <f t="shared" si="28"/>
        <v>20637.9954</v>
      </c>
      <c r="I604" s="58"/>
    </row>
    <row r="605" customHeight="1" spans="1:9">
      <c r="A605" s="40"/>
      <c r="B605" s="45" t="s">
        <v>138</v>
      </c>
      <c r="C605" s="41" t="s">
        <v>139</v>
      </c>
      <c r="D605" s="41"/>
      <c r="E605" s="41" t="s">
        <v>140</v>
      </c>
      <c r="F605" s="41">
        <v>165</v>
      </c>
      <c r="G605" s="17">
        <f>3.77*5.5*1.35</f>
        <v>27.99225</v>
      </c>
      <c r="H605" s="46">
        <f t="shared" si="28"/>
        <v>4618.72125</v>
      </c>
      <c r="I605" s="58" t="s">
        <v>141</v>
      </c>
    </row>
    <row r="606" customHeight="1" spans="1:9">
      <c r="A606" s="40"/>
      <c r="B606" s="45" t="s">
        <v>142</v>
      </c>
      <c r="C606" s="41" t="s">
        <v>98</v>
      </c>
      <c r="D606" s="41" t="s">
        <v>95</v>
      </c>
      <c r="E606" s="41" t="s">
        <v>137</v>
      </c>
      <c r="F606" s="41">
        <v>28</v>
      </c>
      <c r="G606" s="17">
        <v>125.33</v>
      </c>
      <c r="H606" s="46">
        <f t="shared" si="28"/>
        <v>3509.24</v>
      </c>
      <c r="I606" s="41"/>
    </row>
    <row r="607" customHeight="1" spans="1:9">
      <c r="A607" s="40"/>
      <c r="B607" s="45" t="s">
        <v>142</v>
      </c>
      <c r="C607" s="41" t="s">
        <v>101</v>
      </c>
      <c r="D607" s="41" t="s">
        <v>95</v>
      </c>
      <c r="E607" s="41" t="s">
        <v>137</v>
      </c>
      <c r="F607" s="41">
        <v>76</v>
      </c>
      <c r="G607" s="17">
        <v>91.41</v>
      </c>
      <c r="H607" s="46">
        <f t="shared" si="28"/>
        <v>6947.16</v>
      </c>
      <c r="I607" s="41"/>
    </row>
    <row r="608" customHeight="1" spans="1:9">
      <c r="A608" s="40"/>
      <c r="B608" s="45" t="s">
        <v>143</v>
      </c>
      <c r="C608" s="41" t="s">
        <v>144</v>
      </c>
      <c r="D608" s="41"/>
      <c r="E608" s="41" t="s">
        <v>137</v>
      </c>
      <c r="F608" s="41">
        <v>13</v>
      </c>
      <c r="G608" s="41">
        <v>12.6</v>
      </c>
      <c r="H608" s="46">
        <f t="shared" si="28"/>
        <v>163.8</v>
      </c>
      <c r="I608" s="41"/>
    </row>
    <row r="609" customHeight="1" spans="1:9">
      <c r="A609" s="40"/>
      <c r="B609" s="45" t="s">
        <v>205</v>
      </c>
      <c r="C609" s="41" t="s">
        <v>146</v>
      </c>
      <c r="D609" s="41" t="s">
        <v>147</v>
      </c>
      <c r="E609" s="41" t="s">
        <v>148</v>
      </c>
      <c r="F609" s="41">
        <v>580</v>
      </c>
      <c r="G609" s="41">
        <v>501.96</v>
      </c>
      <c r="H609" s="46">
        <f t="shared" si="28"/>
        <v>291136.8</v>
      </c>
      <c r="I609" s="41" t="s">
        <v>206</v>
      </c>
    </row>
    <row r="610" customHeight="1" spans="1:9">
      <c r="A610" s="40"/>
      <c r="B610" s="45" t="s">
        <v>151</v>
      </c>
      <c r="C610" s="41"/>
      <c r="D610" s="41"/>
      <c r="E610" s="41" t="s">
        <v>96</v>
      </c>
      <c r="F610" s="41">
        <f>F609*2</f>
        <v>1160</v>
      </c>
      <c r="G610" s="41">
        <v>18.45</v>
      </c>
      <c r="H610" s="46">
        <f t="shared" si="28"/>
        <v>21402</v>
      </c>
      <c r="I610" s="41"/>
    </row>
    <row r="611" customHeight="1" spans="1:9">
      <c r="A611" s="40"/>
      <c r="B611" s="45" t="s">
        <v>152</v>
      </c>
      <c r="C611" s="41"/>
      <c r="D611" s="41"/>
      <c r="E611" s="41" t="s">
        <v>96</v>
      </c>
      <c r="F611" s="41">
        <f>F609</f>
        <v>580</v>
      </c>
      <c r="G611" s="41">
        <v>358</v>
      </c>
      <c r="H611" s="46">
        <f t="shared" si="28"/>
        <v>207640</v>
      </c>
      <c r="I611" s="41"/>
    </row>
    <row r="612" customHeight="1" spans="1:9">
      <c r="A612" s="40"/>
      <c r="B612" s="45" t="s">
        <v>150</v>
      </c>
      <c r="C612" s="41"/>
      <c r="D612" s="41"/>
      <c r="E612" s="41" t="s">
        <v>137</v>
      </c>
      <c r="F612" s="41">
        <f>F609</f>
        <v>580</v>
      </c>
      <c r="G612" s="41">
        <v>30.25</v>
      </c>
      <c r="H612" s="46">
        <f t="shared" si="28"/>
        <v>17545</v>
      </c>
      <c r="I612" s="58"/>
    </row>
    <row r="613" customHeight="1" spans="1:9">
      <c r="A613" s="40"/>
      <c r="B613" s="45" t="s">
        <v>207</v>
      </c>
      <c r="C613" s="41"/>
      <c r="D613" s="41"/>
      <c r="E613" s="41" t="s">
        <v>96</v>
      </c>
      <c r="F613" s="41">
        <f>F609*2</f>
        <v>1160</v>
      </c>
      <c r="G613" s="41">
        <f>G58</f>
        <v>89.38</v>
      </c>
      <c r="H613" s="46">
        <f t="shared" ref="H613:H636" si="29">F613*G613</f>
        <v>103680.8</v>
      </c>
      <c r="I613" s="58"/>
    </row>
    <row r="614" customHeight="1" spans="1:9">
      <c r="A614" s="40"/>
      <c r="B614" s="45" t="s">
        <v>208</v>
      </c>
      <c r="C614" s="40"/>
      <c r="D614" s="41"/>
      <c r="E614" s="41" t="s">
        <v>96</v>
      </c>
      <c r="F614" s="41">
        <f>F609</f>
        <v>580</v>
      </c>
      <c r="G614" s="41">
        <f>G59</f>
        <v>111.4</v>
      </c>
      <c r="H614" s="46">
        <f t="shared" si="29"/>
        <v>64612</v>
      </c>
      <c r="I614" s="58"/>
    </row>
    <row r="615" customHeight="1" spans="1:9">
      <c r="A615" s="40"/>
      <c r="B615" s="45" t="s">
        <v>209</v>
      </c>
      <c r="C615" s="41"/>
      <c r="D615" s="41"/>
      <c r="E615" s="41" t="s">
        <v>96</v>
      </c>
      <c r="F615" s="41">
        <f>F609*3</f>
        <v>1740</v>
      </c>
      <c r="G615" s="41">
        <v>49.43</v>
      </c>
      <c r="H615" s="46">
        <f t="shared" si="29"/>
        <v>86008.2</v>
      </c>
      <c r="I615" s="58"/>
    </row>
    <row r="616" customHeight="1" spans="1:9">
      <c r="A616" s="40"/>
      <c r="B616" s="45" t="s">
        <v>210</v>
      </c>
      <c r="C616" s="41"/>
      <c r="D616" s="41" t="s">
        <v>91</v>
      </c>
      <c r="E616" s="41" t="s">
        <v>96</v>
      </c>
      <c r="F616" s="41">
        <f>F609*3</f>
        <v>1740</v>
      </c>
      <c r="G616" s="41">
        <v>4.2</v>
      </c>
      <c r="H616" s="46">
        <f t="shared" si="29"/>
        <v>7308</v>
      </c>
      <c r="I616" s="58"/>
    </row>
    <row r="617" customHeight="1" spans="1:9">
      <c r="A617" s="40"/>
      <c r="B617" s="45" t="s">
        <v>211</v>
      </c>
      <c r="C617" s="41"/>
      <c r="D617" s="41" t="s">
        <v>91</v>
      </c>
      <c r="E617" s="41" t="s">
        <v>96</v>
      </c>
      <c r="F617" s="41">
        <f>F609*2</f>
        <v>1160</v>
      </c>
      <c r="G617" s="41">
        <v>3.85</v>
      </c>
      <c r="H617" s="46">
        <f t="shared" si="29"/>
        <v>4466</v>
      </c>
      <c r="I617" s="58"/>
    </row>
    <row r="618" customHeight="1" spans="1:9">
      <c r="A618" s="40"/>
      <c r="B618" s="45" t="s">
        <v>212</v>
      </c>
      <c r="C618" s="41"/>
      <c r="D618" s="41" t="s">
        <v>91</v>
      </c>
      <c r="E618" s="41" t="s">
        <v>96</v>
      </c>
      <c r="F618" s="41">
        <f>F609</f>
        <v>580</v>
      </c>
      <c r="G618" s="41">
        <v>25.14</v>
      </c>
      <c r="H618" s="46">
        <f t="shared" si="29"/>
        <v>14581.2</v>
      </c>
      <c r="I618" s="58"/>
    </row>
    <row r="619" customHeight="1" spans="1:9">
      <c r="A619" s="40"/>
      <c r="B619" s="71" t="s">
        <v>162</v>
      </c>
      <c r="C619" s="72"/>
      <c r="D619" s="72" t="s">
        <v>91</v>
      </c>
      <c r="E619" s="72" t="s">
        <v>96</v>
      </c>
      <c r="F619" s="72">
        <f>F609*2</f>
        <v>1160</v>
      </c>
      <c r="G619" s="41">
        <v>85.5</v>
      </c>
      <c r="H619" s="46">
        <f t="shared" si="29"/>
        <v>99180</v>
      </c>
      <c r="I619" s="76"/>
    </row>
    <row r="620" customHeight="1" spans="1:9">
      <c r="A620" s="40"/>
      <c r="B620" s="45" t="s">
        <v>220</v>
      </c>
      <c r="C620" s="41" t="s">
        <v>174</v>
      </c>
      <c r="D620" s="41"/>
      <c r="E620" s="41" t="s">
        <v>96</v>
      </c>
      <c r="F620" s="41">
        <v>1</v>
      </c>
      <c r="G620" s="41">
        <v>12430.51</v>
      </c>
      <c r="H620" s="46">
        <f t="shared" si="29"/>
        <v>12430.51</v>
      </c>
      <c r="I620" s="41"/>
    </row>
    <row r="621" customHeight="1" spans="1:9">
      <c r="A621" s="40"/>
      <c r="B621" s="45" t="s">
        <v>221</v>
      </c>
      <c r="C621" s="41" t="s">
        <v>222</v>
      </c>
      <c r="D621" s="41"/>
      <c r="E621" s="41" t="s">
        <v>96</v>
      </c>
      <c r="F621" s="41">
        <v>2</v>
      </c>
      <c r="G621" s="41">
        <v>539.84</v>
      </c>
      <c r="H621" s="46">
        <f t="shared" si="29"/>
        <v>1079.68</v>
      </c>
      <c r="I621" s="41"/>
    </row>
    <row r="622" customHeight="1" spans="1:9">
      <c r="A622" s="40"/>
      <c r="B622" s="45" t="s">
        <v>223</v>
      </c>
      <c r="C622" s="41" t="s">
        <v>224</v>
      </c>
      <c r="D622" s="41"/>
      <c r="E622" s="41" t="s">
        <v>96</v>
      </c>
      <c r="F622" s="41">
        <v>2</v>
      </c>
      <c r="G622" s="41">
        <v>137.92</v>
      </c>
      <c r="H622" s="46">
        <f t="shared" si="29"/>
        <v>275.84</v>
      </c>
      <c r="I622" s="41"/>
    </row>
    <row r="623" customHeight="1" spans="1:9">
      <c r="A623" s="40"/>
      <c r="B623" s="45" t="s">
        <v>225</v>
      </c>
      <c r="C623" s="41" t="s">
        <v>226</v>
      </c>
      <c r="D623" s="41"/>
      <c r="E623" s="41" t="s">
        <v>96</v>
      </c>
      <c r="F623" s="41">
        <v>1</v>
      </c>
      <c r="G623" s="41">
        <v>580.9</v>
      </c>
      <c r="H623" s="46">
        <f t="shared" si="29"/>
        <v>580.9</v>
      </c>
      <c r="I623" s="41"/>
    </row>
    <row r="624" customHeight="1" spans="1:9">
      <c r="A624" s="40"/>
      <c r="B624" s="45" t="s">
        <v>227</v>
      </c>
      <c r="C624" s="41" t="s">
        <v>228</v>
      </c>
      <c r="D624" s="41"/>
      <c r="E624" s="41" t="s">
        <v>96</v>
      </c>
      <c r="F624" s="41">
        <v>1</v>
      </c>
      <c r="G624" s="41">
        <v>3690.76</v>
      </c>
      <c r="H624" s="46">
        <f t="shared" si="29"/>
        <v>3690.76</v>
      </c>
      <c r="I624" s="41"/>
    </row>
    <row r="625" customHeight="1" spans="1:9">
      <c r="A625" s="40"/>
      <c r="B625" s="45" t="s">
        <v>229</v>
      </c>
      <c r="C625" s="41" t="s">
        <v>174</v>
      </c>
      <c r="D625" s="41"/>
      <c r="E625" s="41" t="s">
        <v>96</v>
      </c>
      <c r="F625" s="41">
        <v>2</v>
      </c>
      <c r="G625" s="41">
        <v>90</v>
      </c>
      <c r="H625" s="46">
        <f t="shared" si="29"/>
        <v>180</v>
      </c>
      <c r="I625" s="41"/>
    </row>
    <row r="626" customHeight="1" spans="1:9">
      <c r="A626" s="40"/>
      <c r="B626" s="45" t="s">
        <v>229</v>
      </c>
      <c r="C626" s="41" t="s">
        <v>101</v>
      </c>
      <c r="D626" s="41"/>
      <c r="E626" s="41" t="s">
        <v>96</v>
      </c>
      <c r="F626" s="41">
        <v>1</v>
      </c>
      <c r="G626" s="41">
        <v>45</v>
      </c>
      <c r="H626" s="46">
        <f t="shared" si="29"/>
        <v>45</v>
      </c>
      <c r="I626" s="41"/>
    </row>
    <row r="627" customHeight="1" spans="1:9">
      <c r="A627" s="40"/>
      <c r="B627" s="45" t="s">
        <v>230</v>
      </c>
      <c r="C627" s="41" t="s">
        <v>101</v>
      </c>
      <c r="D627" s="41"/>
      <c r="E627" s="41" t="s">
        <v>96</v>
      </c>
      <c r="F627" s="41">
        <v>1</v>
      </c>
      <c r="G627" s="41">
        <v>45</v>
      </c>
      <c r="H627" s="46">
        <f t="shared" si="29"/>
        <v>45</v>
      </c>
      <c r="I627" s="41"/>
    </row>
    <row r="628" customHeight="1" spans="1:9">
      <c r="A628" s="40"/>
      <c r="B628" s="45" t="s">
        <v>231</v>
      </c>
      <c r="C628" s="41" t="s">
        <v>232</v>
      </c>
      <c r="D628" s="41"/>
      <c r="E628" s="41" t="s">
        <v>96</v>
      </c>
      <c r="F628" s="41">
        <v>2</v>
      </c>
      <c r="G628" s="41">
        <v>120</v>
      </c>
      <c r="H628" s="46">
        <f t="shared" si="29"/>
        <v>240</v>
      </c>
      <c r="I628" s="41"/>
    </row>
    <row r="629" customHeight="1" spans="1:9">
      <c r="A629" s="40"/>
      <c r="B629" s="45" t="s">
        <v>233</v>
      </c>
      <c r="C629" s="41" t="s">
        <v>234</v>
      </c>
      <c r="D629" s="41"/>
      <c r="E629" s="41" t="s">
        <v>96</v>
      </c>
      <c r="F629" s="41">
        <v>2</v>
      </c>
      <c r="G629" s="41">
        <v>409.96</v>
      </c>
      <c r="H629" s="46">
        <f t="shared" si="29"/>
        <v>819.92</v>
      </c>
      <c r="I629" s="41"/>
    </row>
    <row r="630" customHeight="1" spans="1:9">
      <c r="A630" s="40"/>
      <c r="B630" s="45" t="s">
        <v>89</v>
      </c>
      <c r="C630" s="41" t="s">
        <v>235</v>
      </c>
      <c r="D630" s="41" t="s">
        <v>91</v>
      </c>
      <c r="E630" s="41" t="s">
        <v>23</v>
      </c>
      <c r="F630" s="41">
        <v>4</v>
      </c>
      <c r="G630" s="17">
        <v>167.5</v>
      </c>
      <c r="H630" s="46">
        <f t="shared" si="29"/>
        <v>670</v>
      </c>
      <c r="I630" s="41"/>
    </row>
    <row r="631" customHeight="1" spans="1:9">
      <c r="A631" s="40"/>
      <c r="B631" s="45" t="s">
        <v>236</v>
      </c>
      <c r="C631" s="41" t="s">
        <v>180</v>
      </c>
      <c r="D631" s="41"/>
      <c r="E631" s="41" t="s">
        <v>96</v>
      </c>
      <c r="F631" s="41">
        <v>2</v>
      </c>
      <c r="G631" s="17">
        <v>376.13</v>
      </c>
      <c r="H631" s="46">
        <f t="shared" si="29"/>
        <v>752.26</v>
      </c>
      <c r="I631" s="41"/>
    </row>
    <row r="632" customHeight="1" spans="1:9">
      <c r="A632" s="40"/>
      <c r="B632" s="45" t="s">
        <v>191</v>
      </c>
      <c r="C632" s="40"/>
      <c r="D632" s="69" t="s">
        <v>192</v>
      </c>
      <c r="E632" s="40" t="s">
        <v>137</v>
      </c>
      <c r="F632" s="41">
        <v>208</v>
      </c>
      <c r="G632" s="41">
        <f>G241</f>
        <v>180.73</v>
      </c>
      <c r="H632" s="46">
        <f t="shared" si="29"/>
        <v>37591.84</v>
      </c>
      <c r="I632" s="69"/>
    </row>
    <row r="633" s="2" customFormat="1" ht="18.75" customHeight="1" spans="1:14">
      <c r="A633" s="40"/>
      <c r="B633" s="68" t="s">
        <v>163</v>
      </c>
      <c r="C633" s="16"/>
      <c r="D633" s="16"/>
      <c r="E633" s="9" t="s">
        <v>164</v>
      </c>
      <c r="F633" s="17">
        <f>923*(0.9*2.1)</f>
        <v>1744.47</v>
      </c>
      <c r="G633" s="17">
        <f>G65</f>
        <v>14.43</v>
      </c>
      <c r="H633" s="18">
        <f t="shared" si="29"/>
        <v>25172.7021</v>
      </c>
      <c r="I633" s="16"/>
      <c r="L633" s="25"/>
      <c r="N633" s="5"/>
    </row>
    <row r="634" s="2" customFormat="1" ht="18.75" customHeight="1" spans="1:14">
      <c r="A634" s="40"/>
      <c r="B634" s="68" t="s">
        <v>165</v>
      </c>
      <c r="C634" s="16"/>
      <c r="D634" s="16"/>
      <c r="E634" s="9" t="s">
        <v>164</v>
      </c>
      <c r="F634" s="17">
        <f>923*(0.9*1.8)</f>
        <v>1495.26</v>
      </c>
      <c r="G634" s="17">
        <f>G66</f>
        <v>14.49</v>
      </c>
      <c r="H634" s="18">
        <f t="shared" si="29"/>
        <v>21666.3174</v>
      </c>
      <c r="I634" s="16"/>
      <c r="L634" s="25"/>
      <c r="N634" s="5"/>
    </row>
    <row r="635" s="2" customFormat="1" ht="18.75" customHeight="1" spans="1:14">
      <c r="A635" s="40"/>
      <c r="B635" s="68" t="s">
        <v>166</v>
      </c>
      <c r="C635" s="16"/>
      <c r="D635" s="16"/>
      <c r="E635" s="9" t="s">
        <v>164</v>
      </c>
      <c r="F635" s="17">
        <f>923*(0.9*0.2)</f>
        <v>166.14</v>
      </c>
      <c r="G635" s="17">
        <f>G67</f>
        <v>16.87</v>
      </c>
      <c r="H635" s="18">
        <f t="shared" si="29"/>
        <v>2802.7818</v>
      </c>
      <c r="I635" s="16"/>
      <c r="L635" s="25"/>
      <c r="N635" s="5"/>
    </row>
    <row r="636" s="2" customFormat="1" ht="18.75" customHeight="1" spans="1:14">
      <c r="A636" s="40"/>
      <c r="B636" s="68" t="s">
        <v>167</v>
      </c>
      <c r="C636" s="16"/>
      <c r="D636" s="16"/>
      <c r="E636" s="9" t="s">
        <v>164</v>
      </c>
      <c r="F636" s="17">
        <f>923*(0.9*0.2)</f>
        <v>166.14</v>
      </c>
      <c r="G636" s="17">
        <v>209.39</v>
      </c>
      <c r="H636" s="18">
        <f t="shared" si="29"/>
        <v>34788.0546</v>
      </c>
      <c r="I636" s="16"/>
      <c r="L636" s="25"/>
      <c r="N636" s="5"/>
    </row>
    <row r="637" ht="18.95" customHeight="1" spans="1:9">
      <c r="A637" s="40"/>
      <c r="B637" s="23" t="s">
        <v>168</v>
      </c>
      <c r="C637" s="41"/>
      <c r="D637" s="41"/>
      <c r="E637" s="41" t="s">
        <v>169</v>
      </c>
      <c r="F637" s="41"/>
      <c r="G637" s="41"/>
      <c r="H637" s="46">
        <f>SUM(H549:H636)</f>
        <v>1665982.25255</v>
      </c>
      <c r="I637" s="58"/>
    </row>
    <row r="638" customHeight="1" spans="1:9">
      <c r="A638" s="65">
        <v>11</v>
      </c>
      <c r="B638" s="44" t="s">
        <v>237</v>
      </c>
      <c r="C638" s="44"/>
      <c r="D638" s="44"/>
      <c r="E638" s="44"/>
      <c r="F638" s="44"/>
      <c r="G638" s="44"/>
      <c r="H638" s="44"/>
      <c r="I638" s="53"/>
    </row>
    <row r="639" customHeight="1" spans="1:9">
      <c r="A639" s="40"/>
      <c r="B639" s="45" t="s">
        <v>84</v>
      </c>
      <c r="C639" s="41" t="s">
        <v>87</v>
      </c>
      <c r="D639" s="41" t="s">
        <v>86</v>
      </c>
      <c r="E639" s="41" t="s">
        <v>23</v>
      </c>
      <c r="F639" s="41">
        <v>24</v>
      </c>
      <c r="G639" s="17">
        <v>39.37</v>
      </c>
      <c r="H639" s="46">
        <f t="shared" ref="H639:H674" si="30">F639*G639</f>
        <v>944.88</v>
      </c>
      <c r="I639" s="41"/>
    </row>
    <row r="640" customHeight="1" spans="1:9">
      <c r="A640" s="40"/>
      <c r="B640" s="45" t="s">
        <v>84</v>
      </c>
      <c r="C640" s="41" t="s">
        <v>88</v>
      </c>
      <c r="D640" s="41" t="s">
        <v>86</v>
      </c>
      <c r="E640" s="41" t="s">
        <v>23</v>
      </c>
      <c r="F640" s="41">
        <v>67</v>
      </c>
      <c r="G640" s="41">
        <v>31.5</v>
      </c>
      <c r="H640" s="46">
        <f t="shared" si="30"/>
        <v>2110.5</v>
      </c>
      <c r="I640" s="41"/>
    </row>
    <row r="641" customHeight="1" spans="1:9">
      <c r="A641" s="40"/>
      <c r="B641" s="45" t="s">
        <v>89</v>
      </c>
      <c r="C641" s="41" t="s">
        <v>92</v>
      </c>
      <c r="D641" s="41" t="s">
        <v>91</v>
      </c>
      <c r="E641" s="41" t="s">
        <v>23</v>
      </c>
      <c r="F641" s="41">
        <v>75</v>
      </c>
      <c r="G641" s="17">
        <v>77.13</v>
      </c>
      <c r="H641" s="46">
        <f t="shared" si="30"/>
        <v>5784.75</v>
      </c>
      <c r="I641" s="41"/>
    </row>
    <row r="642" customHeight="1" spans="1:9">
      <c r="A642" s="40"/>
      <c r="B642" s="45" t="s">
        <v>93</v>
      </c>
      <c r="C642" s="41" t="s">
        <v>99</v>
      </c>
      <c r="D642" s="41" t="s">
        <v>95</v>
      </c>
      <c r="E642" s="41" t="s">
        <v>23</v>
      </c>
      <c r="F642" s="41">
        <v>5</v>
      </c>
      <c r="G642" s="41">
        <v>40.19</v>
      </c>
      <c r="H642" s="46">
        <f t="shared" si="30"/>
        <v>200.95</v>
      </c>
      <c r="I642" s="41" t="s">
        <v>233</v>
      </c>
    </row>
    <row r="643" customHeight="1" spans="1:9">
      <c r="A643" s="40"/>
      <c r="B643" s="45" t="s">
        <v>103</v>
      </c>
      <c r="C643" s="41" t="s">
        <v>107</v>
      </c>
      <c r="D643" s="41"/>
      <c r="E643" s="41" t="s">
        <v>96</v>
      </c>
      <c r="F643" s="41">
        <v>10</v>
      </c>
      <c r="G643" s="41">
        <v>55</v>
      </c>
      <c r="H643" s="46">
        <f t="shared" si="30"/>
        <v>550</v>
      </c>
      <c r="I643" s="41"/>
    </row>
    <row r="644" customHeight="1" spans="1:9">
      <c r="A644" s="40"/>
      <c r="B644" s="45" t="s">
        <v>108</v>
      </c>
      <c r="C644" s="41" t="s">
        <v>102</v>
      </c>
      <c r="D644" s="41"/>
      <c r="E644" s="41" t="s">
        <v>96</v>
      </c>
      <c r="F644" s="41">
        <v>5</v>
      </c>
      <c r="G644" s="41">
        <v>45</v>
      </c>
      <c r="H644" s="46">
        <f t="shared" si="30"/>
        <v>225</v>
      </c>
      <c r="I644" s="41"/>
    </row>
    <row r="645" customHeight="1" spans="1:9">
      <c r="A645" s="40"/>
      <c r="B645" s="45" t="s">
        <v>100</v>
      </c>
      <c r="C645" s="41" t="s">
        <v>102</v>
      </c>
      <c r="D645" s="41"/>
      <c r="E645" s="41" t="s">
        <v>96</v>
      </c>
      <c r="F645" s="41">
        <v>5</v>
      </c>
      <c r="G645" s="17">
        <v>57.26</v>
      </c>
      <c r="H645" s="46">
        <f t="shared" si="30"/>
        <v>286.3</v>
      </c>
      <c r="I645" s="41"/>
    </row>
    <row r="646" customHeight="1" spans="1:9">
      <c r="A646" s="40"/>
      <c r="B646" s="45" t="s">
        <v>238</v>
      </c>
      <c r="C646" s="41" t="s">
        <v>121</v>
      </c>
      <c r="D646" s="41"/>
      <c r="E646" s="41" t="s">
        <v>96</v>
      </c>
      <c r="F646" s="85">
        <v>2</v>
      </c>
      <c r="G646" s="45">
        <v>62</v>
      </c>
      <c r="H646" s="46">
        <f t="shared" si="30"/>
        <v>124</v>
      </c>
      <c r="I646" s="41"/>
    </row>
    <row r="647" customHeight="1" spans="1:9">
      <c r="A647" s="40"/>
      <c r="B647" s="45" t="s">
        <v>239</v>
      </c>
      <c r="C647" s="41" t="s">
        <v>197</v>
      </c>
      <c r="D647" s="41"/>
      <c r="E647" s="41" t="s">
        <v>96</v>
      </c>
      <c r="F647" s="41">
        <v>1</v>
      </c>
      <c r="G647" s="41">
        <v>85.5</v>
      </c>
      <c r="H647" s="46">
        <f t="shared" si="30"/>
        <v>85.5</v>
      </c>
      <c r="I647" s="41"/>
    </row>
    <row r="648" customHeight="1" spans="1:9">
      <c r="A648" s="40"/>
      <c r="B648" s="45" t="s">
        <v>239</v>
      </c>
      <c r="C648" s="41" t="s">
        <v>115</v>
      </c>
      <c r="D648" s="41"/>
      <c r="E648" s="41" t="s">
        <v>96</v>
      </c>
      <c r="F648" s="41">
        <v>1</v>
      </c>
      <c r="G648" s="41">
        <v>85.5</v>
      </c>
      <c r="H648" s="46">
        <f t="shared" si="30"/>
        <v>85.5</v>
      </c>
      <c r="I648" s="41"/>
    </row>
    <row r="649" customHeight="1" spans="1:9">
      <c r="A649" s="40"/>
      <c r="B649" s="45" t="s">
        <v>239</v>
      </c>
      <c r="C649" s="41" t="s">
        <v>240</v>
      </c>
      <c r="D649" s="41"/>
      <c r="E649" s="41" t="s">
        <v>96</v>
      </c>
      <c r="F649" s="41">
        <v>2</v>
      </c>
      <c r="G649" s="41">
        <v>45</v>
      </c>
      <c r="H649" s="46">
        <f t="shared" si="30"/>
        <v>90</v>
      </c>
      <c r="I649" s="41"/>
    </row>
    <row r="650" customHeight="1" spans="1:9">
      <c r="A650" s="40"/>
      <c r="B650" s="45" t="s">
        <v>241</v>
      </c>
      <c r="C650" s="41" t="s">
        <v>115</v>
      </c>
      <c r="D650" s="41"/>
      <c r="E650" s="41" t="s">
        <v>96</v>
      </c>
      <c r="F650" s="41">
        <v>2</v>
      </c>
      <c r="G650" s="41">
        <v>46</v>
      </c>
      <c r="H650" s="46">
        <f t="shared" si="30"/>
        <v>92</v>
      </c>
      <c r="I650" s="41"/>
    </row>
    <row r="651" customHeight="1" spans="1:9">
      <c r="A651" s="40"/>
      <c r="B651" s="45" t="s">
        <v>123</v>
      </c>
      <c r="C651" s="41" t="s">
        <v>125</v>
      </c>
      <c r="D651" s="41"/>
      <c r="E651" s="41" t="s">
        <v>96</v>
      </c>
      <c r="F651" s="41">
        <v>1</v>
      </c>
      <c r="G651" s="17">
        <v>182.55</v>
      </c>
      <c r="H651" s="46">
        <f t="shared" si="30"/>
        <v>182.55</v>
      </c>
      <c r="I651" s="41"/>
    </row>
    <row r="652" customHeight="1" spans="1:9">
      <c r="A652" s="40"/>
      <c r="B652" s="45" t="s">
        <v>123</v>
      </c>
      <c r="C652" s="41" t="s">
        <v>126</v>
      </c>
      <c r="D652" s="41"/>
      <c r="E652" s="41" t="s">
        <v>96</v>
      </c>
      <c r="F652" s="41">
        <v>5</v>
      </c>
      <c r="G652" s="41">
        <v>43</v>
      </c>
      <c r="H652" s="46">
        <f t="shared" si="30"/>
        <v>215</v>
      </c>
      <c r="I652" s="41"/>
    </row>
    <row r="653" customHeight="1" spans="1:9">
      <c r="A653" s="40"/>
      <c r="B653" s="45" t="s">
        <v>122</v>
      </c>
      <c r="C653" s="41" t="s">
        <v>121</v>
      </c>
      <c r="D653" s="41"/>
      <c r="E653" s="41" t="s">
        <v>96</v>
      </c>
      <c r="F653" s="45">
        <v>2</v>
      </c>
      <c r="G653" s="45">
        <v>42</v>
      </c>
      <c r="H653" s="46">
        <f t="shared" si="30"/>
        <v>84</v>
      </c>
      <c r="I653" s="41"/>
    </row>
    <row r="654" customHeight="1" spans="1:9">
      <c r="A654" s="40"/>
      <c r="B654" s="45" t="s">
        <v>127</v>
      </c>
      <c r="C654" s="41" t="s">
        <v>102</v>
      </c>
      <c r="D654" s="41"/>
      <c r="E654" s="41" t="s">
        <v>96</v>
      </c>
      <c r="F654" s="41">
        <v>5</v>
      </c>
      <c r="G654" s="17">
        <f>G41</f>
        <v>280</v>
      </c>
      <c r="H654" s="46">
        <f t="shared" si="30"/>
        <v>1400</v>
      </c>
      <c r="I654" s="41"/>
    </row>
    <row r="655" customHeight="1" spans="1:9">
      <c r="A655" s="40"/>
      <c r="B655" s="45" t="s">
        <v>132</v>
      </c>
      <c r="C655" s="41"/>
      <c r="D655" s="41"/>
      <c r="E655" s="41" t="s">
        <v>23</v>
      </c>
      <c r="F655" s="41">
        <v>91</v>
      </c>
      <c r="G655" s="17">
        <f>G44</f>
        <v>3.79</v>
      </c>
      <c r="H655" s="46">
        <f t="shared" si="30"/>
        <v>344.89</v>
      </c>
      <c r="I655" s="41"/>
    </row>
    <row r="656" customHeight="1" spans="1:9">
      <c r="A656" s="40"/>
      <c r="B656" s="45" t="s">
        <v>133</v>
      </c>
      <c r="C656" s="41"/>
      <c r="D656" s="41"/>
      <c r="E656" s="41" t="s">
        <v>23</v>
      </c>
      <c r="F656" s="41">
        <v>91</v>
      </c>
      <c r="G656" s="17">
        <v>29.46</v>
      </c>
      <c r="H656" s="46">
        <f t="shared" si="30"/>
        <v>2680.86</v>
      </c>
      <c r="I656" s="41"/>
    </row>
    <row r="657" customHeight="1" spans="1:9">
      <c r="A657" s="40"/>
      <c r="B657" s="45" t="s">
        <v>134</v>
      </c>
      <c r="C657" s="41" t="s">
        <v>102</v>
      </c>
      <c r="D657" s="41" t="s">
        <v>91</v>
      </c>
      <c r="E657" s="41" t="s">
        <v>96</v>
      </c>
      <c r="F657" s="41">
        <v>21</v>
      </c>
      <c r="G657" s="41">
        <v>60.29</v>
      </c>
      <c r="H657" s="46">
        <f t="shared" si="30"/>
        <v>1266.09</v>
      </c>
      <c r="I657" s="58"/>
    </row>
    <row r="658" customHeight="1" spans="1:9">
      <c r="A658" s="40"/>
      <c r="B658" s="45" t="s">
        <v>242</v>
      </c>
      <c r="C658" s="41" t="s">
        <v>101</v>
      </c>
      <c r="D658" s="41" t="s">
        <v>95</v>
      </c>
      <c r="E658" s="41" t="s">
        <v>137</v>
      </c>
      <c r="F658" s="41">
        <v>20</v>
      </c>
      <c r="G658" s="17">
        <v>312.6</v>
      </c>
      <c r="H658" s="46">
        <f t="shared" si="30"/>
        <v>6252</v>
      </c>
      <c r="I658" s="58"/>
    </row>
    <row r="659" customHeight="1" spans="1:9">
      <c r="A659" s="40"/>
      <c r="B659" s="45" t="s">
        <v>135</v>
      </c>
      <c r="C659" s="40" t="s">
        <v>136</v>
      </c>
      <c r="D659" s="41"/>
      <c r="E659" s="41" t="s">
        <v>137</v>
      </c>
      <c r="F659" s="41">
        <v>75</v>
      </c>
      <c r="G659" s="17">
        <v>12</v>
      </c>
      <c r="H659" s="46">
        <f t="shared" si="30"/>
        <v>900</v>
      </c>
      <c r="I659" s="58"/>
    </row>
    <row r="660" customHeight="1" spans="1:9">
      <c r="A660" s="40"/>
      <c r="B660" s="45" t="s">
        <v>145</v>
      </c>
      <c r="C660" s="41" t="s">
        <v>243</v>
      </c>
      <c r="D660" s="41" t="s">
        <v>147</v>
      </c>
      <c r="E660" s="41" t="s">
        <v>148</v>
      </c>
      <c r="F660" s="41">
        <v>10</v>
      </c>
      <c r="G660" s="17">
        <f>G53</f>
        <v>480.19</v>
      </c>
      <c r="H660" s="46">
        <f t="shared" si="30"/>
        <v>4801.9</v>
      </c>
      <c r="I660" s="41" t="s">
        <v>147</v>
      </c>
    </row>
    <row r="661" customHeight="1" spans="1:9">
      <c r="A661" s="40"/>
      <c r="B661" s="45" t="s">
        <v>151</v>
      </c>
      <c r="C661" s="41"/>
      <c r="D661" s="41"/>
      <c r="E661" s="41" t="s">
        <v>96</v>
      </c>
      <c r="F661" s="41">
        <v>20</v>
      </c>
      <c r="G661" s="41">
        <v>18.45</v>
      </c>
      <c r="H661" s="46">
        <f t="shared" si="30"/>
        <v>369</v>
      </c>
      <c r="I661" s="41"/>
    </row>
    <row r="662" customHeight="1" spans="1:9">
      <c r="A662" s="40"/>
      <c r="B662" s="45" t="s">
        <v>153</v>
      </c>
      <c r="C662" s="41" t="s">
        <v>244</v>
      </c>
      <c r="D662" s="41"/>
      <c r="E662" s="41" t="s">
        <v>130</v>
      </c>
      <c r="F662" s="41">
        <v>10</v>
      </c>
      <c r="G662" s="41">
        <v>30.25</v>
      </c>
      <c r="H662" s="46">
        <f t="shared" si="30"/>
        <v>302.5</v>
      </c>
      <c r="I662" s="41"/>
    </row>
    <row r="663" customHeight="1" spans="1:9">
      <c r="A663" s="40"/>
      <c r="B663" s="45" t="s">
        <v>154</v>
      </c>
      <c r="C663" s="41" t="s">
        <v>155</v>
      </c>
      <c r="D663" s="41"/>
      <c r="E663" s="41" t="s">
        <v>96</v>
      </c>
      <c r="F663" s="41">
        <v>20</v>
      </c>
      <c r="G663" s="41">
        <f>G58</f>
        <v>89.38</v>
      </c>
      <c r="H663" s="46">
        <f t="shared" si="30"/>
        <v>1787.6</v>
      </c>
      <c r="I663" s="41"/>
    </row>
    <row r="664" customHeight="1" spans="1:9">
      <c r="A664" s="40"/>
      <c r="B664" s="45" t="s">
        <v>156</v>
      </c>
      <c r="C664" s="41" t="s">
        <v>245</v>
      </c>
      <c r="D664" s="41" t="s">
        <v>147</v>
      </c>
      <c r="E664" s="41" t="s">
        <v>96</v>
      </c>
      <c r="F664" s="41">
        <v>10</v>
      </c>
      <c r="G664" s="41">
        <f>G59</f>
        <v>111.4</v>
      </c>
      <c r="H664" s="46">
        <f t="shared" si="30"/>
        <v>1114</v>
      </c>
      <c r="I664" s="41" t="s">
        <v>246</v>
      </c>
    </row>
    <row r="665" customHeight="1" spans="1:9">
      <c r="A665" s="40"/>
      <c r="B665" s="45" t="s">
        <v>247</v>
      </c>
      <c r="C665" s="41" t="s">
        <v>155</v>
      </c>
      <c r="D665" s="41"/>
      <c r="E665" s="41" t="s">
        <v>137</v>
      </c>
      <c r="F665" s="41">
        <v>30</v>
      </c>
      <c r="G665" s="41">
        <v>49.43</v>
      </c>
      <c r="H665" s="46">
        <f t="shared" si="30"/>
        <v>1482.9</v>
      </c>
      <c r="I665" s="41" t="s">
        <v>248</v>
      </c>
    </row>
    <row r="666" customHeight="1" spans="1:9">
      <c r="A666" s="40"/>
      <c r="B666" s="45" t="s">
        <v>158</v>
      </c>
      <c r="C666" s="41" t="s">
        <v>155</v>
      </c>
      <c r="D666" s="41"/>
      <c r="E666" s="41" t="s">
        <v>96</v>
      </c>
      <c r="F666" s="41">
        <v>30</v>
      </c>
      <c r="G666" s="41">
        <v>4.2</v>
      </c>
      <c r="H666" s="46">
        <f t="shared" si="30"/>
        <v>126</v>
      </c>
      <c r="I666" s="41"/>
    </row>
    <row r="667" customHeight="1" spans="1:9">
      <c r="A667" s="40"/>
      <c r="B667" s="45" t="s">
        <v>159</v>
      </c>
      <c r="C667" s="41" t="s">
        <v>155</v>
      </c>
      <c r="D667" s="41"/>
      <c r="E667" s="41" t="s">
        <v>96</v>
      </c>
      <c r="F667" s="41">
        <v>20</v>
      </c>
      <c r="G667" s="41">
        <v>3.85</v>
      </c>
      <c r="H667" s="46">
        <f t="shared" si="30"/>
        <v>77</v>
      </c>
      <c r="I667" s="41"/>
    </row>
    <row r="668" customHeight="1" spans="1:9">
      <c r="A668" s="40"/>
      <c r="B668" s="45" t="s">
        <v>152</v>
      </c>
      <c r="C668" s="41"/>
      <c r="D668" s="41" t="s">
        <v>147</v>
      </c>
      <c r="E668" s="41" t="s">
        <v>96</v>
      </c>
      <c r="F668" s="41">
        <v>10</v>
      </c>
      <c r="G668" s="41">
        <v>358</v>
      </c>
      <c r="H668" s="46">
        <f t="shared" si="30"/>
        <v>3580</v>
      </c>
      <c r="I668" s="41"/>
    </row>
    <row r="669" customHeight="1" spans="1:9">
      <c r="A669" s="40"/>
      <c r="B669" s="45" t="s">
        <v>233</v>
      </c>
      <c r="C669" s="41" t="s">
        <v>102</v>
      </c>
      <c r="D669" s="41" t="s">
        <v>147</v>
      </c>
      <c r="E669" s="41" t="s">
        <v>137</v>
      </c>
      <c r="F669" s="41">
        <v>10</v>
      </c>
      <c r="G669" s="17">
        <v>20.15</v>
      </c>
      <c r="H669" s="46">
        <f t="shared" si="30"/>
        <v>201.5</v>
      </c>
      <c r="I669" s="41"/>
    </row>
    <row r="670" customHeight="1" spans="1:9">
      <c r="A670" s="40"/>
      <c r="B670" s="45" t="s">
        <v>249</v>
      </c>
      <c r="C670" s="41" t="s">
        <v>250</v>
      </c>
      <c r="D670" s="41" t="s">
        <v>147</v>
      </c>
      <c r="E670" s="41" t="s">
        <v>140</v>
      </c>
      <c r="F670" s="41">
        <v>10</v>
      </c>
      <c r="G670" s="41">
        <v>85.5</v>
      </c>
      <c r="H670" s="46">
        <f t="shared" si="30"/>
        <v>855</v>
      </c>
      <c r="I670" s="58" t="s">
        <v>251</v>
      </c>
    </row>
    <row r="671" s="2" customFormat="1" ht="18.75" customHeight="1" spans="1:14">
      <c r="A671" s="40"/>
      <c r="B671" s="68" t="s">
        <v>163</v>
      </c>
      <c r="C671" s="16"/>
      <c r="D671" s="16"/>
      <c r="E671" s="9" t="s">
        <v>164</v>
      </c>
      <c r="F671" s="17">
        <f>171*(0.9*2.1)</f>
        <v>323.19</v>
      </c>
      <c r="G671" s="17">
        <f>G65</f>
        <v>14.43</v>
      </c>
      <c r="H671" s="18">
        <f t="shared" si="30"/>
        <v>4663.6317</v>
      </c>
      <c r="I671" s="16"/>
      <c r="L671" s="25"/>
      <c r="N671" s="5"/>
    </row>
    <row r="672" s="2" customFormat="1" ht="18.75" customHeight="1" spans="1:14">
      <c r="A672" s="40"/>
      <c r="B672" s="68" t="s">
        <v>165</v>
      </c>
      <c r="C672" s="16"/>
      <c r="D672" s="16"/>
      <c r="E672" s="9" t="s">
        <v>164</v>
      </c>
      <c r="F672" s="17">
        <f>171*(0.9*1.8)</f>
        <v>277.02</v>
      </c>
      <c r="G672" s="17">
        <f>G66</f>
        <v>14.49</v>
      </c>
      <c r="H672" s="18">
        <f t="shared" si="30"/>
        <v>4014.0198</v>
      </c>
      <c r="I672" s="16"/>
      <c r="L672" s="25"/>
      <c r="N672" s="5"/>
    </row>
    <row r="673" s="2" customFormat="1" ht="18.75" customHeight="1" spans="1:14">
      <c r="A673" s="40"/>
      <c r="B673" s="68" t="s">
        <v>166</v>
      </c>
      <c r="C673" s="16"/>
      <c r="D673" s="16"/>
      <c r="E673" s="9" t="s">
        <v>164</v>
      </c>
      <c r="F673" s="17">
        <f>171*(0.9*0.2)</f>
        <v>30.78</v>
      </c>
      <c r="G673" s="17">
        <f>G67</f>
        <v>16.87</v>
      </c>
      <c r="H673" s="18">
        <f t="shared" si="30"/>
        <v>519.2586</v>
      </c>
      <c r="I673" s="16"/>
      <c r="L673" s="25"/>
      <c r="N673" s="5"/>
    </row>
    <row r="674" s="2" customFormat="1" ht="18.75" customHeight="1" spans="1:14">
      <c r="A674" s="40"/>
      <c r="B674" s="68" t="s">
        <v>167</v>
      </c>
      <c r="C674" s="16"/>
      <c r="D674" s="16"/>
      <c r="E674" s="9" t="s">
        <v>164</v>
      </c>
      <c r="F674" s="17">
        <f>171*(0.9*0.2)</f>
        <v>30.78</v>
      </c>
      <c r="G674" s="17">
        <v>209.39</v>
      </c>
      <c r="H674" s="18">
        <f t="shared" si="30"/>
        <v>6445.0242</v>
      </c>
      <c r="I674" s="16"/>
      <c r="L674" s="25"/>
      <c r="N674" s="5"/>
    </row>
    <row r="675" ht="18.95" customHeight="1" spans="1:9">
      <c r="A675" s="40"/>
      <c r="B675" s="23" t="s">
        <v>168</v>
      </c>
      <c r="C675" s="41"/>
      <c r="D675" s="41"/>
      <c r="E675" s="41" t="s">
        <v>169</v>
      </c>
      <c r="F675" s="41"/>
      <c r="G675" s="41"/>
      <c r="H675" s="46">
        <f>SUM(H639:H674)</f>
        <v>54244.1043</v>
      </c>
      <c r="I675" s="58"/>
    </row>
    <row r="676" customHeight="1" spans="1:9">
      <c r="A676" s="65">
        <v>12</v>
      </c>
      <c r="B676" s="44" t="s">
        <v>252</v>
      </c>
      <c r="C676" s="44"/>
      <c r="D676" s="44"/>
      <c r="E676" s="44"/>
      <c r="F676" s="44"/>
      <c r="G676" s="44"/>
      <c r="H676" s="44"/>
      <c r="I676" s="53"/>
    </row>
    <row r="677" customHeight="1" spans="1:9">
      <c r="A677" s="40"/>
      <c r="B677" s="45" t="s">
        <v>84</v>
      </c>
      <c r="C677" s="41" t="s">
        <v>85</v>
      </c>
      <c r="D677" s="41" t="s">
        <v>86</v>
      </c>
      <c r="E677" s="41" t="s">
        <v>23</v>
      </c>
      <c r="F677" s="41">
        <v>88</v>
      </c>
      <c r="G677" s="17">
        <v>67.71</v>
      </c>
      <c r="H677" s="46">
        <f t="shared" ref="H677:H719" si="31">F677*G677</f>
        <v>5958.48</v>
      </c>
      <c r="I677" s="41"/>
    </row>
    <row r="678" customHeight="1" spans="1:9">
      <c r="A678" s="40"/>
      <c r="B678" s="45" t="s">
        <v>84</v>
      </c>
      <c r="C678" s="41" t="s">
        <v>87</v>
      </c>
      <c r="D678" s="41" t="s">
        <v>86</v>
      </c>
      <c r="E678" s="41" t="s">
        <v>23</v>
      </c>
      <c r="F678" s="41">
        <v>89</v>
      </c>
      <c r="G678" s="17">
        <v>39.37</v>
      </c>
      <c r="H678" s="46">
        <f t="shared" si="31"/>
        <v>3503.93</v>
      </c>
      <c r="I678" s="41"/>
    </row>
    <row r="679" customHeight="1" spans="1:9">
      <c r="A679" s="40"/>
      <c r="B679" s="45" t="s">
        <v>89</v>
      </c>
      <c r="C679" s="41" t="s">
        <v>173</v>
      </c>
      <c r="D679" s="41" t="s">
        <v>91</v>
      </c>
      <c r="E679" s="41" t="s">
        <v>23</v>
      </c>
      <c r="F679" s="41">
        <v>44</v>
      </c>
      <c r="G679" s="17">
        <v>125.33</v>
      </c>
      <c r="H679" s="46">
        <f t="shared" si="31"/>
        <v>5514.52</v>
      </c>
      <c r="I679" s="41"/>
    </row>
    <row r="680" customHeight="1" spans="1:9">
      <c r="A680" s="40"/>
      <c r="B680" s="45" t="s">
        <v>89</v>
      </c>
      <c r="C680" s="41" t="s">
        <v>90</v>
      </c>
      <c r="D680" s="41" t="s">
        <v>91</v>
      </c>
      <c r="E680" s="41" t="s">
        <v>23</v>
      </c>
      <c r="F680" s="41">
        <v>167</v>
      </c>
      <c r="G680" s="41">
        <v>91.41</v>
      </c>
      <c r="H680" s="46">
        <f t="shared" si="31"/>
        <v>15265.47</v>
      </c>
      <c r="I680" s="41"/>
    </row>
    <row r="681" customHeight="1" spans="1:9">
      <c r="A681" s="40"/>
      <c r="B681" s="45" t="s">
        <v>89</v>
      </c>
      <c r="C681" s="41" t="s">
        <v>92</v>
      </c>
      <c r="D681" s="41" t="s">
        <v>91</v>
      </c>
      <c r="E681" s="41" t="s">
        <v>23</v>
      </c>
      <c r="F681" s="41">
        <v>300</v>
      </c>
      <c r="G681" s="17">
        <v>77.13</v>
      </c>
      <c r="H681" s="46">
        <f t="shared" si="31"/>
        <v>23139</v>
      </c>
      <c r="I681" s="41"/>
    </row>
    <row r="682" customHeight="1" spans="1:9">
      <c r="A682" s="40"/>
      <c r="B682" s="45" t="s">
        <v>93</v>
      </c>
      <c r="C682" s="41" t="s">
        <v>94</v>
      </c>
      <c r="D682" s="41" t="s">
        <v>95</v>
      </c>
      <c r="E682" s="41" t="s">
        <v>23</v>
      </c>
      <c r="F682" s="41">
        <v>1</v>
      </c>
      <c r="G682" s="41">
        <v>112.63</v>
      </c>
      <c r="H682" s="46">
        <f t="shared" si="31"/>
        <v>112.63</v>
      </c>
      <c r="I682" s="41" t="s">
        <v>233</v>
      </c>
    </row>
    <row r="683" customHeight="1" spans="1:9">
      <c r="A683" s="40"/>
      <c r="B683" s="45" t="s">
        <v>93</v>
      </c>
      <c r="C683" s="41" t="s">
        <v>98</v>
      </c>
      <c r="D683" s="41" t="s">
        <v>95</v>
      </c>
      <c r="E683" s="41" t="s">
        <v>23</v>
      </c>
      <c r="F683" s="41">
        <v>4</v>
      </c>
      <c r="G683" s="41">
        <v>56.95</v>
      </c>
      <c r="H683" s="46">
        <f t="shared" si="31"/>
        <v>227.8</v>
      </c>
      <c r="I683" s="41" t="s">
        <v>233</v>
      </c>
    </row>
    <row r="684" customHeight="1" spans="1:9">
      <c r="A684" s="40"/>
      <c r="B684" s="45" t="s">
        <v>103</v>
      </c>
      <c r="C684" s="41" t="s">
        <v>105</v>
      </c>
      <c r="D684" s="41"/>
      <c r="E684" s="41" t="s">
        <v>96</v>
      </c>
      <c r="F684" s="41">
        <v>2</v>
      </c>
      <c r="G684" s="17">
        <v>125.15</v>
      </c>
      <c r="H684" s="46">
        <f t="shared" si="31"/>
        <v>250.3</v>
      </c>
      <c r="I684" s="41"/>
    </row>
    <row r="685" customHeight="1" spans="1:9">
      <c r="A685" s="40"/>
      <c r="B685" s="45" t="s">
        <v>103</v>
      </c>
      <c r="C685" s="41" t="s">
        <v>106</v>
      </c>
      <c r="D685" s="41"/>
      <c r="E685" s="41" t="s">
        <v>96</v>
      </c>
      <c r="F685" s="41">
        <v>25</v>
      </c>
      <c r="G685" s="17">
        <v>125.15</v>
      </c>
      <c r="H685" s="46">
        <f t="shared" si="31"/>
        <v>3128.75</v>
      </c>
      <c r="I685" s="41"/>
    </row>
    <row r="686" customHeight="1" spans="1:9">
      <c r="A686" s="40"/>
      <c r="B686" s="45" t="s">
        <v>100</v>
      </c>
      <c r="C686" s="41" t="s">
        <v>98</v>
      </c>
      <c r="D686" s="41"/>
      <c r="E686" s="41" t="s">
        <v>96</v>
      </c>
      <c r="F686" s="41">
        <v>10</v>
      </c>
      <c r="G686" s="17">
        <v>132.78</v>
      </c>
      <c r="H686" s="46">
        <f t="shared" si="31"/>
        <v>1327.8</v>
      </c>
      <c r="I686" s="41"/>
    </row>
    <row r="687" customHeight="1" spans="1:9">
      <c r="A687" s="40"/>
      <c r="B687" s="45" t="s">
        <v>100</v>
      </c>
      <c r="C687" s="41" t="s">
        <v>101</v>
      </c>
      <c r="D687" s="41"/>
      <c r="E687" s="41" t="s">
        <v>96</v>
      </c>
      <c r="F687" s="41">
        <v>30</v>
      </c>
      <c r="G687" s="17">
        <v>68.16</v>
      </c>
      <c r="H687" s="46">
        <f t="shared" si="31"/>
        <v>2044.8</v>
      </c>
      <c r="I687" s="41"/>
    </row>
    <row r="688" customHeight="1" spans="1:9">
      <c r="A688" s="40"/>
      <c r="B688" s="45" t="s">
        <v>238</v>
      </c>
      <c r="C688" s="41" t="s">
        <v>119</v>
      </c>
      <c r="D688" s="41"/>
      <c r="E688" s="41" t="s">
        <v>96</v>
      </c>
      <c r="F688" s="45">
        <v>6</v>
      </c>
      <c r="G688" s="17">
        <v>90.8</v>
      </c>
      <c r="H688" s="46">
        <f t="shared" si="31"/>
        <v>544.8</v>
      </c>
      <c r="I688" s="41"/>
    </row>
    <row r="689" customHeight="1" spans="1:9">
      <c r="A689" s="40"/>
      <c r="B689" s="45" t="s">
        <v>238</v>
      </c>
      <c r="C689" s="41" t="s">
        <v>120</v>
      </c>
      <c r="D689" s="41"/>
      <c r="E689" s="41" t="s">
        <v>96</v>
      </c>
      <c r="F689" s="85">
        <v>1</v>
      </c>
      <c r="G689" s="17">
        <v>83.94</v>
      </c>
      <c r="H689" s="46">
        <f t="shared" si="31"/>
        <v>83.94</v>
      </c>
      <c r="I689" s="41"/>
    </row>
    <row r="690" customHeight="1" spans="1:9">
      <c r="A690" s="40"/>
      <c r="B690" s="45" t="s">
        <v>239</v>
      </c>
      <c r="C690" s="41" t="s">
        <v>113</v>
      </c>
      <c r="D690" s="41"/>
      <c r="E690" s="41" t="s">
        <v>96</v>
      </c>
      <c r="F690" s="41">
        <v>2</v>
      </c>
      <c r="G690" s="41">
        <v>94.07</v>
      </c>
      <c r="H690" s="46">
        <f t="shared" si="31"/>
        <v>188.14</v>
      </c>
      <c r="I690" s="41"/>
    </row>
    <row r="691" customHeight="1" spans="1:9">
      <c r="A691" s="40"/>
      <c r="B691" s="45" t="s">
        <v>241</v>
      </c>
      <c r="C691" s="41" t="s">
        <v>113</v>
      </c>
      <c r="D691" s="41"/>
      <c r="E691" s="41" t="s">
        <v>96</v>
      </c>
      <c r="F691" s="41">
        <v>1</v>
      </c>
      <c r="G691" s="41">
        <v>98.43</v>
      </c>
      <c r="H691" s="46">
        <f t="shared" si="31"/>
        <v>98.43</v>
      </c>
      <c r="I691" s="41"/>
    </row>
    <row r="692" customHeight="1" spans="1:9">
      <c r="A692" s="40"/>
      <c r="B692" s="45" t="s">
        <v>123</v>
      </c>
      <c r="C692" s="41" t="s">
        <v>124</v>
      </c>
      <c r="D692" s="41"/>
      <c r="E692" s="41" t="s">
        <v>96</v>
      </c>
      <c r="F692" s="41">
        <v>1</v>
      </c>
      <c r="G692" s="41">
        <v>263.71</v>
      </c>
      <c r="H692" s="46">
        <f t="shared" si="31"/>
        <v>263.71</v>
      </c>
      <c r="I692" s="41"/>
    </row>
    <row r="693" customHeight="1" spans="1:9">
      <c r="A693" s="40"/>
      <c r="B693" s="45" t="s">
        <v>123</v>
      </c>
      <c r="C693" s="41" t="s">
        <v>125</v>
      </c>
      <c r="D693" s="41"/>
      <c r="E693" s="41" t="s">
        <v>96</v>
      </c>
      <c r="F693" s="41">
        <v>4</v>
      </c>
      <c r="G693" s="41">
        <v>182.55</v>
      </c>
      <c r="H693" s="46">
        <f t="shared" si="31"/>
        <v>730.2</v>
      </c>
      <c r="I693" s="41"/>
    </row>
    <row r="694" customHeight="1" spans="1:9">
      <c r="A694" s="40"/>
      <c r="B694" s="45" t="s">
        <v>122</v>
      </c>
      <c r="C694" s="41" t="s">
        <v>119</v>
      </c>
      <c r="D694" s="41"/>
      <c r="E694" s="41" t="s">
        <v>96</v>
      </c>
      <c r="F694" s="45">
        <v>4</v>
      </c>
      <c r="G694" s="45">
        <v>96.25</v>
      </c>
      <c r="H694" s="46">
        <f t="shared" si="31"/>
        <v>385</v>
      </c>
      <c r="I694" s="41"/>
    </row>
    <row r="695" customHeight="1" spans="1:9">
      <c r="A695" s="40"/>
      <c r="B695" s="45" t="s">
        <v>122</v>
      </c>
      <c r="C695" s="41" t="s">
        <v>120</v>
      </c>
      <c r="D695" s="41"/>
      <c r="E695" s="41" t="s">
        <v>96</v>
      </c>
      <c r="F695" s="45">
        <v>4</v>
      </c>
      <c r="G695" s="45">
        <v>94.07</v>
      </c>
      <c r="H695" s="46">
        <f t="shared" si="31"/>
        <v>376.28</v>
      </c>
      <c r="I695" s="41"/>
    </row>
    <row r="696" customHeight="1" spans="1:9">
      <c r="A696" s="40"/>
      <c r="B696" s="45" t="s">
        <v>127</v>
      </c>
      <c r="C696" s="41" t="s">
        <v>98</v>
      </c>
      <c r="D696" s="41"/>
      <c r="E696" s="41" t="s">
        <v>96</v>
      </c>
      <c r="F696" s="41">
        <v>1</v>
      </c>
      <c r="G696" s="17">
        <v>2874.81</v>
      </c>
      <c r="H696" s="46">
        <f t="shared" si="31"/>
        <v>2874.81</v>
      </c>
      <c r="I696" s="41"/>
    </row>
    <row r="697" customHeight="1" spans="1:9">
      <c r="A697" s="40"/>
      <c r="B697" s="45" t="s">
        <v>127</v>
      </c>
      <c r="C697" s="41" t="s">
        <v>101</v>
      </c>
      <c r="D697" s="41"/>
      <c r="E697" s="41" t="s">
        <v>96</v>
      </c>
      <c r="F697" s="41">
        <v>4</v>
      </c>
      <c r="G697" s="17">
        <f>G40</f>
        <v>1682.16</v>
      </c>
      <c r="H697" s="46">
        <f t="shared" si="31"/>
        <v>6728.64</v>
      </c>
      <c r="I697" s="41"/>
    </row>
    <row r="698" customHeight="1" spans="1:9">
      <c r="A698" s="40"/>
      <c r="B698" s="45" t="s">
        <v>127</v>
      </c>
      <c r="C698" s="41" t="s">
        <v>102</v>
      </c>
      <c r="D698" s="41"/>
      <c r="E698" s="41" t="s">
        <v>96</v>
      </c>
      <c r="F698" s="41">
        <v>25</v>
      </c>
      <c r="G698" s="17">
        <f>G41</f>
        <v>280</v>
      </c>
      <c r="H698" s="46">
        <f t="shared" si="31"/>
        <v>7000</v>
      </c>
      <c r="I698" s="41"/>
    </row>
    <row r="699" customHeight="1" spans="1:9">
      <c r="A699" s="40"/>
      <c r="B699" s="45" t="s">
        <v>132</v>
      </c>
      <c r="C699" s="41"/>
      <c r="D699" s="41"/>
      <c r="E699" s="41" t="s">
        <v>23</v>
      </c>
      <c r="F699" s="41">
        <v>177</v>
      </c>
      <c r="G699" s="17">
        <f>G44</f>
        <v>3.79</v>
      </c>
      <c r="H699" s="46">
        <f t="shared" si="31"/>
        <v>670.83</v>
      </c>
      <c r="I699" s="41"/>
    </row>
    <row r="700" customHeight="1" spans="1:9">
      <c r="A700" s="40"/>
      <c r="B700" s="45" t="s">
        <v>133</v>
      </c>
      <c r="C700" s="41"/>
      <c r="D700" s="41"/>
      <c r="E700" s="41" t="s">
        <v>23</v>
      </c>
      <c r="F700" s="41">
        <v>177</v>
      </c>
      <c r="G700" s="17">
        <v>29.46</v>
      </c>
      <c r="H700" s="46">
        <f t="shared" si="31"/>
        <v>5214.42</v>
      </c>
      <c r="I700" s="41"/>
    </row>
    <row r="701" customHeight="1" spans="1:9">
      <c r="A701" s="40"/>
      <c r="B701" s="45" t="s">
        <v>134</v>
      </c>
      <c r="C701" s="41" t="s">
        <v>98</v>
      </c>
      <c r="D701" s="41" t="s">
        <v>91</v>
      </c>
      <c r="E701" s="41" t="s">
        <v>96</v>
      </c>
      <c r="F701" s="41">
        <v>6</v>
      </c>
      <c r="G701" s="17">
        <v>125.57</v>
      </c>
      <c r="H701" s="46">
        <f t="shared" si="31"/>
        <v>753.42</v>
      </c>
      <c r="I701" s="58"/>
    </row>
    <row r="702" customHeight="1" spans="1:9">
      <c r="A702" s="40"/>
      <c r="B702" s="45" t="s">
        <v>134</v>
      </c>
      <c r="C702" s="41" t="s">
        <v>101</v>
      </c>
      <c r="D702" s="41" t="s">
        <v>91</v>
      </c>
      <c r="E702" s="41" t="s">
        <v>96</v>
      </c>
      <c r="F702" s="41">
        <v>33</v>
      </c>
      <c r="G702" s="17">
        <v>109.75</v>
      </c>
      <c r="H702" s="46">
        <f t="shared" si="31"/>
        <v>3621.75</v>
      </c>
      <c r="I702" s="58"/>
    </row>
    <row r="703" customHeight="1" spans="1:9">
      <c r="A703" s="40"/>
      <c r="B703" s="45" t="s">
        <v>134</v>
      </c>
      <c r="C703" s="41" t="s">
        <v>102</v>
      </c>
      <c r="D703" s="41" t="s">
        <v>91</v>
      </c>
      <c r="E703" s="41" t="s">
        <v>96</v>
      </c>
      <c r="F703" s="41">
        <v>82</v>
      </c>
      <c r="G703" s="17">
        <v>54.55</v>
      </c>
      <c r="H703" s="46">
        <f t="shared" si="31"/>
        <v>4473.1</v>
      </c>
      <c r="I703" s="58"/>
    </row>
    <row r="704" customHeight="1" spans="1:9">
      <c r="A704" s="40"/>
      <c r="B704" s="45" t="s">
        <v>242</v>
      </c>
      <c r="C704" s="41" t="s">
        <v>101</v>
      </c>
      <c r="D704" s="41" t="s">
        <v>95</v>
      </c>
      <c r="E704" s="41" t="s">
        <v>137</v>
      </c>
      <c r="F704" s="41">
        <v>20</v>
      </c>
      <c r="G704" s="17">
        <v>312.6</v>
      </c>
      <c r="H704" s="46">
        <f t="shared" si="31"/>
        <v>6252</v>
      </c>
      <c r="I704" s="58"/>
    </row>
    <row r="705" customHeight="1" spans="1:9">
      <c r="A705" s="40"/>
      <c r="B705" s="45" t="s">
        <v>135</v>
      </c>
      <c r="C705" s="40" t="s">
        <v>136</v>
      </c>
      <c r="D705" s="41"/>
      <c r="E705" s="41" t="s">
        <v>137</v>
      </c>
      <c r="F705" s="41">
        <v>210</v>
      </c>
      <c r="G705" s="17">
        <v>12</v>
      </c>
      <c r="H705" s="46">
        <f t="shared" si="31"/>
        <v>2520</v>
      </c>
      <c r="I705" s="58"/>
    </row>
    <row r="706" customHeight="1" spans="1:9">
      <c r="A706" s="40"/>
      <c r="B706" s="45" t="s">
        <v>145</v>
      </c>
      <c r="C706" s="41" t="s">
        <v>243</v>
      </c>
      <c r="D706" s="41" t="s">
        <v>147</v>
      </c>
      <c r="E706" s="41" t="s">
        <v>148</v>
      </c>
      <c r="F706" s="41">
        <v>82</v>
      </c>
      <c r="G706" s="17">
        <f>G53</f>
        <v>480.19</v>
      </c>
      <c r="H706" s="46">
        <f t="shared" si="31"/>
        <v>39375.58</v>
      </c>
      <c r="I706" s="41" t="s">
        <v>147</v>
      </c>
    </row>
    <row r="707" customHeight="1" spans="1:9">
      <c r="A707" s="40"/>
      <c r="B707" s="45" t="s">
        <v>151</v>
      </c>
      <c r="C707" s="41"/>
      <c r="D707" s="41"/>
      <c r="E707" s="41" t="s">
        <v>96</v>
      </c>
      <c r="F707" s="41">
        <v>164</v>
      </c>
      <c r="G707" s="41">
        <v>18.45</v>
      </c>
      <c r="H707" s="46">
        <f t="shared" si="31"/>
        <v>3025.8</v>
      </c>
      <c r="I707" s="41"/>
    </row>
    <row r="708" customHeight="1" spans="1:9">
      <c r="A708" s="40"/>
      <c r="B708" s="45" t="s">
        <v>153</v>
      </c>
      <c r="C708" s="41" t="s">
        <v>244</v>
      </c>
      <c r="D708" s="41"/>
      <c r="E708" s="41" t="s">
        <v>130</v>
      </c>
      <c r="F708" s="41">
        <v>82</v>
      </c>
      <c r="G708" s="41">
        <v>30.25</v>
      </c>
      <c r="H708" s="46">
        <f t="shared" si="31"/>
        <v>2480.5</v>
      </c>
      <c r="I708" s="41"/>
    </row>
    <row r="709" customHeight="1" spans="1:9">
      <c r="A709" s="40"/>
      <c r="B709" s="45" t="s">
        <v>154</v>
      </c>
      <c r="C709" s="41" t="s">
        <v>155</v>
      </c>
      <c r="D709" s="41"/>
      <c r="E709" s="41" t="s">
        <v>96</v>
      </c>
      <c r="F709" s="41">
        <v>164</v>
      </c>
      <c r="G709" s="41">
        <f>G58</f>
        <v>89.38</v>
      </c>
      <c r="H709" s="46">
        <f t="shared" si="31"/>
        <v>14658.32</v>
      </c>
      <c r="I709" s="41"/>
    </row>
    <row r="710" customHeight="1" spans="1:9">
      <c r="A710" s="40"/>
      <c r="B710" s="45" t="s">
        <v>156</v>
      </c>
      <c r="C710" s="41" t="s">
        <v>245</v>
      </c>
      <c r="D710" s="41" t="s">
        <v>147</v>
      </c>
      <c r="E710" s="41" t="s">
        <v>96</v>
      </c>
      <c r="F710" s="41">
        <v>82</v>
      </c>
      <c r="G710" s="41">
        <f>G59</f>
        <v>111.4</v>
      </c>
      <c r="H710" s="46">
        <f t="shared" si="31"/>
        <v>9134.8</v>
      </c>
      <c r="I710" s="41" t="s">
        <v>246</v>
      </c>
    </row>
    <row r="711" customHeight="1" spans="1:9">
      <c r="A711" s="40"/>
      <c r="B711" s="45" t="s">
        <v>247</v>
      </c>
      <c r="C711" s="41" t="s">
        <v>155</v>
      </c>
      <c r="D711" s="41"/>
      <c r="E711" s="41" t="s">
        <v>137</v>
      </c>
      <c r="F711" s="41">
        <v>246</v>
      </c>
      <c r="G711" s="41">
        <v>49.43</v>
      </c>
      <c r="H711" s="46">
        <f t="shared" si="31"/>
        <v>12159.78</v>
      </c>
      <c r="I711" s="41" t="s">
        <v>248</v>
      </c>
    </row>
    <row r="712" customHeight="1" spans="1:9">
      <c r="A712" s="40"/>
      <c r="B712" s="45" t="s">
        <v>158</v>
      </c>
      <c r="C712" s="41" t="s">
        <v>155</v>
      </c>
      <c r="D712" s="41"/>
      <c r="E712" s="41" t="s">
        <v>96</v>
      </c>
      <c r="F712" s="41">
        <v>246</v>
      </c>
      <c r="G712" s="41">
        <v>4.2</v>
      </c>
      <c r="H712" s="46">
        <f t="shared" si="31"/>
        <v>1033.2</v>
      </c>
      <c r="I712" s="41"/>
    </row>
    <row r="713" customHeight="1" spans="1:9">
      <c r="A713" s="40"/>
      <c r="B713" s="45" t="s">
        <v>159</v>
      </c>
      <c r="C713" s="41" t="s">
        <v>155</v>
      </c>
      <c r="D713" s="41"/>
      <c r="E713" s="41" t="s">
        <v>96</v>
      </c>
      <c r="F713" s="41">
        <v>164</v>
      </c>
      <c r="G713" s="41">
        <v>3.85</v>
      </c>
      <c r="H713" s="46">
        <f t="shared" si="31"/>
        <v>631.4</v>
      </c>
      <c r="I713" s="41"/>
    </row>
    <row r="714" customHeight="1" spans="1:9">
      <c r="A714" s="40"/>
      <c r="B714" s="45" t="s">
        <v>152</v>
      </c>
      <c r="C714" s="41"/>
      <c r="D714" s="41" t="s">
        <v>147</v>
      </c>
      <c r="E714" s="41" t="s">
        <v>96</v>
      </c>
      <c r="F714" s="41">
        <v>82</v>
      </c>
      <c r="G714" s="41">
        <v>358</v>
      </c>
      <c r="H714" s="46">
        <f t="shared" si="31"/>
        <v>29356</v>
      </c>
      <c r="I714" s="41"/>
    </row>
    <row r="715" customHeight="1" spans="1:9">
      <c r="A715" s="40"/>
      <c r="B715" s="45" t="s">
        <v>233</v>
      </c>
      <c r="C715" s="41" t="s">
        <v>102</v>
      </c>
      <c r="D715" s="41" t="s">
        <v>147</v>
      </c>
      <c r="E715" s="41" t="s">
        <v>137</v>
      </c>
      <c r="F715" s="41">
        <v>82</v>
      </c>
      <c r="G715" s="41">
        <v>25.14</v>
      </c>
      <c r="H715" s="46">
        <f t="shared" si="31"/>
        <v>2061.48</v>
      </c>
      <c r="I715" s="41"/>
    </row>
    <row r="716" s="2" customFormat="1" ht="18.75" customHeight="1" spans="1:14">
      <c r="A716" s="40"/>
      <c r="B716" s="68" t="s">
        <v>163</v>
      </c>
      <c r="C716" s="16"/>
      <c r="D716" s="16"/>
      <c r="E716" s="9" t="s">
        <v>164</v>
      </c>
      <c r="F716" s="17">
        <f>177*(0.9*2.1)</f>
        <v>334.53</v>
      </c>
      <c r="G716" s="17">
        <f>G65</f>
        <v>14.43</v>
      </c>
      <c r="H716" s="18">
        <f t="shared" si="31"/>
        <v>4827.2679</v>
      </c>
      <c r="I716" s="16"/>
      <c r="L716" s="25"/>
      <c r="N716" s="5"/>
    </row>
    <row r="717" s="2" customFormat="1" ht="18.75" customHeight="1" spans="1:14">
      <c r="A717" s="40"/>
      <c r="B717" s="68" t="s">
        <v>165</v>
      </c>
      <c r="C717" s="16"/>
      <c r="D717" s="16"/>
      <c r="E717" s="9" t="s">
        <v>164</v>
      </c>
      <c r="F717" s="17">
        <f>177*(0.9*1.8)</f>
        <v>286.74</v>
      </c>
      <c r="G717" s="17">
        <f>G66</f>
        <v>14.49</v>
      </c>
      <c r="H717" s="18">
        <f t="shared" si="31"/>
        <v>4154.8626</v>
      </c>
      <c r="I717" s="16"/>
      <c r="L717" s="25"/>
      <c r="N717" s="5"/>
    </row>
    <row r="718" s="2" customFormat="1" ht="18.75" customHeight="1" spans="1:14">
      <c r="A718" s="40"/>
      <c r="B718" s="68" t="s">
        <v>166</v>
      </c>
      <c r="C718" s="16"/>
      <c r="D718" s="16"/>
      <c r="E718" s="9" t="s">
        <v>164</v>
      </c>
      <c r="F718" s="17">
        <f>177*(0.9*0.2)</f>
        <v>31.86</v>
      </c>
      <c r="G718" s="17">
        <f>G67</f>
        <v>16.87</v>
      </c>
      <c r="H718" s="18">
        <f t="shared" si="31"/>
        <v>537.4782</v>
      </c>
      <c r="I718" s="16"/>
      <c r="L718" s="25"/>
      <c r="N718" s="5"/>
    </row>
    <row r="719" s="2" customFormat="1" ht="18.75" customHeight="1" spans="1:14">
      <c r="A719" s="40"/>
      <c r="B719" s="68" t="s">
        <v>167</v>
      </c>
      <c r="C719" s="16"/>
      <c r="D719" s="16"/>
      <c r="E719" s="9" t="s">
        <v>164</v>
      </c>
      <c r="F719" s="17">
        <f>177*(0.9*0.2)</f>
        <v>31.86</v>
      </c>
      <c r="G719" s="17">
        <v>209.39</v>
      </c>
      <c r="H719" s="18">
        <f t="shared" si="31"/>
        <v>6671.1654</v>
      </c>
      <c r="I719" s="16"/>
      <c r="L719" s="25"/>
      <c r="N719" s="5"/>
    </row>
    <row r="720" ht="18.95" customHeight="1" spans="1:9">
      <c r="A720" s="40"/>
      <c r="B720" s="23" t="s">
        <v>168</v>
      </c>
      <c r="C720" s="41"/>
      <c r="D720" s="41"/>
      <c r="E720" s="41" t="s">
        <v>169</v>
      </c>
      <c r="F720" s="41"/>
      <c r="G720" s="41"/>
      <c r="H720" s="46">
        <f>SUM(H677:H719)</f>
        <v>233360.5841</v>
      </c>
      <c r="I720" s="58"/>
    </row>
    <row r="721" customHeight="1" spans="1:9">
      <c r="A721" s="65">
        <v>13</v>
      </c>
      <c r="B721" s="44" t="s">
        <v>253</v>
      </c>
      <c r="C721" s="44"/>
      <c r="D721" s="44"/>
      <c r="E721" s="44"/>
      <c r="F721" s="44"/>
      <c r="G721" s="44"/>
      <c r="H721" s="44"/>
      <c r="I721" s="53"/>
    </row>
    <row r="722" customHeight="1" spans="1:9">
      <c r="A722" s="40"/>
      <c r="B722" s="45" t="s">
        <v>84</v>
      </c>
      <c r="C722" s="41" t="s">
        <v>85</v>
      </c>
      <c r="D722" s="41" t="s">
        <v>86</v>
      </c>
      <c r="E722" s="41" t="s">
        <v>23</v>
      </c>
      <c r="F722" s="41">
        <v>136</v>
      </c>
      <c r="G722" s="17">
        <v>67.71</v>
      </c>
      <c r="H722" s="46">
        <f t="shared" ref="H722:H772" si="32">F722*G722</f>
        <v>9208.56</v>
      </c>
      <c r="I722" s="41"/>
    </row>
    <row r="723" customHeight="1" spans="1:9">
      <c r="A723" s="40"/>
      <c r="B723" s="45" t="s">
        <v>84</v>
      </c>
      <c r="C723" s="41" t="s">
        <v>87</v>
      </c>
      <c r="D723" s="41" t="s">
        <v>86</v>
      </c>
      <c r="E723" s="41" t="s">
        <v>23</v>
      </c>
      <c r="F723" s="41">
        <v>27</v>
      </c>
      <c r="G723" s="41">
        <v>39.37</v>
      </c>
      <c r="H723" s="46">
        <f t="shared" si="32"/>
        <v>1062.99</v>
      </c>
      <c r="I723" s="41"/>
    </row>
    <row r="724" customHeight="1" spans="1:9">
      <c r="A724" s="40"/>
      <c r="B724" s="45" t="s">
        <v>84</v>
      </c>
      <c r="C724" s="41" t="s">
        <v>88</v>
      </c>
      <c r="D724" s="41" t="s">
        <v>86</v>
      </c>
      <c r="E724" s="41" t="s">
        <v>23</v>
      </c>
      <c r="F724" s="41">
        <v>73</v>
      </c>
      <c r="G724" s="41">
        <v>31.5</v>
      </c>
      <c r="H724" s="46">
        <f t="shared" si="32"/>
        <v>2299.5</v>
      </c>
      <c r="I724" s="41"/>
    </row>
    <row r="725" customHeight="1" spans="1:9">
      <c r="A725" s="40"/>
      <c r="B725" s="45" t="s">
        <v>89</v>
      </c>
      <c r="C725" s="41" t="s">
        <v>90</v>
      </c>
      <c r="D725" s="41" t="s">
        <v>91</v>
      </c>
      <c r="E725" s="41" t="s">
        <v>23</v>
      </c>
      <c r="F725" s="41">
        <v>156</v>
      </c>
      <c r="G725" s="41">
        <v>91.41</v>
      </c>
      <c r="H725" s="46">
        <f t="shared" si="32"/>
        <v>14259.96</v>
      </c>
      <c r="I725" s="41"/>
    </row>
    <row r="726" customHeight="1" spans="1:9">
      <c r="A726" s="40"/>
      <c r="B726" s="45" t="s">
        <v>89</v>
      </c>
      <c r="C726" s="41" t="s">
        <v>92</v>
      </c>
      <c r="D726" s="41" t="s">
        <v>91</v>
      </c>
      <c r="E726" s="41" t="s">
        <v>23</v>
      </c>
      <c r="F726" s="41">
        <v>821</v>
      </c>
      <c r="G726" s="41">
        <v>77.13</v>
      </c>
      <c r="H726" s="46">
        <f t="shared" si="32"/>
        <v>63323.73</v>
      </c>
      <c r="I726" s="41"/>
    </row>
    <row r="727" customHeight="1" spans="1:9">
      <c r="A727" s="40"/>
      <c r="B727" s="45" t="s">
        <v>93</v>
      </c>
      <c r="C727" s="41" t="s">
        <v>98</v>
      </c>
      <c r="D727" s="41" t="s">
        <v>95</v>
      </c>
      <c r="E727" s="41" t="s">
        <v>23</v>
      </c>
      <c r="F727" s="41">
        <v>25</v>
      </c>
      <c r="G727" s="41">
        <v>56.95</v>
      </c>
      <c r="H727" s="46">
        <f t="shared" si="32"/>
        <v>1423.75</v>
      </c>
      <c r="I727" s="41" t="s">
        <v>233</v>
      </c>
    </row>
    <row r="728" customHeight="1" spans="1:9">
      <c r="A728" s="40"/>
      <c r="B728" s="45" t="s">
        <v>103</v>
      </c>
      <c r="C728" s="41" t="s">
        <v>110</v>
      </c>
      <c r="D728" s="41"/>
      <c r="E728" s="41" t="s">
        <v>96</v>
      </c>
      <c r="F728" s="41">
        <v>1</v>
      </c>
      <c r="G728" s="41">
        <v>176.41</v>
      </c>
      <c r="H728" s="46">
        <f t="shared" si="32"/>
        <v>176.41</v>
      </c>
      <c r="I728" s="41"/>
    </row>
    <row r="729" customHeight="1" spans="1:9">
      <c r="A729" s="40"/>
      <c r="B729" s="45" t="s">
        <v>103</v>
      </c>
      <c r="C729" s="41" t="s">
        <v>254</v>
      </c>
      <c r="D729" s="41"/>
      <c r="E729" s="41" t="s">
        <v>96</v>
      </c>
      <c r="F729" s="41">
        <v>16</v>
      </c>
      <c r="G729" s="41">
        <v>127.06</v>
      </c>
      <c r="H729" s="46">
        <f t="shared" si="32"/>
        <v>2032.96</v>
      </c>
      <c r="I729" s="41"/>
    </row>
    <row r="730" customHeight="1" spans="1:9">
      <c r="A730" s="40"/>
      <c r="B730" s="45" t="s">
        <v>103</v>
      </c>
      <c r="C730" s="41" t="s">
        <v>107</v>
      </c>
      <c r="D730" s="41"/>
      <c r="E730" s="41" t="s">
        <v>96</v>
      </c>
      <c r="F730" s="41">
        <v>61</v>
      </c>
      <c r="G730" s="41">
        <v>98.5</v>
      </c>
      <c r="H730" s="46">
        <f t="shared" si="32"/>
        <v>6008.5</v>
      </c>
      <c r="I730" s="41"/>
    </row>
    <row r="731" customHeight="1" spans="1:9">
      <c r="A731" s="40"/>
      <c r="B731" s="45" t="s">
        <v>109</v>
      </c>
      <c r="C731" s="41" t="s">
        <v>110</v>
      </c>
      <c r="D731" s="41"/>
      <c r="E731" s="41" t="s">
        <v>96</v>
      </c>
      <c r="F731" s="41">
        <v>1</v>
      </c>
      <c r="G731" s="41">
        <v>82.3</v>
      </c>
      <c r="H731" s="46">
        <f t="shared" si="32"/>
        <v>82.3</v>
      </c>
      <c r="I731" s="41"/>
    </row>
    <row r="732" customHeight="1" spans="1:9">
      <c r="A732" s="40"/>
      <c r="B732" s="45" t="s">
        <v>100</v>
      </c>
      <c r="C732" s="41" t="s">
        <v>98</v>
      </c>
      <c r="D732" s="41"/>
      <c r="E732" s="41" t="s">
        <v>96</v>
      </c>
      <c r="F732" s="41">
        <v>10</v>
      </c>
      <c r="G732" s="17">
        <v>132.78</v>
      </c>
      <c r="H732" s="46">
        <f t="shared" si="32"/>
        <v>1327.8</v>
      </c>
      <c r="I732" s="41"/>
    </row>
    <row r="733" customHeight="1" spans="1:9">
      <c r="A733" s="40"/>
      <c r="B733" s="45" t="s">
        <v>100</v>
      </c>
      <c r="C733" s="41" t="s">
        <v>101</v>
      </c>
      <c r="D733" s="41"/>
      <c r="E733" s="41" t="s">
        <v>96</v>
      </c>
      <c r="F733" s="41">
        <v>42</v>
      </c>
      <c r="G733" s="17">
        <v>68.16</v>
      </c>
      <c r="H733" s="46">
        <f t="shared" si="32"/>
        <v>2862.72</v>
      </c>
      <c r="I733" s="41"/>
    </row>
    <row r="734" customHeight="1" spans="1:9">
      <c r="A734" s="40"/>
      <c r="B734" s="45" t="s">
        <v>100</v>
      </c>
      <c r="C734" s="41" t="s">
        <v>102</v>
      </c>
      <c r="D734" s="41"/>
      <c r="E734" s="41" t="s">
        <v>96</v>
      </c>
      <c r="F734" s="41">
        <v>21</v>
      </c>
      <c r="G734" s="17">
        <v>57.26</v>
      </c>
      <c r="H734" s="46">
        <f t="shared" si="32"/>
        <v>1202.46</v>
      </c>
      <c r="I734" s="41"/>
    </row>
    <row r="735" customHeight="1" spans="1:9">
      <c r="A735" s="40"/>
      <c r="B735" s="45" t="s">
        <v>238</v>
      </c>
      <c r="C735" s="41" t="s">
        <v>119</v>
      </c>
      <c r="D735" s="41"/>
      <c r="E735" s="41" t="s">
        <v>96</v>
      </c>
      <c r="F735" s="45">
        <v>1</v>
      </c>
      <c r="G735" s="45">
        <v>90.8</v>
      </c>
      <c r="H735" s="46">
        <f t="shared" si="32"/>
        <v>90.8</v>
      </c>
      <c r="I735" s="41"/>
    </row>
    <row r="736" customHeight="1" spans="1:9">
      <c r="A736" s="40"/>
      <c r="B736" s="45" t="s">
        <v>238</v>
      </c>
      <c r="C736" s="41" t="s">
        <v>120</v>
      </c>
      <c r="D736" s="41"/>
      <c r="E736" s="41" t="s">
        <v>96</v>
      </c>
      <c r="F736" s="85">
        <v>2</v>
      </c>
      <c r="G736" s="45">
        <v>83.94</v>
      </c>
      <c r="H736" s="46">
        <f t="shared" si="32"/>
        <v>167.88</v>
      </c>
      <c r="I736" s="41"/>
    </row>
    <row r="737" customHeight="1" spans="1:9">
      <c r="A737" s="40"/>
      <c r="B737" s="45" t="s">
        <v>238</v>
      </c>
      <c r="C737" s="41" t="s">
        <v>121</v>
      </c>
      <c r="D737" s="41"/>
      <c r="E737" s="41" t="s">
        <v>96</v>
      </c>
      <c r="F737" s="85">
        <v>1</v>
      </c>
      <c r="G737" s="45">
        <v>42.2</v>
      </c>
      <c r="H737" s="46">
        <f t="shared" si="32"/>
        <v>42.2</v>
      </c>
      <c r="I737" s="41"/>
    </row>
    <row r="738" customHeight="1" spans="1:9">
      <c r="A738" s="40"/>
      <c r="B738" s="45" t="s">
        <v>239</v>
      </c>
      <c r="C738" s="41" t="s">
        <v>113</v>
      </c>
      <c r="D738" s="41"/>
      <c r="E738" s="41" t="s">
        <v>96</v>
      </c>
      <c r="F738" s="41">
        <v>1</v>
      </c>
      <c r="G738" s="41">
        <v>94.07</v>
      </c>
      <c r="H738" s="46">
        <f t="shared" si="32"/>
        <v>94.07</v>
      </c>
      <c r="I738" s="41"/>
    </row>
    <row r="739" customHeight="1" spans="1:9">
      <c r="A739" s="40"/>
      <c r="B739" s="45" t="s">
        <v>239</v>
      </c>
      <c r="C739" s="41" t="s">
        <v>114</v>
      </c>
      <c r="D739" s="41"/>
      <c r="E739" s="41" t="s">
        <v>96</v>
      </c>
      <c r="F739" s="41">
        <v>16</v>
      </c>
      <c r="G739" s="41">
        <v>94.07</v>
      </c>
      <c r="H739" s="46">
        <f t="shared" si="32"/>
        <v>1505.12</v>
      </c>
      <c r="I739" s="41"/>
    </row>
    <row r="740" customHeight="1" spans="1:9">
      <c r="A740" s="40"/>
      <c r="B740" s="45" t="s">
        <v>241</v>
      </c>
      <c r="C740" s="41" t="s">
        <v>113</v>
      </c>
      <c r="D740" s="41"/>
      <c r="E740" s="41" t="s">
        <v>96</v>
      </c>
      <c r="F740" s="41">
        <v>1</v>
      </c>
      <c r="G740" s="41">
        <v>98.43</v>
      </c>
      <c r="H740" s="46">
        <f t="shared" si="32"/>
        <v>98.43</v>
      </c>
      <c r="I740" s="41"/>
    </row>
    <row r="741" customHeight="1" spans="1:9">
      <c r="A741" s="40"/>
      <c r="B741" s="45" t="s">
        <v>123</v>
      </c>
      <c r="C741" s="41" t="s">
        <v>124</v>
      </c>
      <c r="D741" s="41"/>
      <c r="E741" s="41" t="s">
        <v>96</v>
      </c>
      <c r="F741" s="41">
        <v>1</v>
      </c>
      <c r="G741" s="17">
        <v>263.71</v>
      </c>
      <c r="H741" s="46">
        <f t="shared" si="32"/>
        <v>263.71</v>
      </c>
      <c r="I741" s="41"/>
    </row>
    <row r="742" customHeight="1" spans="1:9">
      <c r="A742" s="40"/>
      <c r="B742" s="45" t="s">
        <v>123</v>
      </c>
      <c r="C742" s="41" t="s">
        <v>125</v>
      </c>
      <c r="D742" s="41"/>
      <c r="E742" s="41" t="s">
        <v>96</v>
      </c>
      <c r="F742" s="41">
        <v>3</v>
      </c>
      <c r="G742" s="17">
        <v>182.55</v>
      </c>
      <c r="H742" s="46">
        <f t="shared" si="32"/>
        <v>547.65</v>
      </c>
      <c r="I742" s="41"/>
    </row>
    <row r="743" customHeight="1" spans="1:9">
      <c r="A743" s="40"/>
      <c r="B743" s="45" t="s">
        <v>123</v>
      </c>
      <c r="C743" s="41" t="s">
        <v>126</v>
      </c>
      <c r="D743" s="41"/>
      <c r="E743" s="41" t="s">
        <v>96</v>
      </c>
      <c r="F743" s="41">
        <v>18</v>
      </c>
      <c r="G743" s="41">
        <v>46.6</v>
      </c>
      <c r="H743" s="46">
        <f t="shared" si="32"/>
        <v>838.8</v>
      </c>
      <c r="I743" s="41"/>
    </row>
    <row r="744" customHeight="1" spans="1:9">
      <c r="A744" s="40"/>
      <c r="B744" s="45" t="s">
        <v>122</v>
      </c>
      <c r="C744" s="41" t="s">
        <v>119</v>
      </c>
      <c r="D744" s="41"/>
      <c r="E744" s="41" t="s">
        <v>96</v>
      </c>
      <c r="F744" s="45">
        <v>6</v>
      </c>
      <c r="G744" s="17">
        <v>96.25</v>
      </c>
      <c r="H744" s="46">
        <f t="shared" si="32"/>
        <v>577.5</v>
      </c>
      <c r="I744" s="41"/>
    </row>
    <row r="745" customHeight="1" spans="1:9">
      <c r="A745" s="40"/>
      <c r="B745" s="45" t="s">
        <v>122</v>
      </c>
      <c r="C745" s="41" t="s">
        <v>120</v>
      </c>
      <c r="D745" s="41"/>
      <c r="E745" s="41" t="s">
        <v>96</v>
      </c>
      <c r="F745" s="45">
        <v>1</v>
      </c>
      <c r="G745" s="17">
        <v>94.07</v>
      </c>
      <c r="H745" s="46">
        <f t="shared" si="32"/>
        <v>94.07</v>
      </c>
      <c r="I745" s="41"/>
    </row>
    <row r="746" customHeight="1" spans="1:9">
      <c r="A746" s="40"/>
      <c r="B746" s="45" t="s">
        <v>127</v>
      </c>
      <c r="C746" s="41" t="s">
        <v>101</v>
      </c>
      <c r="D746" s="41"/>
      <c r="E746" s="41" t="s">
        <v>96</v>
      </c>
      <c r="F746" s="41">
        <v>4</v>
      </c>
      <c r="G746" s="17">
        <f>G40</f>
        <v>1682.16</v>
      </c>
      <c r="H746" s="46">
        <f t="shared" si="32"/>
        <v>6728.64</v>
      </c>
      <c r="I746" s="41"/>
    </row>
    <row r="747" customHeight="1" spans="1:9">
      <c r="A747" s="40"/>
      <c r="B747" s="45" t="s">
        <v>127</v>
      </c>
      <c r="C747" s="41" t="s">
        <v>102</v>
      </c>
      <c r="D747" s="41"/>
      <c r="E747" s="41" t="s">
        <v>96</v>
      </c>
      <c r="F747" s="41">
        <v>34</v>
      </c>
      <c r="G747" s="17">
        <f>G41</f>
        <v>280</v>
      </c>
      <c r="H747" s="46">
        <f t="shared" si="32"/>
        <v>9520</v>
      </c>
      <c r="I747" s="41"/>
    </row>
    <row r="748" customHeight="1" spans="1:9">
      <c r="A748" s="40"/>
      <c r="B748" s="45" t="s">
        <v>132</v>
      </c>
      <c r="C748" s="41"/>
      <c r="D748" s="41"/>
      <c r="E748" s="41" t="s">
        <v>23</v>
      </c>
      <c r="F748" s="41">
        <v>236</v>
      </c>
      <c r="G748" s="41">
        <f>G44</f>
        <v>3.79</v>
      </c>
      <c r="H748" s="46">
        <f t="shared" si="32"/>
        <v>894.44</v>
      </c>
      <c r="I748" s="41"/>
    </row>
    <row r="749" customHeight="1" spans="1:9">
      <c r="A749" s="40"/>
      <c r="B749" s="45" t="s">
        <v>133</v>
      </c>
      <c r="C749" s="41"/>
      <c r="D749" s="41"/>
      <c r="E749" s="41" t="s">
        <v>23</v>
      </c>
      <c r="F749" s="41">
        <v>236</v>
      </c>
      <c r="G749" s="41">
        <v>29.46</v>
      </c>
      <c r="H749" s="46">
        <f t="shared" si="32"/>
        <v>6952.56</v>
      </c>
      <c r="I749" s="41"/>
    </row>
    <row r="750" customHeight="1" spans="1:9">
      <c r="A750" s="40"/>
      <c r="B750" s="45" t="s">
        <v>128</v>
      </c>
      <c r="C750" s="41" t="s">
        <v>255</v>
      </c>
      <c r="D750" s="41"/>
      <c r="E750" s="41" t="s">
        <v>96</v>
      </c>
      <c r="F750" s="41">
        <v>1</v>
      </c>
      <c r="G750" s="41">
        <v>16228.79</v>
      </c>
      <c r="H750" s="46">
        <f t="shared" si="32"/>
        <v>16228.79</v>
      </c>
      <c r="I750" s="58"/>
    </row>
    <row r="751" customHeight="1" spans="1:9">
      <c r="A751" s="40"/>
      <c r="B751" s="45" t="s">
        <v>131</v>
      </c>
      <c r="C751" s="41"/>
      <c r="D751" s="41"/>
      <c r="E751" s="41" t="s">
        <v>130</v>
      </c>
      <c r="F751" s="41">
        <v>1</v>
      </c>
      <c r="G751" s="41">
        <v>1220</v>
      </c>
      <c r="H751" s="46">
        <f t="shared" si="32"/>
        <v>1220</v>
      </c>
      <c r="I751" s="58"/>
    </row>
    <row r="752" customHeight="1" spans="1:9">
      <c r="A752" s="40"/>
      <c r="B752" s="45" t="s">
        <v>135</v>
      </c>
      <c r="C752" s="40" t="s">
        <v>136</v>
      </c>
      <c r="D752" s="41"/>
      <c r="E752" s="41" t="s">
        <v>137</v>
      </c>
      <c r="F752" s="41">
        <v>751</v>
      </c>
      <c r="G752" s="41">
        <v>12</v>
      </c>
      <c r="H752" s="46">
        <f t="shared" si="32"/>
        <v>9012</v>
      </c>
      <c r="I752" s="58"/>
    </row>
    <row r="753" customHeight="1" spans="1:9">
      <c r="A753" s="40"/>
      <c r="B753" s="45" t="s">
        <v>138</v>
      </c>
      <c r="C753" s="41" t="s">
        <v>139</v>
      </c>
      <c r="D753" s="41"/>
      <c r="E753" s="41" t="s">
        <v>140</v>
      </c>
      <c r="F753" s="41">
        <v>27</v>
      </c>
      <c r="G753" s="17">
        <f>3.77*5.5*1.35</f>
        <v>27.99225</v>
      </c>
      <c r="H753" s="46">
        <f t="shared" si="32"/>
        <v>755.79075</v>
      </c>
      <c r="I753" s="58" t="s">
        <v>141</v>
      </c>
    </row>
    <row r="754" customHeight="1" spans="1:9">
      <c r="A754" s="40"/>
      <c r="B754" s="45" t="s">
        <v>134</v>
      </c>
      <c r="C754" s="41" t="s">
        <v>101</v>
      </c>
      <c r="D754" s="41" t="s">
        <v>91</v>
      </c>
      <c r="E754" s="41" t="s">
        <v>96</v>
      </c>
      <c r="F754" s="41">
        <v>31</v>
      </c>
      <c r="G754" s="17">
        <v>109.75</v>
      </c>
      <c r="H754" s="46">
        <f t="shared" si="32"/>
        <v>3402.25</v>
      </c>
      <c r="I754" s="58"/>
    </row>
    <row r="755" customHeight="1" spans="1:9">
      <c r="A755" s="40"/>
      <c r="B755" s="45" t="s">
        <v>134</v>
      </c>
      <c r="C755" s="41" t="s">
        <v>102</v>
      </c>
      <c r="D755" s="41" t="s">
        <v>91</v>
      </c>
      <c r="E755" s="41" t="s">
        <v>96</v>
      </c>
      <c r="F755" s="41">
        <v>205</v>
      </c>
      <c r="G755" s="17">
        <v>54.55</v>
      </c>
      <c r="H755" s="46">
        <f t="shared" si="32"/>
        <v>11182.75</v>
      </c>
      <c r="I755" s="58"/>
    </row>
    <row r="756" customHeight="1" spans="1:9">
      <c r="A756" s="40"/>
      <c r="B756" s="45" t="s">
        <v>242</v>
      </c>
      <c r="C756" s="41" t="s">
        <v>101</v>
      </c>
      <c r="D756" s="41" t="s">
        <v>95</v>
      </c>
      <c r="E756" s="41" t="s">
        <v>137</v>
      </c>
      <c r="F756" s="41">
        <v>84</v>
      </c>
      <c r="G756" s="17">
        <v>312.6</v>
      </c>
      <c r="H756" s="46">
        <f t="shared" si="32"/>
        <v>26258.4</v>
      </c>
      <c r="I756" s="58"/>
    </row>
    <row r="757" customHeight="1" spans="1:9">
      <c r="A757" s="40"/>
      <c r="B757" s="45" t="s">
        <v>256</v>
      </c>
      <c r="C757" s="41" t="s">
        <v>120</v>
      </c>
      <c r="D757" s="41"/>
      <c r="E757" s="41" t="s">
        <v>96</v>
      </c>
      <c r="F757" s="41">
        <v>1</v>
      </c>
      <c r="G757" s="41">
        <v>14730.4</v>
      </c>
      <c r="H757" s="46">
        <f t="shared" si="32"/>
        <v>14730.4</v>
      </c>
      <c r="I757" s="41" t="s">
        <v>257</v>
      </c>
    </row>
    <row r="758" customHeight="1" spans="1:9">
      <c r="A758" s="40"/>
      <c r="B758" s="45" t="s">
        <v>145</v>
      </c>
      <c r="C758" s="41" t="s">
        <v>146</v>
      </c>
      <c r="D758" s="41" t="s">
        <v>147</v>
      </c>
      <c r="E758" s="41" t="s">
        <v>148</v>
      </c>
      <c r="F758" s="41">
        <v>117</v>
      </c>
      <c r="G758" s="17">
        <f>G53</f>
        <v>480.19</v>
      </c>
      <c r="H758" s="46">
        <f t="shared" si="32"/>
        <v>56182.23</v>
      </c>
      <c r="I758" s="41" t="s">
        <v>147</v>
      </c>
    </row>
    <row r="759" customHeight="1" spans="1:9">
      <c r="A759" s="40"/>
      <c r="B759" s="45" t="s">
        <v>151</v>
      </c>
      <c r="C759" s="41"/>
      <c r="D759" s="41"/>
      <c r="E759" s="41" t="s">
        <v>96</v>
      </c>
      <c r="F759" s="41">
        <v>234</v>
      </c>
      <c r="G759" s="41">
        <v>18.45</v>
      </c>
      <c r="H759" s="46">
        <f t="shared" si="32"/>
        <v>4317.3</v>
      </c>
      <c r="I759" s="41"/>
    </row>
    <row r="760" customHeight="1" spans="1:9">
      <c r="A760" s="40"/>
      <c r="B760" s="45" t="s">
        <v>153</v>
      </c>
      <c r="C760" s="41" t="s">
        <v>244</v>
      </c>
      <c r="D760" s="41"/>
      <c r="E760" s="41" t="s">
        <v>130</v>
      </c>
      <c r="F760" s="41">
        <v>117</v>
      </c>
      <c r="G760" s="41">
        <v>30.25</v>
      </c>
      <c r="H760" s="46">
        <f t="shared" si="32"/>
        <v>3539.25</v>
      </c>
      <c r="I760" s="41"/>
    </row>
    <row r="761" customHeight="1" spans="1:9">
      <c r="A761" s="40"/>
      <c r="B761" s="45" t="s">
        <v>154</v>
      </c>
      <c r="C761" s="41" t="s">
        <v>155</v>
      </c>
      <c r="D761" s="41"/>
      <c r="E761" s="41" t="s">
        <v>96</v>
      </c>
      <c r="F761" s="41">
        <v>234</v>
      </c>
      <c r="G761" s="41">
        <f>G58</f>
        <v>89.38</v>
      </c>
      <c r="H761" s="46">
        <f t="shared" si="32"/>
        <v>20914.92</v>
      </c>
      <c r="I761" s="41"/>
    </row>
    <row r="762" customHeight="1" spans="1:9">
      <c r="A762" s="40"/>
      <c r="B762" s="45" t="s">
        <v>156</v>
      </c>
      <c r="C762" s="41" t="s">
        <v>245</v>
      </c>
      <c r="D762" s="41" t="s">
        <v>147</v>
      </c>
      <c r="E762" s="41" t="s">
        <v>96</v>
      </c>
      <c r="F762" s="41">
        <v>117</v>
      </c>
      <c r="G762" s="41">
        <f>G59</f>
        <v>111.4</v>
      </c>
      <c r="H762" s="46">
        <f t="shared" si="32"/>
        <v>13033.8</v>
      </c>
      <c r="I762" s="41" t="s">
        <v>246</v>
      </c>
    </row>
    <row r="763" customHeight="1" spans="1:9">
      <c r="A763" s="40"/>
      <c r="B763" s="45" t="s">
        <v>247</v>
      </c>
      <c r="C763" s="41" t="s">
        <v>155</v>
      </c>
      <c r="D763" s="41"/>
      <c r="E763" s="41" t="s">
        <v>137</v>
      </c>
      <c r="F763" s="41">
        <v>351</v>
      </c>
      <c r="G763" s="41">
        <v>49.43</v>
      </c>
      <c r="H763" s="46">
        <f t="shared" si="32"/>
        <v>17349.93</v>
      </c>
      <c r="I763" s="41" t="s">
        <v>248</v>
      </c>
    </row>
    <row r="764" customHeight="1" spans="1:9">
      <c r="A764" s="40"/>
      <c r="B764" s="45" t="s">
        <v>158</v>
      </c>
      <c r="C764" s="41" t="s">
        <v>155</v>
      </c>
      <c r="D764" s="41"/>
      <c r="E764" s="41" t="s">
        <v>96</v>
      </c>
      <c r="F764" s="41">
        <v>351</v>
      </c>
      <c r="G764" s="41">
        <v>4.2</v>
      </c>
      <c r="H764" s="46">
        <f t="shared" si="32"/>
        <v>1474.2</v>
      </c>
      <c r="I764" s="41"/>
    </row>
    <row r="765" customHeight="1" spans="1:9">
      <c r="A765" s="40"/>
      <c r="B765" s="45" t="s">
        <v>159</v>
      </c>
      <c r="C765" s="41" t="s">
        <v>155</v>
      </c>
      <c r="D765" s="41"/>
      <c r="E765" s="41" t="s">
        <v>96</v>
      </c>
      <c r="F765" s="41">
        <v>234</v>
      </c>
      <c r="G765" s="41">
        <v>3.85</v>
      </c>
      <c r="H765" s="46">
        <f t="shared" si="32"/>
        <v>900.9</v>
      </c>
      <c r="I765" s="41"/>
    </row>
    <row r="766" customHeight="1" spans="1:9">
      <c r="A766" s="40"/>
      <c r="B766" s="45" t="s">
        <v>152</v>
      </c>
      <c r="C766" s="41"/>
      <c r="D766" s="41" t="s">
        <v>147</v>
      </c>
      <c r="E766" s="41" t="s">
        <v>96</v>
      </c>
      <c r="F766" s="41">
        <v>117</v>
      </c>
      <c r="G766" s="41">
        <v>358</v>
      </c>
      <c r="H766" s="46">
        <f t="shared" si="32"/>
        <v>41886</v>
      </c>
      <c r="I766" s="41"/>
    </row>
    <row r="767" customHeight="1" spans="1:9">
      <c r="A767" s="40"/>
      <c r="B767" s="45" t="s">
        <v>233</v>
      </c>
      <c r="C767" s="41" t="s">
        <v>102</v>
      </c>
      <c r="D767" s="41" t="s">
        <v>147</v>
      </c>
      <c r="E767" s="41" t="s">
        <v>137</v>
      </c>
      <c r="F767" s="41">
        <v>117</v>
      </c>
      <c r="G767" s="41">
        <v>25.14</v>
      </c>
      <c r="H767" s="46">
        <f t="shared" si="32"/>
        <v>2941.38</v>
      </c>
      <c r="I767" s="41"/>
    </row>
    <row r="768" customHeight="1" spans="1:9">
      <c r="A768" s="40"/>
      <c r="B768" s="45" t="s">
        <v>249</v>
      </c>
      <c r="C768" s="41" t="s">
        <v>250</v>
      </c>
      <c r="D768" s="41" t="s">
        <v>147</v>
      </c>
      <c r="E768" s="41" t="s">
        <v>140</v>
      </c>
      <c r="F768" s="41">
        <v>117</v>
      </c>
      <c r="G768" s="41">
        <v>85.5</v>
      </c>
      <c r="H768" s="46">
        <f t="shared" si="32"/>
        <v>10003.5</v>
      </c>
      <c r="I768" s="58" t="s">
        <v>251</v>
      </c>
    </row>
    <row r="769" s="2" customFormat="1" ht="18.75" customHeight="1" spans="1:14">
      <c r="A769" s="40"/>
      <c r="B769" s="68" t="s">
        <v>163</v>
      </c>
      <c r="C769" s="16"/>
      <c r="D769" s="16"/>
      <c r="E769" s="9" t="s">
        <v>164</v>
      </c>
      <c r="F769" s="17">
        <f>236*(0.9*2.1)</f>
        <v>446.04</v>
      </c>
      <c r="G769" s="17">
        <f>G65</f>
        <v>14.43</v>
      </c>
      <c r="H769" s="18">
        <f t="shared" si="32"/>
        <v>6436.3572</v>
      </c>
      <c r="I769" s="16"/>
      <c r="L769" s="25"/>
      <c r="N769" s="5"/>
    </row>
    <row r="770" s="2" customFormat="1" ht="18.75" customHeight="1" spans="1:14">
      <c r="A770" s="40"/>
      <c r="B770" s="68" t="s">
        <v>165</v>
      </c>
      <c r="C770" s="16"/>
      <c r="D770" s="16"/>
      <c r="E770" s="9" t="s">
        <v>164</v>
      </c>
      <c r="F770" s="17">
        <f>236*(0.9*1.8)</f>
        <v>382.32</v>
      </c>
      <c r="G770" s="17">
        <f>G66</f>
        <v>14.49</v>
      </c>
      <c r="H770" s="18">
        <f t="shared" si="32"/>
        <v>5539.8168</v>
      </c>
      <c r="I770" s="16"/>
      <c r="L770" s="25"/>
      <c r="N770" s="5"/>
    </row>
    <row r="771" s="2" customFormat="1" ht="18.75" customHeight="1" spans="1:14">
      <c r="A771" s="40"/>
      <c r="B771" s="68" t="s">
        <v>166</v>
      </c>
      <c r="C771" s="16"/>
      <c r="D771" s="16"/>
      <c r="E771" s="9" t="s">
        <v>164</v>
      </c>
      <c r="F771" s="17">
        <f>236*(0.9*0.2)</f>
        <v>42.48</v>
      </c>
      <c r="G771" s="17">
        <f>G67</f>
        <v>16.87</v>
      </c>
      <c r="H771" s="18">
        <f t="shared" si="32"/>
        <v>716.6376</v>
      </c>
      <c r="I771" s="16"/>
      <c r="L771" s="25"/>
      <c r="N771" s="5"/>
    </row>
    <row r="772" s="2" customFormat="1" ht="18.75" customHeight="1" spans="1:14">
      <c r="A772" s="40"/>
      <c r="B772" s="68" t="s">
        <v>167</v>
      </c>
      <c r="C772" s="16"/>
      <c r="D772" s="16"/>
      <c r="E772" s="9" t="s">
        <v>164</v>
      </c>
      <c r="F772" s="17">
        <f>236*(0.9*0.2)</f>
        <v>42.48</v>
      </c>
      <c r="G772" s="17">
        <v>209.39</v>
      </c>
      <c r="H772" s="18">
        <f t="shared" si="32"/>
        <v>8894.8872</v>
      </c>
      <c r="I772" s="16"/>
      <c r="L772" s="25"/>
      <c r="N772" s="5"/>
    </row>
    <row r="773" ht="18.95" customHeight="1" spans="1:9">
      <c r="A773" s="40"/>
      <c r="B773" s="23" t="s">
        <v>168</v>
      </c>
      <c r="C773" s="41"/>
      <c r="D773" s="41"/>
      <c r="E773" s="41" t="s">
        <v>169</v>
      </c>
      <c r="F773" s="41"/>
      <c r="G773" s="41"/>
      <c r="H773" s="46">
        <f>SUM(H722:H772)</f>
        <v>410608.99955</v>
      </c>
      <c r="I773" s="58"/>
    </row>
    <row r="774" customHeight="1" spans="1:9">
      <c r="A774" s="65">
        <v>14</v>
      </c>
      <c r="B774" s="44" t="s">
        <v>258</v>
      </c>
      <c r="C774" s="44"/>
      <c r="D774" s="44"/>
      <c r="E774" s="44"/>
      <c r="F774" s="44"/>
      <c r="G774" s="44"/>
      <c r="H774" s="44"/>
      <c r="I774" s="53"/>
    </row>
    <row r="775" customHeight="1" spans="1:9">
      <c r="A775" s="40"/>
      <c r="B775" s="45" t="s">
        <v>84</v>
      </c>
      <c r="C775" s="41" t="s">
        <v>259</v>
      </c>
      <c r="D775" s="41" t="s">
        <v>86</v>
      </c>
      <c r="E775" s="41" t="s">
        <v>23</v>
      </c>
      <c r="F775" s="41">
        <v>307</v>
      </c>
      <c r="G775" s="41">
        <v>167.58</v>
      </c>
      <c r="H775" s="46">
        <f t="shared" ref="H775:H809" si="33">F775*G775</f>
        <v>51447.06</v>
      </c>
      <c r="I775" s="41" t="s">
        <v>192</v>
      </c>
    </row>
    <row r="776" customHeight="1" spans="1:9">
      <c r="A776" s="40"/>
      <c r="B776" s="45" t="s">
        <v>89</v>
      </c>
      <c r="C776" s="41" t="s">
        <v>92</v>
      </c>
      <c r="D776" s="41" t="s">
        <v>91</v>
      </c>
      <c r="E776" s="41" t="s">
        <v>23</v>
      </c>
      <c r="F776" s="41">
        <v>54</v>
      </c>
      <c r="G776" s="41">
        <v>77.13</v>
      </c>
      <c r="H776" s="46">
        <f t="shared" si="33"/>
        <v>4165.02</v>
      </c>
      <c r="I776" s="41"/>
    </row>
    <row r="777" customHeight="1" spans="1:9">
      <c r="A777" s="40"/>
      <c r="B777" s="45" t="s">
        <v>260</v>
      </c>
      <c r="C777" s="41" t="s">
        <v>261</v>
      </c>
      <c r="D777" s="41" t="s">
        <v>262</v>
      </c>
      <c r="E777" s="41" t="s">
        <v>23</v>
      </c>
      <c r="F777" s="41">
        <v>36</v>
      </c>
      <c r="G777" s="41">
        <v>601.22</v>
      </c>
      <c r="H777" s="46">
        <f t="shared" si="33"/>
        <v>21643.92</v>
      </c>
      <c r="I777" s="41"/>
    </row>
    <row r="778" customHeight="1" spans="1:9">
      <c r="A778" s="40"/>
      <c r="B778" s="45" t="s">
        <v>93</v>
      </c>
      <c r="C778" s="41" t="s">
        <v>98</v>
      </c>
      <c r="D778" s="41" t="s">
        <v>95</v>
      </c>
      <c r="E778" s="41" t="s">
        <v>23</v>
      </c>
      <c r="F778" s="41">
        <v>1</v>
      </c>
      <c r="G778" s="41">
        <v>56.95</v>
      </c>
      <c r="H778" s="46">
        <f t="shared" si="33"/>
        <v>56.95</v>
      </c>
      <c r="I778" s="41" t="s">
        <v>233</v>
      </c>
    </row>
    <row r="779" customHeight="1" spans="1:9">
      <c r="A779" s="40"/>
      <c r="B779" s="45" t="s">
        <v>100</v>
      </c>
      <c r="C779" s="41" t="s">
        <v>101</v>
      </c>
      <c r="D779" s="41"/>
      <c r="E779" s="41" t="s">
        <v>96</v>
      </c>
      <c r="F779" s="41">
        <v>1</v>
      </c>
      <c r="G779" s="41">
        <v>68.16</v>
      </c>
      <c r="H779" s="46">
        <f t="shared" si="33"/>
        <v>68.16</v>
      </c>
      <c r="I779" s="41"/>
    </row>
    <row r="780" customHeight="1" spans="1:9">
      <c r="A780" s="40"/>
      <c r="B780" s="45" t="s">
        <v>238</v>
      </c>
      <c r="C780" s="41" t="s">
        <v>189</v>
      </c>
      <c r="D780" s="41"/>
      <c r="E780" s="41" t="s">
        <v>96</v>
      </c>
      <c r="F780" s="85">
        <v>2</v>
      </c>
      <c r="G780" s="85">
        <v>431.29</v>
      </c>
      <c r="H780" s="46">
        <f t="shared" si="33"/>
        <v>862.58</v>
      </c>
      <c r="I780" s="41"/>
    </row>
    <row r="781" customHeight="1" spans="1:9">
      <c r="A781" s="40"/>
      <c r="B781" s="45" t="s">
        <v>123</v>
      </c>
      <c r="C781" s="41" t="s">
        <v>263</v>
      </c>
      <c r="D781" s="41"/>
      <c r="E781" s="41" t="s">
        <v>96</v>
      </c>
      <c r="F781" s="41">
        <v>1</v>
      </c>
      <c r="G781" s="41">
        <v>841.2</v>
      </c>
      <c r="H781" s="46">
        <f t="shared" si="33"/>
        <v>841.2</v>
      </c>
      <c r="I781" s="41"/>
    </row>
    <row r="782" customHeight="1" spans="1:9">
      <c r="A782" s="40"/>
      <c r="B782" s="45" t="s">
        <v>123</v>
      </c>
      <c r="C782" s="41" t="s">
        <v>126</v>
      </c>
      <c r="D782" s="41"/>
      <c r="E782" s="41" t="s">
        <v>96</v>
      </c>
      <c r="F782" s="41">
        <v>1</v>
      </c>
      <c r="G782" s="41">
        <v>45</v>
      </c>
      <c r="H782" s="46">
        <f t="shared" si="33"/>
        <v>45</v>
      </c>
      <c r="I782" s="41"/>
    </row>
    <row r="783" customHeight="1" spans="1:9">
      <c r="A783" s="40"/>
      <c r="B783" s="45" t="s">
        <v>122</v>
      </c>
      <c r="C783" s="41" t="s">
        <v>189</v>
      </c>
      <c r="D783" s="41"/>
      <c r="E783" s="41" t="s">
        <v>96</v>
      </c>
      <c r="F783" s="45">
        <v>15</v>
      </c>
      <c r="G783" s="45">
        <v>180</v>
      </c>
      <c r="H783" s="46">
        <f t="shared" si="33"/>
        <v>2700</v>
      </c>
      <c r="I783" s="41"/>
    </row>
    <row r="784" customHeight="1" spans="1:9">
      <c r="A784" s="40"/>
      <c r="B784" s="45" t="s">
        <v>127</v>
      </c>
      <c r="C784" s="41" t="s">
        <v>102</v>
      </c>
      <c r="D784" s="41"/>
      <c r="E784" s="41" t="s">
        <v>96</v>
      </c>
      <c r="F784" s="41">
        <v>1</v>
      </c>
      <c r="G784" s="41">
        <f>G41</f>
        <v>280</v>
      </c>
      <c r="H784" s="46">
        <f t="shared" si="33"/>
        <v>280</v>
      </c>
      <c r="I784" s="41"/>
    </row>
    <row r="785" customHeight="1" spans="1:9">
      <c r="A785" s="40"/>
      <c r="B785" s="45" t="s">
        <v>132</v>
      </c>
      <c r="C785" s="41"/>
      <c r="D785" s="41"/>
      <c r="E785" s="41" t="s">
        <v>23</v>
      </c>
      <c r="F785" s="41">
        <v>307</v>
      </c>
      <c r="G785" s="41">
        <f>G44</f>
        <v>3.79</v>
      </c>
      <c r="H785" s="46">
        <f t="shared" si="33"/>
        <v>1163.53</v>
      </c>
      <c r="I785" s="41"/>
    </row>
    <row r="786" customHeight="1" spans="1:9">
      <c r="A786" s="40"/>
      <c r="B786" s="45" t="s">
        <v>133</v>
      </c>
      <c r="C786" s="41"/>
      <c r="D786" s="41"/>
      <c r="E786" s="41" t="s">
        <v>23</v>
      </c>
      <c r="F786" s="41">
        <v>307</v>
      </c>
      <c r="G786" s="41">
        <v>29.46</v>
      </c>
      <c r="H786" s="46">
        <f t="shared" si="33"/>
        <v>9044.22</v>
      </c>
      <c r="I786" s="41"/>
    </row>
    <row r="787" customHeight="1" spans="1:9">
      <c r="A787" s="40"/>
      <c r="B787" s="45" t="s">
        <v>128</v>
      </c>
      <c r="C787" s="41" t="s">
        <v>129</v>
      </c>
      <c r="D787" s="41"/>
      <c r="E787" s="41" t="s">
        <v>96</v>
      </c>
      <c r="F787" s="41">
        <v>1</v>
      </c>
      <c r="G787" s="41">
        <f>G42</f>
        <v>10251.47</v>
      </c>
      <c r="H787" s="46">
        <f t="shared" si="33"/>
        <v>10251.47</v>
      </c>
      <c r="I787" s="58"/>
    </row>
    <row r="788" customHeight="1" spans="1:9">
      <c r="A788" s="40"/>
      <c r="B788" s="45" t="s">
        <v>131</v>
      </c>
      <c r="C788" s="41"/>
      <c r="D788" s="41"/>
      <c r="E788" s="41" t="s">
        <v>130</v>
      </c>
      <c r="F788" s="41">
        <v>1</v>
      </c>
      <c r="G788" s="41">
        <v>1220</v>
      </c>
      <c r="H788" s="46">
        <f t="shared" si="33"/>
        <v>1220</v>
      </c>
      <c r="I788" s="58"/>
    </row>
    <row r="789" customHeight="1" spans="1:9">
      <c r="A789" s="40"/>
      <c r="B789" s="45" t="s">
        <v>135</v>
      </c>
      <c r="C789" s="40" t="s">
        <v>136</v>
      </c>
      <c r="D789" s="41"/>
      <c r="E789" s="41" t="s">
        <v>137</v>
      </c>
      <c r="F789" s="41">
        <v>6</v>
      </c>
      <c r="G789" s="51">
        <f>0.04*7.85*4*5.5*1.45</f>
        <v>10.0166</v>
      </c>
      <c r="H789" s="46">
        <f t="shared" si="33"/>
        <v>60.0996</v>
      </c>
      <c r="I789" s="58"/>
    </row>
    <row r="790" customHeight="1" spans="1:9">
      <c r="A790" s="40"/>
      <c r="B790" s="45" t="s">
        <v>138</v>
      </c>
      <c r="C790" s="41" t="s">
        <v>139</v>
      </c>
      <c r="D790" s="41"/>
      <c r="E790" s="41" t="s">
        <v>140</v>
      </c>
      <c r="F790" s="41">
        <v>1</v>
      </c>
      <c r="G790" s="51">
        <f>3.77*5.5*1.45</f>
        <v>30.06575</v>
      </c>
      <c r="H790" s="46">
        <f t="shared" si="33"/>
        <v>30.06575</v>
      </c>
      <c r="I790" s="58" t="s">
        <v>141</v>
      </c>
    </row>
    <row r="791" customHeight="1" spans="1:9">
      <c r="A791" s="40"/>
      <c r="B791" s="45" t="s">
        <v>134</v>
      </c>
      <c r="C791" s="41" t="s">
        <v>101</v>
      </c>
      <c r="D791" s="41" t="s">
        <v>91</v>
      </c>
      <c r="E791" s="41" t="s">
        <v>96</v>
      </c>
      <c r="F791" s="41">
        <v>10</v>
      </c>
      <c r="G791" s="17">
        <v>109.75</v>
      </c>
      <c r="H791" s="46">
        <f t="shared" si="33"/>
        <v>1097.5</v>
      </c>
      <c r="I791" s="58"/>
    </row>
    <row r="792" customHeight="1" spans="1:9">
      <c r="A792" s="40"/>
      <c r="B792" s="45" t="s">
        <v>134</v>
      </c>
      <c r="C792" s="41" t="s">
        <v>181</v>
      </c>
      <c r="D792" s="41" t="s">
        <v>91</v>
      </c>
      <c r="E792" s="41" t="s">
        <v>96</v>
      </c>
      <c r="F792" s="41">
        <v>5</v>
      </c>
      <c r="G792" s="17">
        <v>60.29</v>
      </c>
      <c r="H792" s="46">
        <f t="shared" si="33"/>
        <v>301.45</v>
      </c>
      <c r="I792" s="58"/>
    </row>
    <row r="793" customHeight="1" spans="1:9">
      <c r="A793" s="40"/>
      <c r="B793" s="45" t="s">
        <v>242</v>
      </c>
      <c r="C793" s="41" t="s">
        <v>101</v>
      </c>
      <c r="D793" s="41" t="s">
        <v>95</v>
      </c>
      <c r="E793" s="41" t="s">
        <v>137</v>
      </c>
      <c r="F793" s="41">
        <v>4</v>
      </c>
      <c r="G793" s="17">
        <v>312.6</v>
      </c>
      <c r="H793" s="46">
        <f t="shared" si="33"/>
        <v>1250.4</v>
      </c>
      <c r="I793" s="58"/>
    </row>
    <row r="794" customHeight="1" spans="1:9">
      <c r="A794" s="40"/>
      <c r="B794" s="45" t="s">
        <v>256</v>
      </c>
      <c r="C794" s="41" t="s">
        <v>189</v>
      </c>
      <c r="D794" s="41"/>
      <c r="E794" s="41" t="s">
        <v>96</v>
      </c>
      <c r="F794" s="41">
        <v>1</v>
      </c>
      <c r="G794" s="41">
        <f>G757</f>
        <v>14730.4</v>
      </c>
      <c r="H794" s="46">
        <f t="shared" si="33"/>
        <v>14730.4</v>
      </c>
      <c r="I794" s="41" t="s">
        <v>257</v>
      </c>
    </row>
    <row r="795" customHeight="1" spans="1:9">
      <c r="A795" s="40"/>
      <c r="B795" s="45" t="s">
        <v>145</v>
      </c>
      <c r="C795" s="41" t="s">
        <v>243</v>
      </c>
      <c r="D795" s="41" t="s">
        <v>147</v>
      </c>
      <c r="E795" s="41" t="s">
        <v>148</v>
      </c>
      <c r="F795" s="41">
        <v>5</v>
      </c>
      <c r="G795" s="17">
        <f>G53</f>
        <v>480.19</v>
      </c>
      <c r="H795" s="46">
        <f t="shared" si="33"/>
        <v>2400.95</v>
      </c>
      <c r="I795" s="41" t="s">
        <v>147</v>
      </c>
    </row>
    <row r="796" customHeight="1" spans="1:9">
      <c r="A796" s="40"/>
      <c r="B796" s="45" t="s">
        <v>151</v>
      </c>
      <c r="C796" s="41"/>
      <c r="D796" s="41"/>
      <c r="E796" s="41" t="s">
        <v>96</v>
      </c>
      <c r="F796" s="41">
        <v>10</v>
      </c>
      <c r="G796" s="41">
        <v>18.45</v>
      </c>
      <c r="H796" s="46">
        <f t="shared" si="33"/>
        <v>184.5</v>
      </c>
      <c r="I796" s="41"/>
    </row>
    <row r="797" customHeight="1" spans="1:9">
      <c r="A797" s="40"/>
      <c r="B797" s="45" t="s">
        <v>153</v>
      </c>
      <c r="C797" s="41" t="s">
        <v>244</v>
      </c>
      <c r="D797" s="41"/>
      <c r="E797" s="41" t="s">
        <v>130</v>
      </c>
      <c r="F797" s="41">
        <v>5</v>
      </c>
      <c r="G797" s="41">
        <v>30.25</v>
      </c>
      <c r="H797" s="46">
        <f t="shared" si="33"/>
        <v>151.25</v>
      </c>
      <c r="I797" s="41"/>
    </row>
    <row r="798" customHeight="1" spans="1:9">
      <c r="A798" s="40"/>
      <c r="B798" s="45" t="s">
        <v>154</v>
      </c>
      <c r="C798" s="41" t="s">
        <v>155</v>
      </c>
      <c r="D798" s="41"/>
      <c r="E798" s="41" t="s">
        <v>96</v>
      </c>
      <c r="F798" s="41">
        <v>10</v>
      </c>
      <c r="G798" s="41">
        <f>G58</f>
        <v>89.38</v>
      </c>
      <c r="H798" s="46">
        <f t="shared" si="33"/>
        <v>893.8</v>
      </c>
      <c r="I798" s="41"/>
    </row>
    <row r="799" customHeight="1" spans="1:9">
      <c r="A799" s="40"/>
      <c r="B799" s="45" t="s">
        <v>156</v>
      </c>
      <c r="C799" s="41" t="s">
        <v>245</v>
      </c>
      <c r="D799" s="41" t="s">
        <v>147</v>
      </c>
      <c r="E799" s="41" t="s">
        <v>96</v>
      </c>
      <c r="F799" s="41">
        <v>5</v>
      </c>
      <c r="G799" s="41">
        <f>G59</f>
        <v>111.4</v>
      </c>
      <c r="H799" s="46">
        <f t="shared" si="33"/>
        <v>557</v>
      </c>
      <c r="I799" s="41" t="s">
        <v>246</v>
      </c>
    </row>
    <row r="800" customHeight="1" spans="1:9">
      <c r="A800" s="40"/>
      <c r="B800" s="45" t="s">
        <v>247</v>
      </c>
      <c r="C800" s="41" t="s">
        <v>155</v>
      </c>
      <c r="D800" s="41"/>
      <c r="E800" s="41" t="s">
        <v>137</v>
      </c>
      <c r="F800" s="41">
        <v>15</v>
      </c>
      <c r="G800" s="41">
        <v>49.43</v>
      </c>
      <c r="H800" s="46">
        <f t="shared" si="33"/>
        <v>741.45</v>
      </c>
      <c r="I800" s="41" t="s">
        <v>248</v>
      </c>
    </row>
    <row r="801" customHeight="1" spans="1:9">
      <c r="A801" s="40"/>
      <c r="B801" s="45" t="s">
        <v>158</v>
      </c>
      <c r="C801" s="41" t="s">
        <v>155</v>
      </c>
      <c r="D801" s="41"/>
      <c r="E801" s="41" t="s">
        <v>96</v>
      </c>
      <c r="F801" s="41">
        <v>15</v>
      </c>
      <c r="G801" s="41">
        <v>4.2</v>
      </c>
      <c r="H801" s="46">
        <f t="shared" si="33"/>
        <v>63</v>
      </c>
      <c r="I801" s="41"/>
    </row>
    <row r="802" customHeight="1" spans="1:9">
      <c r="A802" s="40"/>
      <c r="B802" s="45" t="s">
        <v>159</v>
      </c>
      <c r="C802" s="41" t="s">
        <v>155</v>
      </c>
      <c r="D802" s="41"/>
      <c r="E802" s="41" t="s">
        <v>96</v>
      </c>
      <c r="F802" s="41">
        <v>10</v>
      </c>
      <c r="G802" s="41">
        <v>3.85</v>
      </c>
      <c r="H802" s="46">
        <f t="shared" si="33"/>
        <v>38.5</v>
      </c>
      <c r="I802" s="41"/>
    </row>
    <row r="803" customHeight="1" spans="1:9">
      <c r="A803" s="40"/>
      <c r="B803" s="45" t="s">
        <v>152</v>
      </c>
      <c r="C803" s="41"/>
      <c r="D803" s="41" t="s">
        <v>147</v>
      </c>
      <c r="E803" s="41" t="s">
        <v>96</v>
      </c>
      <c r="F803" s="41">
        <v>5</v>
      </c>
      <c r="G803" s="41">
        <v>358</v>
      </c>
      <c r="H803" s="46">
        <f t="shared" si="33"/>
        <v>1790</v>
      </c>
      <c r="I803" s="41"/>
    </row>
    <row r="804" customHeight="1" spans="1:9">
      <c r="A804" s="40"/>
      <c r="B804" s="45" t="s">
        <v>233</v>
      </c>
      <c r="C804" s="41" t="s">
        <v>102</v>
      </c>
      <c r="D804" s="41" t="s">
        <v>147</v>
      </c>
      <c r="E804" s="41" t="s">
        <v>137</v>
      </c>
      <c r="F804" s="41">
        <v>5</v>
      </c>
      <c r="G804" s="41">
        <v>25.14</v>
      </c>
      <c r="H804" s="46">
        <f t="shared" si="33"/>
        <v>125.7</v>
      </c>
      <c r="I804" s="41"/>
    </row>
    <row r="805" customHeight="1" spans="1:9">
      <c r="A805" s="40"/>
      <c r="B805" s="45" t="s">
        <v>249</v>
      </c>
      <c r="C805" s="41" t="s">
        <v>250</v>
      </c>
      <c r="D805" s="41" t="s">
        <v>147</v>
      </c>
      <c r="E805" s="41" t="s">
        <v>140</v>
      </c>
      <c r="F805" s="41">
        <v>5</v>
      </c>
      <c r="G805" s="41">
        <v>85.5</v>
      </c>
      <c r="H805" s="46">
        <f t="shared" si="33"/>
        <v>427.5</v>
      </c>
      <c r="I805" s="58" t="s">
        <v>251</v>
      </c>
    </row>
    <row r="806" s="2" customFormat="1" ht="18.75" customHeight="1" spans="1:14">
      <c r="A806" s="40"/>
      <c r="B806" s="68" t="s">
        <v>163</v>
      </c>
      <c r="C806" s="16"/>
      <c r="D806" s="16"/>
      <c r="E806" s="9" t="s">
        <v>164</v>
      </c>
      <c r="F806" s="17">
        <f>307*(1*2.1)</f>
        <v>644.7</v>
      </c>
      <c r="G806" s="17">
        <f>G65</f>
        <v>14.43</v>
      </c>
      <c r="H806" s="18">
        <f t="shared" si="33"/>
        <v>9303.021</v>
      </c>
      <c r="I806" s="16"/>
      <c r="L806" s="25"/>
      <c r="N806" s="5"/>
    </row>
    <row r="807" s="2" customFormat="1" ht="18.75" customHeight="1" spans="1:14">
      <c r="A807" s="40"/>
      <c r="B807" s="68" t="s">
        <v>165</v>
      </c>
      <c r="C807" s="16"/>
      <c r="D807" s="16"/>
      <c r="E807" s="9" t="s">
        <v>164</v>
      </c>
      <c r="F807" s="17">
        <f>307*(1*1.8)</f>
        <v>552.6</v>
      </c>
      <c r="G807" s="17">
        <f>G66</f>
        <v>14.49</v>
      </c>
      <c r="H807" s="18">
        <f t="shared" si="33"/>
        <v>8007.174</v>
      </c>
      <c r="I807" s="16"/>
      <c r="L807" s="25"/>
      <c r="N807" s="5"/>
    </row>
    <row r="808" s="2" customFormat="1" ht="18.75" customHeight="1" spans="1:14">
      <c r="A808" s="40"/>
      <c r="B808" s="68" t="s">
        <v>166</v>
      </c>
      <c r="C808" s="16"/>
      <c r="D808" s="16"/>
      <c r="E808" s="9" t="s">
        <v>164</v>
      </c>
      <c r="F808" s="17">
        <f>307*(1*0.2)</f>
        <v>61.4</v>
      </c>
      <c r="G808" s="17">
        <f>G67</f>
        <v>16.87</v>
      </c>
      <c r="H808" s="18">
        <f t="shared" si="33"/>
        <v>1035.818</v>
      </c>
      <c r="I808" s="16"/>
      <c r="L808" s="25"/>
      <c r="N808" s="5"/>
    </row>
    <row r="809" s="2" customFormat="1" ht="18.75" customHeight="1" spans="1:14">
      <c r="A809" s="40"/>
      <c r="B809" s="68" t="s">
        <v>167</v>
      </c>
      <c r="C809" s="16"/>
      <c r="D809" s="16"/>
      <c r="E809" s="9" t="s">
        <v>164</v>
      </c>
      <c r="F809" s="17">
        <f>307*(1*0.2)</f>
        <v>61.4</v>
      </c>
      <c r="G809" s="17">
        <v>209.39</v>
      </c>
      <c r="H809" s="18">
        <f t="shared" si="33"/>
        <v>12856.546</v>
      </c>
      <c r="I809" s="16"/>
      <c r="L809" s="25"/>
      <c r="N809" s="5"/>
    </row>
    <row r="810" ht="18.95" customHeight="1" spans="1:9">
      <c r="A810" s="40"/>
      <c r="B810" s="23" t="s">
        <v>168</v>
      </c>
      <c r="C810" s="41"/>
      <c r="D810" s="41"/>
      <c r="E810" s="41" t="s">
        <v>169</v>
      </c>
      <c r="F810" s="41"/>
      <c r="G810" s="41"/>
      <c r="H810" s="46">
        <f>SUM(H775:H809)</f>
        <v>159835.23435</v>
      </c>
      <c r="I810" s="58"/>
    </row>
    <row r="811" customHeight="1" spans="1:9">
      <c r="A811" s="65">
        <v>15</v>
      </c>
      <c r="B811" s="44" t="s">
        <v>264</v>
      </c>
      <c r="C811" s="44"/>
      <c r="D811" s="44"/>
      <c r="E811" s="44"/>
      <c r="F811" s="44"/>
      <c r="G811" s="44"/>
      <c r="H811" s="44"/>
      <c r="I811" s="53"/>
    </row>
    <row r="812" customHeight="1" spans="1:9">
      <c r="A812" s="40"/>
      <c r="B812" s="45" t="s">
        <v>84</v>
      </c>
      <c r="C812" s="41" t="s">
        <v>171</v>
      </c>
      <c r="D812" s="41" t="s">
        <v>86</v>
      </c>
      <c r="E812" s="41" t="s">
        <v>23</v>
      </c>
      <c r="F812" s="41">
        <v>24</v>
      </c>
      <c r="G812" s="17">
        <v>78.32</v>
      </c>
      <c r="H812" s="46">
        <f t="shared" ref="H812:H865" si="34">F812*G812</f>
        <v>1879.68</v>
      </c>
      <c r="I812" s="41"/>
    </row>
    <row r="813" customHeight="1" spans="1:9">
      <c r="A813" s="40"/>
      <c r="B813" s="45" t="s">
        <v>84</v>
      </c>
      <c r="C813" s="41" t="s">
        <v>85</v>
      </c>
      <c r="D813" s="41" t="s">
        <v>86</v>
      </c>
      <c r="E813" s="41" t="s">
        <v>23</v>
      </c>
      <c r="F813" s="41">
        <v>212</v>
      </c>
      <c r="G813" s="17">
        <v>67.71</v>
      </c>
      <c r="H813" s="46">
        <f t="shared" si="34"/>
        <v>14354.52</v>
      </c>
      <c r="I813" s="41"/>
    </row>
    <row r="814" customHeight="1" spans="1:9">
      <c r="A814" s="40"/>
      <c r="B814" s="45" t="s">
        <v>84</v>
      </c>
      <c r="C814" s="41" t="s">
        <v>87</v>
      </c>
      <c r="D814" s="41" t="s">
        <v>86</v>
      </c>
      <c r="E814" s="41" t="s">
        <v>23</v>
      </c>
      <c r="F814" s="41">
        <v>431</v>
      </c>
      <c r="G814" s="17">
        <v>39.37</v>
      </c>
      <c r="H814" s="46">
        <f t="shared" si="34"/>
        <v>16968.47</v>
      </c>
      <c r="I814" s="41"/>
    </row>
    <row r="815" customHeight="1" spans="1:9">
      <c r="A815" s="40"/>
      <c r="B815" s="45" t="s">
        <v>84</v>
      </c>
      <c r="C815" s="41" t="s">
        <v>88</v>
      </c>
      <c r="D815" s="41" t="s">
        <v>86</v>
      </c>
      <c r="E815" s="41" t="s">
        <v>23</v>
      </c>
      <c r="F815" s="41">
        <v>16</v>
      </c>
      <c r="G815" s="41">
        <v>31.5</v>
      </c>
      <c r="H815" s="46">
        <f t="shared" si="34"/>
        <v>504</v>
      </c>
      <c r="I815" s="41"/>
    </row>
    <row r="816" customHeight="1" spans="1:9">
      <c r="A816" s="40"/>
      <c r="B816" s="45" t="s">
        <v>89</v>
      </c>
      <c r="C816" s="41" t="s">
        <v>90</v>
      </c>
      <c r="D816" s="41" t="s">
        <v>91</v>
      </c>
      <c r="E816" s="41" t="s">
        <v>23</v>
      </c>
      <c r="F816" s="41">
        <v>705</v>
      </c>
      <c r="G816" s="17">
        <v>91.41</v>
      </c>
      <c r="H816" s="46">
        <f t="shared" si="34"/>
        <v>64444.05</v>
      </c>
      <c r="I816" s="41"/>
    </row>
    <row r="817" customHeight="1" spans="1:9">
      <c r="A817" s="40"/>
      <c r="B817" s="45" t="s">
        <v>89</v>
      </c>
      <c r="C817" s="41" t="s">
        <v>92</v>
      </c>
      <c r="D817" s="41" t="s">
        <v>91</v>
      </c>
      <c r="E817" s="41" t="s">
        <v>23</v>
      </c>
      <c r="F817" s="41">
        <v>1642</v>
      </c>
      <c r="G817" s="17">
        <v>77.13</v>
      </c>
      <c r="H817" s="46">
        <f t="shared" si="34"/>
        <v>126647.46</v>
      </c>
      <c r="I817" s="41"/>
    </row>
    <row r="818" customHeight="1" spans="1:9">
      <c r="A818" s="40"/>
      <c r="B818" s="45" t="s">
        <v>93</v>
      </c>
      <c r="C818" s="41" t="s">
        <v>94</v>
      </c>
      <c r="D818" s="41" t="s">
        <v>95</v>
      </c>
      <c r="E818" s="41" t="s">
        <v>23</v>
      </c>
      <c r="F818" s="41">
        <v>3</v>
      </c>
      <c r="G818" s="41">
        <v>112.63</v>
      </c>
      <c r="H818" s="46">
        <f t="shared" si="34"/>
        <v>337.89</v>
      </c>
      <c r="I818" s="41" t="s">
        <v>233</v>
      </c>
    </row>
    <row r="819" customHeight="1" spans="1:9">
      <c r="A819" s="40"/>
      <c r="B819" s="45" t="s">
        <v>93</v>
      </c>
      <c r="C819" s="41" t="s">
        <v>98</v>
      </c>
      <c r="D819" s="41" t="s">
        <v>95</v>
      </c>
      <c r="E819" s="41" t="s">
        <v>23</v>
      </c>
      <c r="F819" s="41">
        <v>22</v>
      </c>
      <c r="G819" s="41">
        <v>56.95</v>
      </c>
      <c r="H819" s="46">
        <f t="shared" si="34"/>
        <v>1252.9</v>
      </c>
      <c r="I819" s="41" t="s">
        <v>233</v>
      </c>
    </row>
    <row r="820" customHeight="1" spans="1:9">
      <c r="A820" s="40"/>
      <c r="B820" s="45" t="s">
        <v>103</v>
      </c>
      <c r="C820" s="41" t="s">
        <v>105</v>
      </c>
      <c r="D820" s="41"/>
      <c r="E820" s="41" t="s">
        <v>96</v>
      </c>
      <c r="F820" s="41">
        <v>1</v>
      </c>
      <c r="G820" s="41">
        <v>125.15</v>
      </c>
      <c r="H820" s="46">
        <f t="shared" si="34"/>
        <v>125.15</v>
      </c>
      <c r="I820" s="41"/>
    </row>
    <row r="821" customHeight="1" spans="1:9">
      <c r="A821" s="40"/>
      <c r="B821" s="45" t="s">
        <v>103</v>
      </c>
      <c r="C821" s="41" t="s">
        <v>106</v>
      </c>
      <c r="D821" s="41"/>
      <c r="E821" s="41" t="s">
        <v>96</v>
      </c>
      <c r="F821" s="41">
        <v>82</v>
      </c>
      <c r="G821" s="41">
        <v>125.15</v>
      </c>
      <c r="H821" s="46">
        <f t="shared" si="34"/>
        <v>10262.3</v>
      </c>
      <c r="I821" s="41"/>
    </row>
    <row r="822" customHeight="1" spans="1:9">
      <c r="A822" s="40"/>
      <c r="B822" s="45" t="s">
        <v>103</v>
      </c>
      <c r="C822" s="41" t="s">
        <v>107</v>
      </c>
      <c r="D822" s="41"/>
      <c r="E822" s="41" t="s">
        <v>96</v>
      </c>
      <c r="F822" s="41">
        <v>36</v>
      </c>
      <c r="G822" s="41">
        <v>97.15</v>
      </c>
      <c r="H822" s="46">
        <f t="shared" si="34"/>
        <v>3497.4</v>
      </c>
      <c r="I822" s="41"/>
    </row>
    <row r="823" customHeight="1" spans="1:9">
      <c r="A823" s="40"/>
      <c r="B823" s="45" t="s">
        <v>100</v>
      </c>
      <c r="C823" s="41" t="s">
        <v>101</v>
      </c>
      <c r="D823" s="41"/>
      <c r="E823" s="41" t="s">
        <v>96</v>
      </c>
      <c r="F823" s="41">
        <v>93</v>
      </c>
      <c r="G823" s="17">
        <v>68.16</v>
      </c>
      <c r="H823" s="46">
        <f t="shared" si="34"/>
        <v>6338.88</v>
      </c>
      <c r="I823" s="41"/>
    </row>
    <row r="824" customHeight="1" spans="1:9">
      <c r="A824" s="40"/>
      <c r="B824" s="45" t="s">
        <v>100</v>
      </c>
      <c r="C824" s="41" t="s">
        <v>102</v>
      </c>
      <c r="D824" s="41"/>
      <c r="E824" s="41" t="s">
        <v>96</v>
      </c>
      <c r="F824" s="41">
        <v>13</v>
      </c>
      <c r="G824" s="17">
        <v>57.26</v>
      </c>
      <c r="H824" s="46">
        <f t="shared" si="34"/>
        <v>744.38</v>
      </c>
      <c r="I824" s="41"/>
    </row>
    <row r="825" customHeight="1" spans="1:9">
      <c r="A825" s="40"/>
      <c r="B825" s="45" t="s">
        <v>238</v>
      </c>
      <c r="C825" s="41" t="s">
        <v>179</v>
      </c>
      <c r="D825" s="41"/>
      <c r="E825" s="41" t="s">
        <v>96</v>
      </c>
      <c r="F825" s="45">
        <v>4</v>
      </c>
      <c r="G825" s="17">
        <v>91.72</v>
      </c>
      <c r="H825" s="46">
        <f t="shared" si="34"/>
        <v>366.88</v>
      </c>
      <c r="I825" s="41"/>
    </row>
    <row r="826" customHeight="1" spans="1:9">
      <c r="A826" s="40"/>
      <c r="B826" s="45" t="s">
        <v>238</v>
      </c>
      <c r="C826" s="41" t="s">
        <v>119</v>
      </c>
      <c r="D826" s="41"/>
      <c r="E826" s="41" t="s">
        <v>96</v>
      </c>
      <c r="F826" s="45">
        <v>8</v>
      </c>
      <c r="G826" s="17">
        <v>90.8</v>
      </c>
      <c r="H826" s="46">
        <f t="shared" si="34"/>
        <v>726.4</v>
      </c>
      <c r="I826" s="41"/>
    </row>
    <row r="827" customHeight="1" spans="1:9">
      <c r="A827" s="40"/>
      <c r="B827" s="45" t="s">
        <v>238</v>
      </c>
      <c r="C827" s="41" t="s">
        <v>120</v>
      </c>
      <c r="D827" s="41"/>
      <c r="E827" s="41" t="s">
        <v>96</v>
      </c>
      <c r="F827" s="85">
        <v>11</v>
      </c>
      <c r="G827" s="17">
        <v>83.94</v>
      </c>
      <c r="H827" s="46">
        <f t="shared" si="34"/>
        <v>923.34</v>
      </c>
      <c r="I827" s="41"/>
    </row>
    <row r="828" customHeight="1" spans="1:9">
      <c r="A828" s="40"/>
      <c r="B828" s="45" t="s">
        <v>239</v>
      </c>
      <c r="C828" s="41" t="s">
        <v>117</v>
      </c>
      <c r="D828" s="41"/>
      <c r="E828" s="41" t="s">
        <v>96</v>
      </c>
      <c r="F828" s="41">
        <v>1</v>
      </c>
      <c r="G828" s="41">
        <v>98.97</v>
      </c>
      <c r="H828" s="46">
        <f t="shared" si="34"/>
        <v>98.97</v>
      </c>
      <c r="I828" s="41"/>
    </row>
    <row r="829" customHeight="1" spans="1:9">
      <c r="A829" s="40"/>
      <c r="B829" s="45" t="s">
        <v>239</v>
      </c>
      <c r="C829" s="41" t="s">
        <v>113</v>
      </c>
      <c r="D829" s="41"/>
      <c r="E829" s="41" t="s">
        <v>96</v>
      </c>
      <c r="F829" s="41">
        <v>1</v>
      </c>
      <c r="G829" s="41">
        <v>94.07</v>
      </c>
      <c r="H829" s="46">
        <f t="shared" si="34"/>
        <v>94.07</v>
      </c>
      <c r="I829" s="41"/>
    </row>
    <row r="830" customHeight="1" spans="1:9">
      <c r="A830" s="40"/>
      <c r="B830" s="45" t="s">
        <v>239</v>
      </c>
      <c r="C830" s="41" t="s">
        <v>114</v>
      </c>
      <c r="D830" s="41"/>
      <c r="E830" s="41" t="s">
        <v>96</v>
      </c>
      <c r="F830" s="41">
        <v>4</v>
      </c>
      <c r="G830" s="41">
        <v>94.07</v>
      </c>
      <c r="H830" s="46">
        <f t="shared" si="34"/>
        <v>376.28</v>
      </c>
      <c r="I830" s="41"/>
    </row>
    <row r="831" customHeight="1" spans="1:9">
      <c r="A831" s="40"/>
      <c r="B831" s="45" t="s">
        <v>239</v>
      </c>
      <c r="C831" s="41" t="s">
        <v>115</v>
      </c>
      <c r="D831" s="41"/>
      <c r="E831" s="41" t="s">
        <v>96</v>
      </c>
      <c r="F831" s="41">
        <v>8</v>
      </c>
      <c r="G831" s="41">
        <v>55</v>
      </c>
      <c r="H831" s="46">
        <f t="shared" si="34"/>
        <v>440</v>
      </c>
      <c r="I831" s="41"/>
    </row>
    <row r="832" customHeight="1" spans="1:9">
      <c r="A832" s="40"/>
      <c r="B832" s="45" t="s">
        <v>241</v>
      </c>
      <c r="C832" s="41" t="s">
        <v>178</v>
      </c>
      <c r="D832" s="41"/>
      <c r="E832" s="41" t="s">
        <v>96</v>
      </c>
      <c r="F832" s="41">
        <v>1</v>
      </c>
      <c r="G832" s="41">
        <v>99.52</v>
      </c>
      <c r="H832" s="46">
        <f t="shared" si="34"/>
        <v>99.52</v>
      </c>
      <c r="I832" s="41"/>
    </row>
    <row r="833" customHeight="1" spans="1:9">
      <c r="A833" s="40"/>
      <c r="B833" s="45" t="s">
        <v>241</v>
      </c>
      <c r="C833" s="41" t="s">
        <v>113</v>
      </c>
      <c r="D833" s="41"/>
      <c r="E833" s="41" t="s">
        <v>96</v>
      </c>
      <c r="F833" s="41">
        <v>2</v>
      </c>
      <c r="G833" s="41">
        <v>75.5</v>
      </c>
      <c r="H833" s="46">
        <f t="shared" si="34"/>
        <v>151</v>
      </c>
      <c r="I833" s="41"/>
    </row>
    <row r="834" customHeight="1" spans="1:9">
      <c r="A834" s="40"/>
      <c r="B834" s="45" t="s">
        <v>123</v>
      </c>
      <c r="C834" s="41" t="s">
        <v>124</v>
      </c>
      <c r="D834" s="41"/>
      <c r="E834" s="41" t="s">
        <v>96</v>
      </c>
      <c r="F834" s="41">
        <v>1</v>
      </c>
      <c r="G834" s="17">
        <v>263.71</v>
      </c>
      <c r="H834" s="46">
        <f t="shared" si="34"/>
        <v>263.71</v>
      </c>
      <c r="I834" s="41"/>
    </row>
    <row r="835" customHeight="1" spans="1:9">
      <c r="A835" s="40"/>
      <c r="B835" s="45" t="s">
        <v>123</v>
      </c>
      <c r="C835" s="41" t="s">
        <v>125</v>
      </c>
      <c r="D835" s="41"/>
      <c r="E835" s="41" t="s">
        <v>96</v>
      </c>
      <c r="F835" s="41">
        <v>11</v>
      </c>
      <c r="G835" s="17">
        <v>182.55</v>
      </c>
      <c r="H835" s="46">
        <f t="shared" si="34"/>
        <v>2008.05</v>
      </c>
      <c r="I835" s="41"/>
    </row>
    <row r="836" customHeight="1" spans="1:9">
      <c r="A836" s="40"/>
      <c r="B836" s="45" t="s">
        <v>123</v>
      </c>
      <c r="C836" s="41" t="s">
        <v>126</v>
      </c>
      <c r="D836" s="41"/>
      <c r="E836" s="41" t="s">
        <v>96</v>
      </c>
      <c r="F836" s="41">
        <v>13</v>
      </c>
      <c r="G836" s="41">
        <v>46.6</v>
      </c>
      <c r="H836" s="46">
        <f t="shared" si="34"/>
        <v>605.8</v>
      </c>
      <c r="I836" s="41"/>
    </row>
    <row r="837" customHeight="1" spans="1:9">
      <c r="A837" s="40"/>
      <c r="B837" s="45" t="s">
        <v>122</v>
      </c>
      <c r="C837" s="41" t="s">
        <v>119</v>
      </c>
      <c r="D837" s="41"/>
      <c r="E837" s="41" t="s">
        <v>96</v>
      </c>
      <c r="F837" s="45">
        <v>10</v>
      </c>
      <c r="G837" s="17">
        <v>96.25</v>
      </c>
      <c r="H837" s="46">
        <f t="shared" si="34"/>
        <v>962.5</v>
      </c>
      <c r="I837" s="41"/>
    </row>
    <row r="838" customHeight="1" spans="1:9">
      <c r="A838" s="40"/>
      <c r="B838" s="45" t="s">
        <v>122</v>
      </c>
      <c r="C838" s="41" t="s">
        <v>120</v>
      </c>
      <c r="D838" s="41"/>
      <c r="E838" s="41" t="s">
        <v>96</v>
      </c>
      <c r="F838" s="45">
        <v>21</v>
      </c>
      <c r="G838" s="17">
        <v>94.07</v>
      </c>
      <c r="H838" s="46">
        <f t="shared" si="34"/>
        <v>1975.47</v>
      </c>
      <c r="I838" s="41"/>
    </row>
    <row r="839" customHeight="1" spans="1:9">
      <c r="A839" s="40"/>
      <c r="B839" s="45" t="s">
        <v>127</v>
      </c>
      <c r="C839" s="41" t="s">
        <v>101</v>
      </c>
      <c r="D839" s="41"/>
      <c r="E839" s="41" t="s">
        <v>96</v>
      </c>
      <c r="F839" s="41">
        <v>12</v>
      </c>
      <c r="G839" s="17">
        <f>G40</f>
        <v>1682.16</v>
      </c>
      <c r="H839" s="46">
        <f t="shared" si="34"/>
        <v>20185.92</v>
      </c>
      <c r="I839" s="41"/>
    </row>
    <row r="840" customHeight="1" spans="1:9">
      <c r="A840" s="40"/>
      <c r="B840" s="45" t="s">
        <v>127</v>
      </c>
      <c r="C840" s="41" t="s">
        <v>102</v>
      </c>
      <c r="D840" s="41"/>
      <c r="E840" s="41" t="s">
        <v>96</v>
      </c>
      <c r="F840" s="41">
        <v>95</v>
      </c>
      <c r="G840" s="17">
        <f>G41</f>
        <v>280</v>
      </c>
      <c r="H840" s="46">
        <f t="shared" si="34"/>
        <v>26600</v>
      </c>
      <c r="I840" s="41"/>
    </row>
    <row r="841" customHeight="1" spans="1:9">
      <c r="A841" s="40"/>
      <c r="B841" s="45" t="s">
        <v>132</v>
      </c>
      <c r="C841" s="41"/>
      <c r="D841" s="41"/>
      <c r="E841" s="41" t="s">
        <v>23</v>
      </c>
      <c r="F841" s="41">
        <v>683</v>
      </c>
      <c r="G841" s="41">
        <f>G44</f>
        <v>3.79</v>
      </c>
      <c r="H841" s="46">
        <f t="shared" si="34"/>
        <v>2588.57</v>
      </c>
      <c r="I841" s="41"/>
    </row>
    <row r="842" customHeight="1" spans="1:9">
      <c r="A842" s="40"/>
      <c r="B842" s="45" t="s">
        <v>133</v>
      </c>
      <c r="C842" s="41"/>
      <c r="D842" s="41"/>
      <c r="E842" s="41" t="s">
        <v>23</v>
      </c>
      <c r="F842" s="41">
        <v>683</v>
      </c>
      <c r="G842" s="41">
        <v>29.46</v>
      </c>
      <c r="H842" s="46">
        <f t="shared" si="34"/>
        <v>20121.18</v>
      </c>
      <c r="I842" s="41"/>
    </row>
    <row r="843" customHeight="1" spans="1:9">
      <c r="A843" s="40"/>
      <c r="B843" s="45" t="s">
        <v>128</v>
      </c>
      <c r="C843" s="41" t="s">
        <v>190</v>
      </c>
      <c r="D843" s="41"/>
      <c r="E843" s="41" t="s">
        <v>96</v>
      </c>
      <c r="F843" s="41">
        <v>1</v>
      </c>
      <c r="G843" s="41">
        <f>G218</f>
        <v>19524.08</v>
      </c>
      <c r="H843" s="46">
        <f t="shared" si="34"/>
        <v>19524.08</v>
      </c>
      <c r="I843" s="58"/>
    </row>
    <row r="844" customHeight="1" spans="1:9">
      <c r="A844" s="40"/>
      <c r="B844" s="45" t="s">
        <v>128</v>
      </c>
      <c r="C844" s="41" t="s">
        <v>255</v>
      </c>
      <c r="D844" s="41"/>
      <c r="E844" s="41" t="s">
        <v>96</v>
      </c>
      <c r="F844" s="41">
        <v>2</v>
      </c>
      <c r="G844" s="41">
        <f>G750</f>
        <v>16228.79</v>
      </c>
      <c r="H844" s="46">
        <f t="shared" si="34"/>
        <v>32457.58</v>
      </c>
      <c r="I844" s="58"/>
    </row>
    <row r="845" customHeight="1" spans="1:9">
      <c r="A845" s="40"/>
      <c r="B845" s="45" t="s">
        <v>131</v>
      </c>
      <c r="C845" s="41"/>
      <c r="D845" s="41"/>
      <c r="E845" s="41" t="s">
        <v>130</v>
      </c>
      <c r="F845" s="41">
        <v>3</v>
      </c>
      <c r="G845" s="41">
        <v>1220</v>
      </c>
      <c r="H845" s="46">
        <f t="shared" si="34"/>
        <v>3660</v>
      </c>
      <c r="I845" s="58"/>
    </row>
    <row r="846" customHeight="1" spans="1:9">
      <c r="A846" s="40"/>
      <c r="B846" s="45" t="s">
        <v>135</v>
      </c>
      <c r="C846" s="40" t="s">
        <v>136</v>
      </c>
      <c r="D846" s="41"/>
      <c r="E846" s="41" t="s">
        <v>137</v>
      </c>
      <c r="F846" s="41">
        <v>1158</v>
      </c>
      <c r="G846" s="51">
        <f>0.04*7.85*4*5.5*1.45</f>
        <v>10.0166</v>
      </c>
      <c r="H846" s="46">
        <f t="shared" si="34"/>
        <v>11599.2228</v>
      </c>
      <c r="I846" s="58"/>
    </row>
    <row r="847" customHeight="1" spans="1:9">
      <c r="A847" s="40"/>
      <c r="B847" s="45" t="s">
        <v>138</v>
      </c>
      <c r="C847" s="41" t="s">
        <v>139</v>
      </c>
      <c r="D847" s="41"/>
      <c r="E847" s="41" t="s">
        <v>140</v>
      </c>
      <c r="F847" s="41">
        <v>38</v>
      </c>
      <c r="G847" s="51">
        <f>3.77*5.5*1.45</f>
        <v>30.06575</v>
      </c>
      <c r="H847" s="46">
        <f t="shared" si="34"/>
        <v>1142.4985</v>
      </c>
      <c r="I847" s="58" t="s">
        <v>141</v>
      </c>
    </row>
    <row r="848" customHeight="1" spans="1:9">
      <c r="A848" s="40"/>
      <c r="B848" s="45" t="s">
        <v>134</v>
      </c>
      <c r="C848" s="41" t="s">
        <v>101</v>
      </c>
      <c r="D848" s="41" t="s">
        <v>91</v>
      </c>
      <c r="E848" s="41" t="s">
        <v>96</v>
      </c>
      <c r="F848" s="41">
        <v>141</v>
      </c>
      <c r="G848" s="41">
        <v>109.75</v>
      </c>
      <c r="H848" s="46">
        <f t="shared" si="34"/>
        <v>15474.75</v>
      </c>
      <c r="I848" s="58"/>
    </row>
    <row r="849" customHeight="1" spans="1:9">
      <c r="A849" s="40"/>
      <c r="B849" s="45" t="s">
        <v>134</v>
      </c>
      <c r="C849" s="41" t="s">
        <v>102</v>
      </c>
      <c r="D849" s="41" t="s">
        <v>91</v>
      </c>
      <c r="E849" s="41" t="s">
        <v>96</v>
      </c>
      <c r="F849" s="41">
        <v>410</v>
      </c>
      <c r="G849" s="41">
        <v>60.29</v>
      </c>
      <c r="H849" s="46">
        <f t="shared" si="34"/>
        <v>24718.9</v>
      </c>
      <c r="I849" s="58"/>
    </row>
    <row r="850" customHeight="1" spans="1:9">
      <c r="A850" s="40"/>
      <c r="B850" s="45" t="s">
        <v>242</v>
      </c>
      <c r="C850" s="41" t="s">
        <v>101</v>
      </c>
      <c r="D850" s="41" t="s">
        <v>95</v>
      </c>
      <c r="E850" s="41" t="s">
        <v>137</v>
      </c>
      <c r="F850" s="41">
        <v>100</v>
      </c>
      <c r="G850" s="17">
        <v>312.6</v>
      </c>
      <c r="H850" s="46">
        <f t="shared" si="34"/>
        <v>31260</v>
      </c>
      <c r="I850" s="58"/>
    </row>
    <row r="851" customHeight="1" spans="1:9">
      <c r="A851" s="40"/>
      <c r="B851" s="45" t="s">
        <v>145</v>
      </c>
      <c r="C851" s="41" t="s">
        <v>146</v>
      </c>
      <c r="D851" s="41" t="s">
        <v>147</v>
      </c>
      <c r="E851" s="41" t="s">
        <v>148</v>
      </c>
      <c r="F851" s="41">
        <v>373</v>
      </c>
      <c r="G851" s="17">
        <f>G53</f>
        <v>480.19</v>
      </c>
      <c r="H851" s="46">
        <f t="shared" si="34"/>
        <v>179110.87</v>
      </c>
      <c r="I851" s="41" t="s">
        <v>147</v>
      </c>
    </row>
    <row r="852" customHeight="1" spans="1:9">
      <c r="A852" s="40"/>
      <c r="B852" s="45" t="s">
        <v>151</v>
      </c>
      <c r="C852" s="41"/>
      <c r="D852" s="41"/>
      <c r="E852" s="41" t="s">
        <v>96</v>
      </c>
      <c r="F852" s="41">
        <v>744</v>
      </c>
      <c r="G852" s="41">
        <v>18.45</v>
      </c>
      <c r="H852" s="46">
        <f t="shared" si="34"/>
        <v>13726.8</v>
      </c>
      <c r="I852" s="41"/>
    </row>
    <row r="853" customHeight="1" spans="1:9">
      <c r="A853" s="40"/>
      <c r="B853" s="45" t="s">
        <v>153</v>
      </c>
      <c r="C853" s="41" t="s">
        <v>244</v>
      </c>
      <c r="D853" s="41"/>
      <c r="E853" s="41" t="s">
        <v>130</v>
      </c>
      <c r="F853" s="41">
        <v>372</v>
      </c>
      <c r="G853" s="41">
        <v>30.25</v>
      </c>
      <c r="H853" s="46">
        <f t="shared" si="34"/>
        <v>11253</v>
      </c>
      <c r="I853" s="41"/>
    </row>
    <row r="854" customHeight="1" spans="1:9">
      <c r="A854" s="40"/>
      <c r="B854" s="45" t="s">
        <v>154</v>
      </c>
      <c r="C854" s="41" t="s">
        <v>155</v>
      </c>
      <c r="D854" s="41"/>
      <c r="E854" s="41" t="s">
        <v>96</v>
      </c>
      <c r="F854" s="41">
        <v>744</v>
      </c>
      <c r="G854" s="41">
        <f>G58</f>
        <v>89.38</v>
      </c>
      <c r="H854" s="46">
        <f t="shared" si="34"/>
        <v>66498.72</v>
      </c>
      <c r="I854" s="41"/>
    </row>
    <row r="855" customHeight="1" spans="1:9">
      <c r="A855" s="40"/>
      <c r="B855" s="45" t="s">
        <v>156</v>
      </c>
      <c r="C855" s="41" t="s">
        <v>245</v>
      </c>
      <c r="D855" s="41" t="s">
        <v>147</v>
      </c>
      <c r="E855" s="41" t="s">
        <v>96</v>
      </c>
      <c r="F855" s="41">
        <v>372</v>
      </c>
      <c r="G855" s="41">
        <f>G59</f>
        <v>111.4</v>
      </c>
      <c r="H855" s="46">
        <f t="shared" si="34"/>
        <v>41440.8</v>
      </c>
      <c r="I855" s="41" t="s">
        <v>246</v>
      </c>
    </row>
    <row r="856" customHeight="1" spans="1:9">
      <c r="A856" s="40"/>
      <c r="B856" s="45" t="s">
        <v>247</v>
      </c>
      <c r="C856" s="41" t="s">
        <v>155</v>
      </c>
      <c r="D856" s="41"/>
      <c r="E856" s="41" t="s">
        <v>137</v>
      </c>
      <c r="F856" s="41">
        <v>1116</v>
      </c>
      <c r="G856" s="41">
        <v>49.43</v>
      </c>
      <c r="H856" s="46">
        <f t="shared" si="34"/>
        <v>55163.88</v>
      </c>
      <c r="I856" s="41" t="s">
        <v>248</v>
      </c>
    </row>
    <row r="857" customHeight="1" spans="1:9">
      <c r="A857" s="40"/>
      <c r="B857" s="45" t="s">
        <v>158</v>
      </c>
      <c r="C857" s="41" t="s">
        <v>155</v>
      </c>
      <c r="D857" s="41"/>
      <c r="E857" s="41" t="s">
        <v>96</v>
      </c>
      <c r="F857" s="41">
        <v>1116</v>
      </c>
      <c r="G857" s="41">
        <v>4.2</v>
      </c>
      <c r="H857" s="46">
        <f t="shared" si="34"/>
        <v>4687.2</v>
      </c>
      <c r="I857" s="41"/>
    </row>
    <row r="858" customHeight="1" spans="1:9">
      <c r="A858" s="40"/>
      <c r="B858" s="45" t="s">
        <v>159</v>
      </c>
      <c r="C858" s="41" t="s">
        <v>155</v>
      </c>
      <c r="D858" s="41"/>
      <c r="E858" s="41" t="s">
        <v>96</v>
      </c>
      <c r="F858" s="41">
        <v>744</v>
      </c>
      <c r="G858" s="41">
        <v>3.85</v>
      </c>
      <c r="H858" s="46">
        <f t="shared" si="34"/>
        <v>2864.4</v>
      </c>
      <c r="I858" s="41"/>
    </row>
    <row r="859" customHeight="1" spans="1:9">
      <c r="A859" s="40"/>
      <c r="B859" s="45" t="s">
        <v>152</v>
      </c>
      <c r="C859" s="41"/>
      <c r="D859" s="41" t="s">
        <v>147</v>
      </c>
      <c r="E859" s="41" t="s">
        <v>96</v>
      </c>
      <c r="F859" s="41">
        <v>372</v>
      </c>
      <c r="G859" s="41">
        <v>358</v>
      </c>
      <c r="H859" s="46">
        <f t="shared" si="34"/>
        <v>133176</v>
      </c>
      <c r="I859" s="41"/>
    </row>
    <row r="860" customHeight="1" spans="1:9">
      <c r="A860" s="40"/>
      <c r="B860" s="45" t="s">
        <v>233</v>
      </c>
      <c r="C860" s="41" t="s">
        <v>102</v>
      </c>
      <c r="D860" s="41" t="s">
        <v>147</v>
      </c>
      <c r="E860" s="41" t="s">
        <v>137</v>
      </c>
      <c r="F860" s="41">
        <v>372</v>
      </c>
      <c r="G860" s="41">
        <v>25.14</v>
      </c>
      <c r="H860" s="46">
        <f t="shared" si="34"/>
        <v>9352.08</v>
      </c>
      <c r="I860" s="41"/>
    </row>
    <row r="861" customHeight="1" spans="1:9">
      <c r="A861" s="40"/>
      <c r="B861" s="45" t="s">
        <v>249</v>
      </c>
      <c r="C861" s="41" t="s">
        <v>250</v>
      </c>
      <c r="D861" s="41" t="s">
        <v>147</v>
      </c>
      <c r="E861" s="41" t="s">
        <v>140</v>
      </c>
      <c r="F861" s="41">
        <v>372</v>
      </c>
      <c r="G861" s="41">
        <v>85.5</v>
      </c>
      <c r="H861" s="46">
        <f t="shared" si="34"/>
        <v>31806</v>
      </c>
      <c r="I861" s="58" t="s">
        <v>251</v>
      </c>
    </row>
    <row r="862" s="2" customFormat="1" ht="18.75" customHeight="1" spans="1:14">
      <c r="A862" s="40"/>
      <c r="B862" s="68" t="s">
        <v>163</v>
      </c>
      <c r="C862" s="16"/>
      <c r="D862" s="16"/>
      <c r="E862" s="9" t="s">
        <v>164</v>
      </c>
      <c r="F862" s="17">
        <f>683*(0.9*2.1)</f>
        <v>1290.87</v>
      </c>
      <c r="G862" s="17">
        <f>G65</f>
        <v>14.43</v>
      </c>
      <c r="H862" s="18">
        <f t="shared" si="34"/>
        <v>18627.2541</v>
      </c>
      <c r="I862" s="16"/>
      <c r="L862" s="25"/>
      <c r="N862" s="5"/>
    </row>
    <row r="863" s="2" customFormat="1" ht="18.75" customHeight="1" spans="1:14">
      <c r="A863" s="40"/>
      <c r="B863" s="68" t="s">
        <v>165</v>
      </c>
      <c r="C863" s="16"/>
      <c r="D863" s="16"/>
      <c r="E863" s="9" t="s">
        <v>164</v>
      </c>
      <c r="F863" s="17">
        <f>683*(0.9*1.8)</f>
        <v>1106.46</v>
      </c>
      <c r="G863" s="17">
        <f>G66</f>
        <v>14.49</v>
      </c>
      <c r="H863" s="18">
        <f t="shared" si="34"/>
        <v>16032.6054</v>
      </c>
      <c r="I863" s="16"/>
      <c r="L863" s="25"/>
      <c r="N863" s="5"/>
    </row>
    <row r="864" s="2" customFormat="1" ht="18.75" customHeight="1" spans="1:14">
      <c r="A864" s="40"/>
      <c r="B864" s="68" t="s">
        <v>166</v>
      </c>
      <c r="C864" s="16"/>
      <c r="D864" s="16"/>
      <c r="E864" s="9" t="s">
        <v>164</v>
      </c>
      <c r="F864" s="17">
        <f>683*(0.9*0.2)</f>
        <v>122.94</v>
      </c>
      <c r="G864" s="17">
        <f>G67</f>
        <v>16.87</v>
      </c>
      <c r="H864" s="18">
        <f t="shared" si="34"/>
        <v>2073.9978</v>
      </c>
      <c r="I864" s="16"/>
      <c r="L864" s="25"/>
      <c r="N864" s="5"/>
    </row>
    <row r="865" s="2" customFormat="1" ht="18.75" customHeight="1" spans="1:14">
      <c r="A865" s="40"/>
      <c r="B865" s="68" t="s">
        <v>167</v>
      </c>
      <c r="C865" s="16"/>
      <c r="D865" s="16"/>
      <c r="E865" s="9" t="s">
        <v>164</v>
      </c>
      <c r="F865" s="17">
        <f>683*(0.9*0.2)</f>
        <v>122.94</v>
      </c>
      <c r="G865" s="17">
        <v>209.39</v>
      </c>
      <c r="H865" s="18">
        <f t="shared" si="34"/>
        <v>25742.4066</v>
      </c>
      <c r="I865" s="16"/>
      <c r="L865" s="25"/>
      <c r="N865" s="5"/>
    </row>
    <row r="866" ht="18.95" customHeight="1" spans="1:9">
      <c r="A866" s="40"/>
      <c r="B866" s="23" t="s">
        <v>168</v>
      </c>
      <c r="C866" s="41"/>
      <c r="D866" s="41"/>
      <c r="E866" s="41" t="s">
        <v>169</v>
      </c>
      <c r="F866" s="41"/>
      <c r="G866" s="41"/>
      <c r="H866" s="46">
        <f>SUM(H812:H865)</f>
        <v>1077337.7852</v>
      </c>
      <c r="I866" s="58"/>
    </row>
    <row r="867" customHeight="1" spans="1:9">
      <c r="A867" s="65">
        <v>16</v>
      </c>
      <c r="B867" s="44" t="s">
        <v>265</v>
      </c>
      <c r="C867" s="44"/>
      <c r="D867" s="44"/>
      <c r="E867" s="44"/>
      <c r="F867" s="44"/>
      <c r="G867" s="44"/>
      <c r="H867" s="44"/>
      <c r="I867" s="53"/>
    </row>
    <row r="868" customHeight="1" spans="1:9">
      <c r="A868" s="40"/>
      <c r="B868" s="45" t="s">
        <v>84</v>
      </c>
      <c r="C868" s="41" t="s">
        <v>266</v>
      </c>
      <c r="D868" s="41" t="s">
        <v>86</v>
      </c>
      <c r="E868" s="41" t="s">
        <v>23</v>
      </c>
      <c r="F868" s="41">
        <v>467</v>
      </c>
      <c r="G868" s="41">
        <v>353.21</v>
      </c>
      <c r="H868" s="46">
        <f t="shared" ref="H868:H904" si="35">F868*G868</f>
        <v>164949.07</v>
      </c>
      <c r="I868" s="41" t="s">
        <v>267</v>
      </c>
    </row>
    <row r="869" customHeight="1" spans="1:9">
      <c r="A869" s="40"/>
      <c r="B869" s="45" t="s">
        <v>268</v>
      </c>
      <c r="C869" s="41" t="s">
        <v>266</v>
      </c>
      <c r="D869" s="41"/>
      <c r="E869" s="41" t="s">
        <v>96</v>
      </c>
      <c r="F869" s="45">
        <v>3</v>
      </c>
      <c r="G869" s="45">
        <v>890</v>
      </c>
      <c r="H869" s="46">
        <f t="shared" si="35"/>
        <v>2670</v>
      </c>
      <c r="I869" s="41"/>
    </row>
    <row r="870" customHeight="1" spans="1:9">
      <c r="A870" s="40"/>
      <c r="B870" s="45" t="s">
        <v>239</v>
      </c>
      <c r="C870" s="41" t="s">
        <v>269</v>
      </c>
      <c r="D870" s="41"/>
      <c r="E870" s="41" t="s">
        <v>96</v>
      </c>
      <c r="F870" s="41">
        <v>1</v>
      </c>
      <c r="G870" s="41">
        <v>1220</v>
      </c>
      <c r="H870" s="46">
        <f t="shared" si="35"/>
        <v>1220</v>
      </c>
      <c r="I870" s="41"/>
    </row>
    <row r="871" customHeight="1" spans="1:9">
      <c r="A871" s="40"/>
      <c r="B871" s="45" t="s">
        <v>239</v>
      </c>
      <c r="C871" s="41" t="s">
        <v>270</v>
      </c>
      <c r="D871" s="41"/>
      <c r="E871" s="41" t="s">
        <v>96</v>
      </c>
      <c r="F871" s="41">
        <v>2</v>
      </c>
      <c r="G871" s="41">
        <v>1220</v>
      </c>
      <c r="H871" s="46">
        <f t="shared" si="35"/>
        <v>2440</v>
      </c>
      <c r="I871" s="41"/>
    </row>
    <row r="872" customHeight="1" spans="1:9">
      <c r="A872" s="40"/>
      <c r="B872" s="45" t="s">
        <v>122</v>
      </c>
      <c r="C872" s="41" t="s">
        <v>266</v>
      </c>
      <c r="D872" s="41"/>
      <c r="E872" s="41" t="s">
        <v>96</v>
      </c>
      <c r="F872" s="41">
        <v>24</v>
      </c>
      <c r="G872" s="41">
        <v>660</v>
      </c>
      <c r="H872" s="46">
        <f t="shared" si="35"/>
        <v>15840</v>
      </c>
      <c r="I872" s="41"/>
    </row>
    <row r="873" customHeight="1" spans="1:9">
      <c r="A873" s="40"/>
      <c r="B873" s="45" t="s">
        <v>221</v>
      </c>
      <c r="C873" s="41" t="s">
        <v>222</v>
      </c>
      <c r="D873" s="41"/>
      <c r="E873" s="41" t="s">
        <v>96</v>
      </c>
      <c r="F873" s="41">
        <v>4</v>
      </c>
      <c r="G873" s="17">
        <v>1796.61</v>
      </c>
      <c r="H873" s="46">
        <f t="shared" si="35"/>
        <v>7186.44</v>
      </c>
      <c r="I873" s="41"/>
    </row>
    <row r="874" customHeight="1" spans="1:9">
      <c r="A874" s="40"/>
      <c r="B874" s="45" t="s">
        <v>223</v>
      </c>
      <c r="C874" s="41" t="s">
        <v>224</v>
      </c>
      <c r="D874" s="41"/>
      <c r="E874" s="41" t="s">
        <v>96</v>
      </c>
      <c r="F874" s="41">
        <v>4</v>
      </c>
      <c r="G874" s="41">
        <v>137.92</v>
      </c>
      <c r="H874" s="46">
        <f t="shared" si="35"/>
        <v>551.68</v>
      </c>
      <c r="I874" s="41"/>
    </row>
    <row r="875" customHeight="1" spans="1:9">
      <c r="A875" s="40"/>
      <c r="B875" s="45" t="s">
        <v>225</v>
      </c>
      <c r="C875" s="41" t="s">
        <v>271</v>
      </c>
      <c r="D875" s="41"/>
      <c r="E875" s="41" t="s">
        <v>96</v>
      </c>
      <c r="F875" s="41">
        <v>2</v>
      </c>
      <c r="G875" s="41">
        <v>692.74</v>
      </c>
      <c r="H875" s="46">
        <f t="shared" si="35"/>
        <v>1385.48</v>
      </c>
      <c r="I875" s="41"/>
    </row>
    <row r="876" customHeight="1" spans="1:9">
      <c r="A876" s="40"/>
      <c r="B876" s="45" t="s">
        <v>227</v>
      </c>
      <c r="C876" s="41" t="s">
        <v>272</v>
      </c>
      <c r="D876" s="41"/>
      <c r="E876" s="41" t="s">
        <v>96</v>
      </c>
      <c r="F876" s="41">
        <v>2</v>
      </c>
      <c r="G876" s="41">
        <v>1770.08</v>
      </c>
      <c r="H876" s="46">
        <f t="shared" si="35"/>
        <v>3540.16</v>
      </c>
      <c r="I876" s="41"/>
    </row>
    <row r="877" customHeight="1" spans="1:9">
      <c r="A877" s="40"/>
      <c r="B877" s="45" t="s">
        <v>229</v>
      </c>
      <c r="C877" s="41" t="s">
        <v>94</v>
      </c>
      <c r="D877" s="41"/>
      <c r="E877" s="41" t="s">
        <v>96</v>
      </c>
      <c r="F877" s="41">
        <v>4</v>
      </c>
      <c r="G877" s="41">
        <v>120</v>
      </c>
      <c r="H877" s="46">
        <f t="shared" si="35"/>
        <v>480</v>
      </c>
      <c r="I877" s="41"/>
    </row>
    <row r="878" customHeight="1" spans="1:9">
      <c r="A878" s="40"/>
      <c r="B878" s="45" t="s">
        <v>229</v>
      </c>
      <c r="C878" s="41" t="s">
        <v>101</v>
      </c>
      <c r="D878" s="41"/>
      <c r="E878" s="41" t="s">
        <v>96</v>
      </c>
      <c r="F878" s="41">
        <v>2</v>
      </c>
      <c r="G878" s="41">
        <v>45</v>
      </c>
      <c r="H878" s="46">
        <f t="shared" si="35"/>
        <v>90</v>
      </c>
      <c r="I878" s="41"/>
    </row>
    <row r="879" customHeight="1" spans="1:9">
      <c r="A879" s="40"/>
      <c r="B879" s="45" t="s">
        <v>230</v>
      </c>
      <c r="C879" s="41" t="s">
        <v>101</v>
      </c>
      <c r="D879" s="41"/>
      <c r="E879" s="41" t="s">
        <v>96</v>
      </c>
      <c r="F879" s="41">
        <v>2</v>
      </c>
      <c r="G879" s="41">
        <v>45</v>
      </c>
      <c r="H879" s="46">
        <f t="shared" si="35"/>
        <v>90</v>
      </c>
      <c r="I879" s="41"/>
    </row>
    <row r="880" customHeight="1" spans="1:9">
      <c r="A880" s="40"/>
      <c r="B880" s="45" t="s">
        <v>231</v>
      </c>
      <c r="C880" s="41" t="s">
        <v>232</v>
      </c>
      <c r="D880" s="41"/>
      <c r="E880" s="41" t="s">
        <v>96</v>
      </c>
      <c r="F880" s="41">
        <v>4</v>
      </c>
      <c r="G880" s="41">
        <v>120</v>
      </c>
      <c r="H880" s="46">
        <f t="shared" si="35"/>
        <v>480</v>
      </c>
      <c r="I880" s="41"/>
    </row>
    <row r="881" customHeight="1" spans="1:9">
      <c r="A881" s="40"/>
      <c r="B881" s="45" t="s">
        <v>233</v>
      </c>
      <c r="C881" s="41" t="s">
        <v>273</v>
      </c>
      <c r="D881" s="41"/>
      <c r="E881" s="41" t="s">
        <v>96</v>
      </c>
      <c r="F881" s="41">
        <v>4</v>
      </c>
      <c r="G881" s="41">
        <v>420</v>
      </c>
      <c r="H881" s="46">
        <f t="shared" si="35"/>
        <v>1680</v>
      </c>
      <c r="I881" s="41"/>
    </row>
    <row r="882" customHeight="1" spans="1:9">
      <c r="A882" s="40"/>
      <c r="B882" s="45" t="s">
        <v>89</v>
      </c>
      <c r="C882" s="41" t="s">
        <v>274</v>
      </c>
      <c r="D882" s="41" t="s">
        <v>91</v>
      </c>
      <c r="E882" s="41" t="s">
        <v>23</v>
      </c>
      <c r="F882" s="41">
        <v>8</v>
      </c>
      <c r="G882" s="41">
        <v>209.86</v>
      </c>
      <c r="H882" s="46">
        <f t="shared" si="35"/>
        <v>1678.88</v>
      </c>
      <c r="I882" s="41"/>
    </row>
    <row r="883" customHeight="1" spans="1:9">
      <c r="A883" s="40"/>
      <c r="B883" s="45" t="s">
        <v>236</v>
      </c>
      <c r="C883" s="41" t="s">
        <v>263</v>
      </c>
      <c r="D883" s="41"/>
      <c r="E883" s="41" t="s">
        <v>96</v>
      </c>
      <c r="F883" s="41">
        <v>4</v>
      </c>
      <c r="G883" s="41">
        <v>841.2</v>
      </c>
      <c r="H883" s="46">
        <f t="shared" si="35"/>
        <v>3364.8</v>
      </c>
      <c r="I883" s="41"/>
    </row>
    <row r="884" customHeight="1" spans="1:9">
      <c r="A884" s="40"/>
      <c r="B884" s="45" t="s">
        <v>275</v>
      </c>
      <c r="C884" s="41" t="s">
        <v>276</v>
      </c>
      <c r="D884" s="41"/>
      <c r="E884" s="41" t="s">
        <v>96</v>
      </c>
      <c r="F884" s="41">
        <v>1</v>
      </c>
      <c r="G884" s="41">
        <v>13350.83</v>
      </c>
      <c r="H884" s="46">
        <f t="shared" si="35"/>
        <v>13350.83</v>
      </c>
      <c r="I884" s="41"/>
    </row>
    <row r="885" customHeight="1" spans="1:9">
      <c r="A885" s="40"/>
      <c r="B885" s="45" t="s">
        <v>221</v>
      </c>
      <c r="C885" s="41" t="s">
        <v>222</v>
      </c>
      <c r="D885" s="41"/>
      <c r="E885" s="41" t="s">
        <v>96</v>
      </c>
      <c r="F885" s="41">
        <v>2</v>
      </c>
      <c r="G885" s="17">
        <v>1796.61</v>
      </c>
      <c r="H885" s="46">
        <f t="shared" si="35"/>
        <v>3593.22</v>
      </c>
      <c r="I885" s="41"/>
    </row>
    <row r="886" customHeight="1" spans="1:9">
      <c r="A886" s="40"/>
      <c r="B886" s="45" t="s">
        <v>223</v>
      </c>
      <c r="C886" s="41" t="s">
        <v>224</v>
      </c>
      <c r="D886" s="41"/>
      <c r="E886" s="41" t="s">
        <v>96</v>
      </c>
      <c r="F886" s="41">
        <v>2</v>
      </c>
      <c r="G886" s="41">
        <v>137.92</v>
      </c>
      <c r="H886" s="46">
        <f t="shared" si="35"/>
        <v>275.84</v>
      </c>
      <c r="I886" s="41"/>
    </row>
    <row r="887" customHeight="1" spans="1:9">
      <c r="A887" s="40"/>
      <c r="B887" s="45" t="s">
        <v>225</v>
      </c>
      <c r="C887" s="41" t="s">
        <v>277</v>
      </c>
      <c r="D887" s="41"/>
      <c r="E887" s="41" t="s">
        <v>96</v>
      </c>
      <c r="F887" s="41">
        <v>1</v>
      </c>
      <c r="G887" s="41">
        <v>1560</v>
      </c>
      <c r="H887" s="46">
        <f t="shared" si="35"/>
        <v>1560</v>
      </c>
      <c r="I887" s="41"/>
    </row>
    <row r="888" customHeight="1" spans="1:9">
      <c r="A888" s="40"/>
      <c r="B888" s="45" t="s">
        <v>227</v>
      </c>
      <c r="C888" s="41" t="s">
        <v>278</v>
      </c>
      <c r="D888" s="41"/>
      <c r="E888" s="41" t="s">
        <v>96</v>
      </c>
      <c r="F888" s="41">
        <v>1</v>
      </c>
      <c r="G888" s="41">
        <v>5650</v>
      </c>
      <c r="H888" s="46">
        <f t="shared" si="35"/>
        <v>5650</v>
      </c>
      <c r="I888" s="41"/>
    </row>
    <row r="889" customHeight="1" spans="1:9">
      <c r="A889" s="40"/>
      <c r="B889" s="45" t="s">
        <v>229</v>
      </c>
      <c r="C889" s="41" t="s">
        <v>276</v>
      </c>
      <c r="D889" s="41"/>
      <c r="E889" s="41" t="s">
        <v>96</v>
      </c>
      <c r="F889" s="41">
        <v>2</v>
      </c>
      <c r="G889" s="41">
        <v>650</v>
      </c>
      <c r="H889" s="46">
        <f t="shared" si="35"/>
        <v>1300</v>
      </c>
      <c r="I889" s="41"/>
    </row>
    <row r="890" customHeight="1" spans="1:9">
      <c r="A890" s="40"/>
      <c r="B890" s="45" t="s">
        <v>229</v>
      </c>
      <c r="C890" s="41" t="s">
        <v>101</v>
      </c>
      <c r="D890" s="41"/>
      <c r="E890" s="41" t="s">
        <v>96</v>
      </c>
      <c r="F890" s="41">
        <v>1</v>
      </c>
      <c r="G890" s="41">
        <v>45</v>
      </c>
      <c r="H890" s="46">
        <f t="shared" si="35"/>
        <v>45</v>
      </c>
      <c r="I890" s="41"/>
    </row>
    <row r="891" customHeight="1" spans="1:9">
      <c r="A891" s="40"/>
      <c r="B891" s="45" t="s">
        <v>230</v>
      </c>
      <c r="C891" s="41" t="s">
        <v>101</v>
      </c>
      <c r="D891" s="41"/>
      <c r="E891" s="41" t="s">
        <v>96</v>
      </c>
      <c r="F891" s="41">
        <v>1</v>
      </c>
      <c r="G891" s="41">
        <v>45</v>
      </c>
      <c r="H891" s="46">
        <f t="shared" si="35"/>
        <v>45</v>
      </c>
      <c r="I891" s="41"/>
    </row>
    <row r="892" customHeight="1" spans="1:9">
      <c r="A892" s="40"/>
      <c r="B892" s="45" t="s">
        <v>231</v>
      </c>
      <c r="C892" s="41" t="s">
        <v>232</v>
      </c>
      <c r="D892" s="41"/>
      <c r="E892" s="41" t="s">
        <v>96</v>
      </c>
      <c r="F892" s="41">
        <v>2</v>
      </c>
      <c r="G892" s="41">
        <v>123.5</v>
      </c>
      <c r="H892" s="46">
        <f t="shared" si="35"/>
        <v>247</v>
      </c>
      <c r="I892" s="41"/>
    </row>
    <row r="893" customHeight="1" spans="1:9">
      <c r="A893" s="40"/>
      <c r="B893" s="45" t="s">
        <v>233</v>
      </c>
      <c r="C893" s="41" t="s">
        <v>279</v>
      </c>
      <c r="D893" s="41"/>
      <c r="E893" s="41" t="s">
        <v>96</v>
      </c>
      <c r="F893" s="41">
        <v>2</v>
      </c>
      <c r="G893" s="41">
        <v>686.55</v>
      </c>
      <c r="H893" s="46">
        <f t="shared" si="35"/>
        <v>1373.1</v>
      </c>
      <c r="I893" s="41"/>
    </row>
    <row r="894" customHeight="1" spans="1:9">
      <c r="A894" s="40"/>
      <c r="B894" s="45" t="s">
        <v>89</v>
      </c>
      <c r="C894" s="41" t="s">
        <v>276</v>
      </c>
      <c r="D894" s="41" t="s">
        <v>91</v>
      </c>
      <c r="E894" s="41" t="s">
        <v>23</v>
      </c>
      <c r="F894" s="41">
        <v>4</v>
      </c>
      <c r="G894" s="41">
        <v>545</v>
      </c>
      <c r="H894" s="46">
        <f t="shared" si="35"/>
        <v>2180</v>
      </c>
      <c r="I894" s="41"/>
    </row>
    <row r="895" customHeight="1" spans="1:9">
      <c r="A895" s="40"/>
      <c r="B895" s="45" t="s">
        <v>236</v>
      </c>
      <c r="C895" s="41" t="s">
        <v>280</v>
      </c>
      <c r="D895" s="41"/>
      <c r="E895" s="41" t="s">
        <v>96</v>
      </c>
      <c r="F895" s="41">
        <v>2</v>
      </c>
      <c r="G895" s="41">
        <v>1544.45</v>
      </c>
      <c r="H895" s="46">
        <f t="shared" si="35"/>
        <v>3088.9</v>
      </c>
      <c r="I895" s="41"/>
    </row>
    <row r="896" customHeight="1" spans="1:9">
      <c r="A896" s="40"/>
      <c r="B896" s="45" t="s">
        <v>132</v>
      </c>
      <c r="C896" s="41"/>
      <c r="D896" s="41"/>
      <c r="E896" s="41" t="s">
        <v>23</v>
      </c>
      <c r="F896" s="41">
        <v>467</v>
      </c>
      <c r="G896" s="41">
        <f>G44</f>
        <v>3.79</v>
      </c>
      <c r="H896" s="46">
        <f t="shared" si="35"/>
        <v>1769.93</v>
      </c>
      <c r="I896" s="41"/>
    </row>
    <row r="897" customHeight="1" spans="1:9">
      <c r="A897" s="40"/>
      <c r="B897" s="45" t="s">
        <v>133</v>
      </c>
      <c r="C897" s="41"/>
      <c r="D897" s="41"/>
      <c r="E897" s="41" t="s">
        <v>23</v>
      </c>
      <c r="F897" s="41">
        <v>467</v>
      </c>
      <c r="G897" s="41">
        <v>29.46</v>
      </c>
      <c r="H897" s="46">
        <f t="shared" si="35"/>
        <v>13757.82</v>
      </c>
      <c r="I897" s="41"/>
    </row>
    <row r="898" customHeight="1" spans="1:9">
      <c r="A898" s="40"/>
      <c r="B898" s="45" t="s">
        <v>281</v>
      </c>
      <c r="C898" s="40"/>
      <c r="D898" s="41"/>
      <c r="E898" s="41" t="s">
        <v>130</v>
      </c>
      <c r="F898" s="41">
        <v>1</v>
      </c>
      <c r="G898" s="41">
        <v>80000</v>
      </c>
      <c r="H898" s="46">
        <f t="shared" si="35"/>
        <v>80000</v>
      </c>
      <c r="I898" s="69"/>
    </row>
    <row r="899" customHeight="1" spans="1:9">
      <c r="A899" s="40"/>
      <c r="B899" s="45" t="s">
        <v>191</v>
      </c>
      <c r="C899" s="40"/>
      <c r="D899" s="41" t="s">
        <v>192</v>
      </c>
      <c r="E899" s="40" t="s">
        <v>137</v>
      </c>
      <c r="F899" s="41">
        <v>467</v>
      </c>
      <c r="G899" s="41">
        <f>G241</f>
        <v>180.73</v>
      </c>
      <c r="H899" s="46">
        <f t="shared" si="35"/>
        <v>84400.91</v>
      </c>
      <c r="I899" s="69"/>
    </row>
    <row r="900" customHeight="1" spans="1:9">
      <c r="A900" s="40"/>
      <c r="B900" s="45" t="s">
        <v>191</v>
      </c>
      <c r="C900" s="40"/>
      <c r="D900" s="41" t="s">
        <v>282</v>
      </c>
      <c r="E900" s="40" t="s">
        <v>137</v>
      </c>
      <c r="F900" s="41">
        <v>467</v>
      </c>
      <c r="G900" s="41">
        <v>174.85</v>
      </c>
      <c r="H900" s="46">
        <f t="shared" si="35"/>
        <v>81654.95</v>
      </c>
      <c r="I900" s="41"/>
    </row>
    <row r="901" s="2" customFormat="1" ht="18.75" customHeight="1" spans="1:14">
      <c r="A901" s="40"/>
      <c r="B901" s="68" t="s">
        <v>163</v>
      </c>
      <c r="C901" s="16"/>
      <c r="D901" s="16"/>
      <c r="E901" s="9" t="s">
        <v>164</v>
      </c>
      <c r="F901" s="17">
        <f>467*(1*2.1)</f>
        <v>980.7</v>
      </c>
      <c r="G901" s="17">
        <f>G65</f>
        <v>14.43</v>
      </c>
      <c r="H901" s="18">
        <f t="shared" si="35"/>
        <v>14151.501</v>
      </c>
      <c r="I901" s="16"/>
      <c r="L901" s="25"/>
      <c r="N901" s="5"/>
    </row>
    <row r="902" s="2" customFormat="1" ht="18.75" customHeight="1" spans="1:14">
      <c r="A902" s="40"/>
      <c r="B902" s="68" t="s">
        <v>165</v>
      </c>
      <c r="C902" s="16"/>
      <c r="D902" s="16"/>
      <c r="E902" s="9" t="s">
        <v>164</v>
      </c>
      <c r="F902" s="17">
        <f>467*(1*1.8)</f>
        <v>840.6</v>
      </c>
      <c r="G902" s="17">
        <f>G66</f>
        <v>14.49</v>
      </c>
      <c r="H902" s="18">
        <f t="shared" si="35"/>
        <v>12180.294</v>
      </c>
      <c r="I902" s="16"/>
      <c r="L902" s="25"/>
      <c r="N902" s="5"/>
    </row>
    <row r="903" s="2" customFormat="1" ht="18.75" customHeight="1" spans="1:14">
      <c r="A903" s="40"/>
      <c r="B903" s="68" t="s">
        <v>166</v>
      </c>
      <c r="C903" s="16"/>
      <c r="D903" s="16"/>
      <c r="E903" s="9" t="s">
        <v>164</v>
      </c>
      <c r="F903" s="17">
        <f>467*(1*0.2)</f>
        <v>93.4</v>
      </c>
      <c r="G903" s="17">
        <f>G67</f>
        <v>16.87</v>
      </c>
      <c r="H903" s="18">
        <f t="shared" si="35"/>
        <v>1575.658</v>
      </c>
      <c r="I903" s="16"/>
      <c r="L903" s="25"/>
      <c r="N903" s="5"/>
    </row>
    <row r="904" s="2" customFormat="1" ht="18.75" customHeight="1" spans="1:14">
      <c r="A904" s="40"/>
      <c r="B904" s="68" t="s">
        <v>167</v>
      </c>
      <c r="C904" s="16"/>
      <c r="D904" s="16"/>
      <c r="E904" s="9" t="s">
        <v>164</v>
      </c>
      <c r="F904" s="17">
        <f>467*(1*0.2)</f>
        <v>93.4</v>
      </c>
      <c r="G904" s="17">
        <v>209.39</v>
      </c>
      <c r="H904" s="18">
        <f t="shared" si="35"/>
        <v>19557.026</v>
      </c>
      <c r="I904" s="16"/>
      <c r="L904" s="25"/>
      <c r="N904" s="5"/>
    </row>
    <row r="905" ht="18.95" customHeight="1" spans="1:9">
      <c r="A905" s="40"/>
      <c r="B905" s="23" t="s">
        <v>168</v>
      </c>
      <c r="C905" s="41"/>
      <c r="D905" s="41"/>
      <c r="E905" s="41" t="s">
        <v>169</v>
      </c>
      <c r="F905" s="41"/>
      <c r="G905" s="41"/>
      <c r="H905" s="46">
        <f>SUM(H868:H904)</f>
        <v>549403.489</v>
      </c>
      <c r="I905" s="58"/>
    </row>
    <row r="906" customHeight="1" spans="1:9">
      <c r="A906" s="65">
        <v>17</v>
      </c>
      <c r="B906" s="44" t="s">
        <v>283</v>
      </c>
      <c r="C906" s="44"/>
      <c r="D906" s="44"/>
      <c r="E906" s="44"/>
      <c r="F906" s="44"/>
      <c r="G906" s="44"/>
      <c r="H906" s="44"/>
      <c r="I906" s="53"/>
    </row>
    <row r="907" customHeight="1" spans="1:9">
      <c r="A907" s="40"/>
      <c r="B907" s="45" t="s">
        <v>84</v>
      </c>
      <c r="C907" s="41" t="s">
        <v>266</v>
      </c>
      <c r="D907" s="41" t="s">
        <v>86</v>
      </c>
      <c r="E907" s="41" t="s">
        <v>23</v>
      </c>
      <c r="F907" s="41">
        <v>283</v>
      </c>
      <c r="G907" s="41">
        <v>353.21</v>
      </c>
      <c r="H907" s="46">
        <f t="shared" ref="H907:H940" si="36">F907*G907</f>
        <v>99958.43</v>
      </c>
      <c r="I907" s="41" t="s">
        <v>267</v>
      </c>
    </row>
    <row r="908" customHeight="1" spans="1:9">
      <c r="A908" s="40"/>
      <c r="B908" s="45" t="s">
        <v>239</v>
      </c>
      <c r="C908" s="41" t="s">
        <v>269</v>
      </c>
      <c r="D908" s="41"/>
      <c r="E908" s="41" t="s">
        <v>96</v>
      </c>
      <c r="F908" s="41">
        <v>1</v>
      </c>
      <c r="G908" s="41">
        <v>1220</v>
      </c>
      <c r="H908" s="46">
        <f t="shared" si="36"/>
        <v>1220</v>
      </c>
      <c r="I908" s="41"/>
    </row>
    <row r="909" customHeight="1" spans="1:9">
      <c r="A909" s="40"/>
      <c r="B909" s="45" t="s">
        <v>122</v>
      </c>
      <c r="C909" s="41" t="s">
        <v>266</v>
      </c>
      <c r="D909" s="41"/>
      <c r="E909" s="41" t="s">
        <v>96</v>
      </c>
      <c r="F909" s="41">
        <v>15</v>
      </c>
      <c r="G909" s="41">
        <v>660</v>
      </c>
      <c r="H909" s="46">
        <f t="shared" si="36"/>
        <v>9900</v>
      </c>
      <c r="I909" s="41"/>
    </row>
    <row r="910" customHeight="1" spans="1:9">
      <c r="A910" s="40"/>
      <c r="B910" s="45" t="s">
        <v>221</v>
      </c>
      <c r="C910" s="41" t="s">
        <v>222</v>
      </c>
      <c r="D910" s="41"/>
      <c r="E910" s="41" t="s">
        <v>96</v>
      </c>
      <c r="F910" s="41">
        <v>4</v>
      </c>
      <c r="G910" s="17">
        <v>1796.61</v>
      </c>
      <c r="H910" s="46">
        <f t="shared" si="36"/>
        <v>7186.44</v>
      </c>
      <c r="I910" s="41"/>
    </row>
    <row r="911" customHeight="1" spans="1:9">
      <c r="A911" s="40"/>
      <c r="B911" s="45" t="s">
        <v>223</v>
      </c>
      <c r="C911" s="41" t="s">
        <v>224</v>
      </c>
      <c r="D911" s="41"/>
      <c r="E911" s="41" t="s">
        <v>96</v>
      </c>
      <c r="F911" s="41">
        <v>4</v>
      </c>
      <c r="G911" s="41">
        <v>137.92</v>
      </c>
      <c r="H911" s="46">
        <f t="shared" si="36"/>
        <v>551.68</v>
      </c>
      <c r="I911" s="41"/>
    </row>
    <row r="912" customHeight="1" spans="1:9">
      <c r="A912" s="40"/>
      <c r="B912" s="45" t="s">
        <v>225</v>
      </c>
      <c r="C912" s="41" t="s">
        <v>271</v>
      </c>
      <c r="D912" s="41"/>
      <c r="E912" s="41" t="s">
        <v>96</v>
      </c>
      <c r="F912" s="41">
        <v>2</v>
      </c>
      <c r="G912" s="41">
        <v>1560</v>
      </c>
      <c r="H912" s="46">
        <f t="shared" si="36"/>
        <v>3120</v>
      </c>
      <c r="I912" s="41"/>
    </row>
    <row r="913" customHeight="1" spans="1:9">
      <c r="A913" s="40"/>
      <c r="B913" s="45" t="s">
        <v>227</v>
      </c>
      <c r="C913" s="41" t="s">
        <v>272</v>
      </c>
      <c r="D913" s="41"/>
      <c r="E913" s="41" t="s">
        <v>96</v>
      </c>
      <c r="F913" s="41">
        <v>2</v>
      </c>
      <c r="G913" s="41">
        <v>1770.08</v>
      </c>
      <c r="H913" s="46">
        <f t="shared" si="36"/>
        <v>3540.16</v>
      </c>
      <c r="I913" s="41"/>
    </row>
    <row r="914" customHeight="1" spans="1:9">
      <c r="A914" s="40"/>
      <c r="B914" s="45" t="s">
        <v>229</v>
      </c>
      <c r="C914" s="41" t="s">
        <v>94</v>
      </c>
      <c r="D914" s="41"/>
      <c r="E914" s="41" t="s">
        <v>96</v>
      </c>
      <c r="F914" s="41">
        <v>4</v>
      </c>
      <c r="G914" s="41">
        <v>120</v>
      </c>
      <c r="H914" s="46">
        <f t="shared" si="36"/>
        <v>480</v>
      </c>
      <c r="I914" s="41"/>
    </row>
    <row r="915" customHeight="1" spans="1:9">
      <c r="A915" s="40"/>
      <c r="B915" s="45" t="s">
        <v>229</v>
      </c>
      <c r="C915" s="41" t="s">
        <v>101</v>
      </c>
      <c r="D915" s="41"/>
      <c r="E915" s="41" t="s">
        <v>96</v>
      </c>
      <c r="F915" s="41">
        <v>2</v>
      </c>
      <c r="G915" s="41">
        <v>45</v>
      </c>
      <c r="H915" s="46">
        <f t="shared" si="36"/>
        <v>90</v>
      </c>
      <c r="I915" s="41"/>
    </row>
    <row r="916" customHeight="1" spans="1:9">
      <c r="A916" s="40"/>
      <c r="B916" s="45" t="s">
        <v>230</v>
      </c>
      <c r="C916" s="41" t="s">
        <v>101</v>
      </c>
      <c r="D916" s="41"/>
      <c r="E916" s="41" t="s">
        <v>96</v>
      </c>
      <c r="F916" s="41">
        <v>2</v>
      </c>
      <c r="G916" s="41">
        <v>45</v>
      </c>
      <c r="H916" s="46">
        <f t="shared" si="36"/>
        <v>90</v>
      </c>
      <c r="I916" s="41"/>
    </row>
    <row r="917" customHeight="1" spans="1:9">
      <c r="A917" s="40"/>
      <c r="B917" s="45" t="s">
        <v>231</v>
      </c>
      <c r="C917" s="41" t="s">
        <v>232</v>
      </c>
      <c r="D917" s="41"/>
      <c r="E917" s="41" t="s">
        <v>96</v>
      </c>
      <c r="F917" s="41">
        <v>4</v>
      </c>
      <c r="G917" s="41">
        <v>120</v>
      </c>
      <c r="H917" s="46">
        <f t="shared" si="36"/>
        <v>480</v>
      </c>
      <c r="I917" s="41"/>
    </row>
    <row r="918" customHeight="1" spans="1:9">
      <c r="A918" s="40"/>
      <c r="B918" s="45" t="s">
        <v>233</v>
      </c>
      <c r="C918" s="41" t="s">
        <v>273</v>
      </c>
      <c r="D918" s="41"/>
      <c r="E918" s="41" t="s">
        <v>96</v>
      </c>
      <c r="F918" s="41">
        <v>4</v>
      </c>
      <c r="G918" s="41">
        <v>420</v>
      </c>
      <c r="H918" s="46">
        <f t="shared" si="36"/>
        <v>1680</v>
      </c>
      <c r="I918" s="41"/>
    </row>
    <row r="919" customHeight="1" spans="1:9">
      <c r="A919" s="40"/>
      <c r="B919" s="45" t="s">
        <v>89</v>
      </c>
      <c r="C919" s="41" t="s">
        <v>274</v>
      </c>
      <c r="D919" s="41" t="s">
        <v>91</v>
      </c>
      <c r="E919" s="41" t="s">
        <v>23</v>
      </c>
      <c r="F919" s="41">
        <v>8</v>
      </c>
      <c r="G919" s="41">
        <v>209.86</v>
      </c>
      <c r="H919" s="46">
        <f t="shared" si="36"/>
        <v>1678.88</v>
      </c>
      <c r="I919" s="41"/>
    </row>
    <row r="920" customHeight="1" spans="1:9">
      <c r="A920" s="40"/>
      <c r="B920" s="45" t="s">
        <v>236</v>
      </c>
      <c r="C920" s="41" t="s">
        <v>263</v>
      </c>
      <c r="D920" s="41"/>
      <c r="E920" s="41" t="s">
        <v>96</v>
      </c>
      <c r="F920" s="41">
        <v>4</v>
      </c>
      <c r="G920" s="41">
        <v>841.2</v>
      </c>
      <c r="H920" s="46">
        <f t="shared" si="36"/>
        <v>3364.8</v>
      </c>
      <c r="I920" s="41"/>
    </row>
    <row r="921" customHeight="1" spans="1:9">
      <c r="A921" s="40"/>
      <c r="B921" s="45" t="s">
        <v>275</v>
      </c>
      <c r="C921" s="41" t="s">
        <v>276</v>
      </c>
      <c r="D921" s="41"/>
      <c r="E921" s="41" t="s">
        <v>96</v>
      </c>
      <c r="F921" s="41">
        <v>1</v>
      </c>
      <c r="G921" s="41">
        <f>G884</f>
        <v>13350.83</v>
      </c>
      <c r="H921" s="46">
        <f t="shared" si="36"/>
        <v>13350.83</v>
      </c>
      <c r="I921" s="41"/>
    </row>
    <row r="922" customHeight="1" spans="1:9">
      <c r="A922" s="40"/>
      <c r="B922" s="45" t="s">
        <v>221</v>
      </c>
      <c r="C922" s="41" t="s">
        <v>222</v>
      </c>
      <c r="D922" s="41"/>
      <c r="E922" s="41" t="s">
        <v>96</v>
      </c>
      <c r="F922" s="41">
        <v>2</v>
      </c>
      <c r="G922" s="17">
        <v>1796.61</v>
      </c>
      <c r="H922" s="46">
        <f t="shared" si="36"/>
        <v>3593.22</v>
      </c>
      <c r="I922" s="41"/>
    </row>
    <row r="923" customHeight="1" spans="1:9">
      <c r="A923" s="40"/>
      <c r="B923" s="45" t="s">
        <v>223</v>
      </c>
      <c r="C923" s="41" t="s">
        <v>224</v>
      </c>
      <c r="D923" s="41"/>
      <c r="E923" s="41" t="s">
        <v>96</v>
      </c>
      <c r="F923" s="41">
        <v>2</v>
      </c>
      <c r="G923" s="41">
        <v>137.92</v>
      </c>
      <c r="H923" s="46">
        <f t="shared" si="36"/>
        <v>275.84</v>
      </c>
      <c r="I923" s="41"/>
    </row>
    <row r="924" customHeight="1" spans="1:9">
      <c r="A924" s="40"/>
      <c r="B924" s="45" t="s">
        <v>225</v>
      </c>
      <c r="C924" s="41" t="s">
        <v>277</v>
      </c>
      <c r="D924" s="41"/>
      <c r="E924" s="41" t="s">
        <v>96</v>
      </c>
      <c r="F924" s="41">
        <v>1</v>
      </c>
      <c r="G924" s="41">
        <v>1560</v>
      </c>
      <c r="H924" s="46">
        <f t="shared" si="36"/>
        <v>1560</v>
      </c>
      <c r="I924" s="41"/>
    </row>
    <row r="925" customHeight="1" spans="1:9">
      <c r="A925" s="40"/>
      <c r="B925" s="45" t="s">
        <v>227</v>
      </c>
      <c r="C925" s="41" t="s">
        <v>278</v>
      </c>
      <c r="D925" s="41"/>
      <c r="E925" s="41" t="s">
        <v>96</v>
      </c>
      <c r="F925" s="41">
        <v>1</v>
      </c>
      <c r="G925" s="41">
        <v>5650</v>
      </c>
      <c r="H925" s="46">
        <f t="shared" si="36"/>
        <v>5650</v>
      </c>
      <c r="I925" s="41"/>
    </row>
    <row r="926" customHeight="1" spans="1:9">
      <c r="A926" s="40"/>
      <c r="B926" s="45" t="s">
        <v>229</v>
      </c>
      <c r="C926" s="41" t="s">
        <v>276</v>
      </c>
      <c r="D926" s="41"/>
      <c r="E926" s="41" t="s">
        <v>96</v>
      </c>
      <c r="F926" s="41">
        <v>2</v>
      </c>
      <c r="G926" s="41">
        <v>650</v>
      </c>
      <c r="H926" s="46">
        <f t="shared" si="36"/>
        <v>1300</v>
      </c>
      <c r="I926" s="41"/>
    </row>
    <row r="927" customHeight="1" spans="1:9">
      <c r="A927" s="40"/>
      <c r="B927" s="45" t="s">
        <v>229</v>
      </c>
      <c r="C927" s="41" t="s">
        <v>101</v>
      </c>
      <c r="D927" s="41"/>
      <c r="E927" s="41" t="s">
        <v>96</v>
      </c>
      <c r="F927" s="41">
        <v>1</v>
      </c>
      <c r="G927" s="41">
        <v>45</v>
      </c>
      <c r="H927" s="46">
        <f t="shared" si="36"/>
        <v>45</v>
      </c>
      <c r="I927" s="41"/>
    </row>
    <row r="928" customHeight="1" spans="1:9">
      <c r="A928" s="40"/>
      <c r="B928" s="45" t="s">
        <v>230</v>
      </c>
      <c r="C928" s="41" t="s">
        <v>101</v>
      </c>
      <c r="D928" s="41"/>
      <c r="E928" s="41" t="s">
        <v>96</v>
      </c>
      <c r="F928" s="41">
        <v>1</v>
      </c>
      <c r="G928" s="41">
        <v>45</v>
      </c>
      <c r="H928" s="46">
        <f t="shared" si="36"/>
        <v>45</v>
      </c>
      <c r="I928" s="41"/>
    </row>
    <row r="929" customHeight="1" spans="1:9">
      <c r="A929" s="40"/>
      <c r="B929" s="45" t="s">
        <v>231</v>
      </c>
      <c r="C929" s="41" t="s">
        <v>232</v>
      </c>
      <c r="D929" s="41"/>
      <c r="E929" s="41" t="s">
        <v>96</v>
      </c>
      <c r="F929" s="41">
        <v>2</v>
      </c>
      <c r="G929" s="41">
        <v>123.5</v>
      </c>
      <c r="H929" s="46">
        <f t="shared" si="36"/>
        <v>247</v>
      </c>
      <c r="I929" s="41"/>
    </row>
    <row r="930" customHeight="1" spans="1:9">
      <c r="A930" s="40"/>
      <c r="B930" s="45" t="s">
        <v>233</v>
      </c>
      <c r="C930" s="41" t="s">
        <v>279</v>
      </c>
      <c r="D930" s="41"/>
      <c r="E930" s="41" t="s">
        <v>96</v>
      </c>
      <c r="F930" s="41">
        <v>2</v>
      </c>
      <c r="G930" s="41">
        <v>686.55</v>
      </c>
      <c r="H930" s="46">
        <f t="shared" si="36"/>
        <v>1373.1</v>
      </c>
      <c r="I930" s="41"/>
    </row>
    <row r="931" customHeight="1" spans="1:9">
      <c r="A931" s="40"/>
      <c r="B931" s="45" t="s">
        <v>89</v>
      </c>
      <c r="C931" s="41" t="s">
        <v>276</v>
      </c>
      <c r="D931" s="41" t="s">
        <v>91</v>
      </c>
      <c r="E931" s="41" t="s">
        <v>23</v>
      </c>
      <c r="F931" s="41">
        <v>4</v>
      </c>
      <c r="G931" s="41">
        <v>545</v>
      </c>
      <c r="H931" s="46">
        <f t="shared" si="36"/>
        <v>2180</v>
      </c>
      <c r="I931" s="41"/>
    </row>
    <row r="932" customHeight="1" spans="1:9">
      <c r="A932" s="40"/>
      <c r="B932" s="45" t="s">
        <v>236</v>
      </c>
      <c r="C932" s="41" t="s">
        <v>280</v>
      </c>
      <c r="D932" s="41"/>
      <c r="E932" s="41" t="s">
        <v>96</v>
      </c>
      <c r="F932" s="41">
        <v>2</v>
      </c>
      <c r="G932" s="41">
        <v>1544.45</v>
      </c>
      <c r="H932" s="46">
        <f t="shared" si="36"/>
        <v>3088.9</v>
      </c>
      <c r="I932" s="41"/>
    </row>
    <row r="933" customHeight="1" spans="1:9">
      <c r="A933" s="40"/>
      <c r="B933" s="45" t="s">
        <v>132</v>
      </c>
      <c r="C933" s="41"/>
      <c r="D933" s="41"/>
      <c r="E933" s="41" t="s">
        <v>23</v>
      </c>
      <c r="F933" s="41">
        <v>283</v>
      </c>
      <c r="G933" s="41">
        <f>G44</f>
        <v>3.79</v>
      </c>
      <c r="H933" s="46">
        <f t="shared" si="36"/>
        <v>1072.57</v>
      </c>
      <c r="I933" s="41"/>
    </row>
    <row r="934" customHeight="1" spans="1:9">
      <c r="A934" s="40"/>
      <c r="B934" s="45" t="s">
        <v>133</v>
      </c>
      <c r="C934" s="41"/>
      <c r="D934" s="41"/>
      <c r="E934" s="41" t="s">
        <v>23</v>
      </c>
      <c r="F934" s="41">
        <v>283</v>
      </c>
      <c r="G934" s="41">
        <v>29.46</v>
      </c>
      <c r="H934" s="46">
        <f t="shared" si="36"/>
        <v>8337.18</v>
      </c>
      <c r="I934" s="41"/>
    </row>
    <row r="935" customHeight="1" spans="1:9">
      <c r="A935" s="40"/>
      <c r="B935" s="45" t="s">
        <v>281</v>
      </c>
      <c r="C935" s="40"/>
      <c r="D935" s="41"/>
      <c r="E935" s="41" t="s">
        <v>130</v>
      </c>
      <c r="F935" s="41">
        <v>1</v>
      </c>
      <c r="G935" s="41">
        <v>80000</v>
      </c>
      <c r="H935" s="46">
        <f t="shared" si="36"/>
        <v>80000</v>
      </c>
      <c r="I935" s="69"/>
    </row>
    <row r="936" customHeight="1" spans="1:9">
      <c r="A936" s="40"/>
      <c r="B936" s="45" t="s">
        <v>191</v>
      </c>
      <c r="C936" s="40"/>
      <c r="D936" s="41" t="s">
        <v>192</v>
      </c>
      <c r="E936" s="40" t="s">
        <v>137</v>
      </c>
      <c r="F936" s="41">
        <v>283</v>
      </c>
      <c r="G936" s="41">
        <f>G241</f>
        <v>180.73</v>
      </c>
      <c r="H936" s="46">
        <f t="shared" si="36"/>
        <v>51146.59</v>
      </c>
      <c r="I936" s="69"/>
    </row>
    <row r="937" s="2" customFormat="1" ht="18.75" customHeight="1" spans="1:14">
      <c r="A937" s="40"/>
      <c r="B937" s="68" t="s">
        <v>163</v>
      </c>
      <c r="C937" s="16"/>
      <c r="D937" s="16"/>
      <c r="E937" s="9" t="s">
        <v>164</v>
      </c>
      <c r="F937" s="17">
        <f>283*(1*2.1)</f>
        <v>594.3</v>
      </c>
      <c r="G937" s="17">
        <f>G65</f>
        <v>14.43</v>
      </c>
      <c r="H937" s="18">
        <f t="shared" si="36"/>
        <v>8575.749</v>
      </c>
      <c r="I937" s="16"/>
      <c r="L937" s="25"/>
      <c r="N937" s="5"/>
    </row>
    <row r="938" s="2" customFormat="1" ht="18.75" customHeight="1" spans="1:14">
      <c r="A938" s="40"/>
      <c r="B938" s="68" t="s">
        <v>165</v>
      </c>
      <c r="C938" s="16"/>
      <c r="D938" s="16"/>
      <c r="E938" s="9" t="s">
        <v>164</v>
      </c>
      <c r="F938" s="17">
        <f>283*(1*1.8)</f>
        <v>509.4</v>
      </c>
      <c r="G938" s="17">
        <f>G66</f>
        <v>14.49</v>
      </c>
      <c r="H938" s="18">
        <f t="shared" si="36"/>
        <v>7381.206</v>
      </c>
      <c r="I938" s="16"/>
      <c r="L938" s="25"/>
      <c r="N938" s="5"/>
    </row>
    <row r="939" s="2" customFormat="1" ht="18.75" customHeight="1" spans="1:14">
      <c r="A939" s="40"/>
      <c r="B939" s="68" t="s">
        <v>166</v>
      </c>
      <c r="C939" s="16"/>
      <c r="D939" s="16"/>
      <c r="E939" s="9" t="s">
        <v>164</v>
      </c>
      <c r="F939" s="17">
        <f>283*(1*0.2)</f>
        <v>56.6</v>
      </c>
      <c r="G939" s="17">
        <f>G67</f>
        <v>16.87</v>
      </c>
      <c r="H939" s="18">
        <f t="shared" si="36"/>
        <v>954.842</v>
      </c>
      <c r="I939" s="16"/>
      <c r="L939" s="25"/>
      <c r="N939" s="5"/>
    </row>
    <row r="940" s="2" customFormat="1" ht="18.75" customHeight="1" spans="1:14">
      <c r="A940" s="40"/>
      <c r="B940" s="68" t="s">
        <v>167</v>
      </c>
      <c r="C940" s="16"/>
      <c r="D940" s="16"/>
      <c r="E940" s="9" t="s">
        <v>164</v>
      </c>
      <c r="F940" s="17">
        <f>283*(1*0.2)</f>
        <v>56.6</v>
      </c>
      <c r="G940" s="17">
        <v>209.39</v>
      </c>
      <c r="H940" s="18">
        <f t="shared" si="36"/>
        <v>11851.474</v>
      </c>
      <c r="I940" s="16"/>
      <c r="L940" s="25"/>
      <c r="N940" s="5"/>
    </row>
    <row r="941" ht="18.95" customHeight="1" spans="1:9">
      <c r="A941" s="40"/>
      <c r="B941" s="23" t="s">
        <v>168</v>
      </c>
      <c r="C941" s="41"/>
      <c r="D941" s="41"/>
      <c r="E941" s="41" t="s">
        <v>169</v>
      </c>
      <c r="F941" s="41"/>
      <c r="G941" s="41"/>
      <c r="H941" s="46">
        <f>SUM(H907:H940)</f>
        <v>335368.891</v>
      </c>
      <c r="I941" s="58"/>
    </row>
    <row r="942" customHeight="1" spans="1:9">
      <c r="A942" s="65">
        <v>18</v>
      </c>
      <c r="B942" s="44" t="s">
        <v>284</v>
      </c>
      <c r="C942" s="44"/>
      <c r="D942" s="44"/>
      <c r="E942" s="44"/>
      <c r="F942" s="44"/>
      <c r="G942" s="44"/>
      <c r="H942" s="44"/>
      <c r="I942" s="53"/>
    </row>
    <row r="943" customHeight="1" spans="1:9">
      <c r="A943" s="40"/>
      <c r="B943" s="45" t="s">
        <v>84</v>
      </c>
      <c r="C943" s="41" t="s">
        <v>266</v>
      </c>
      <c r="D943" s="41" t="s">
        <v>86</v>
      </c>
      <c r="E943" s="41" t="s">
        <v>23</v>
      </c>
      <c r="F943" s="41">
        <v>364</v>
      </c>
      <c r="G943" s="41">
        <v>353.21</v>
      </c>
      <c r="H943" s="46">
        <f t="shared" ref="H943:H976" si="37">F943*G943</f>
        <v>128568.44</v>
      </c>
      <c r="I943" s="41" t="s">
        <v>267</v>
      </c>
    </row>
    <row r="944" customHeight="1" spans="1:9">
      <c r="A944" s="40"/>
      <c r="B944" s="45" t="s">
        <v>239</v>
      </c>
      <c r="C944" s="41" t="s">
        <v>269</v>
      </c>
      <c r="D944" s="41"/>
      <c r="E944" s="41" t="s">
        <v>96</v>
      </c>
      <c r="F944" s="41">
        <v>1</v>
      </c>
      <c r="G944" s="41">
        <v>1220</v>
      </c>
      <c r="H944" s="46">
        <f t="shared" si="37"/>
        <v>1220</v>
      </c>
      <c r="I944" s="41"/>
    </row>
    <row r="945" customHeight="1" spans="1:9">
      <c r="A945" s="40"/>
      <c r="B945" s="45" t="s">
        <v>122</v>
      </c>
      <c r="C945" s="41" t="s">
        <v>266</v>
      </c>
      <c r="D945" s="41"/>
      <c r="E945" s="41" t="s">
        <v>96</v>
      </c>
      <c r="F945" s="41">
        <v>19</v>
      </c>
      <c r="G945" s="41">
        <v>660</v>
      </c>
      <c r="H945" s="46">
        <f t="shared" si="37"/>
        <v>12540</v>
      </c>
      <c r="I945" s="41"/>
    </row>
    <row r="946" customHeight="1" spans="1:9">
      <c r="A946" s="40"/>
      <c r="B946" s="45" t="s">
        <v>221</v>
      </c>
      <c r="C946" s="41" t="s">
        <v>222</v>
      </c>
      <c r="D946" s="41"/>
      <c r="E946" s="41" t="s">
        <v>96</v>
      </c>
      <c r="F946" s="41">
        <v>4</v>
      </c>
      <c r="G946" s="17">
        <v>1796.61</v>
      </c>
      <c r="H946" s="46">
        <f t="shared" si="37"/>
        <v>7186.44</v>
      </c>
      <c r="I946" s="41"/>
    </row>
    <row r="947" customHeight="1" spans="1:9">
      <c r="A947" s="40"/>
      <c r="B947" s="45" t="s">
        <v>223</v>
      </c>
      <c r="C947" s="41" t="s">
        <v>224</v>
      </c>
      <c r="D947" s="41"/>
      <c r="E947" s="41" t="s">
        <v>96</v>
      </c>
      <c r="F947" s="41">
        <v>4</v>
      </c>
      <c r="G947" s="41">
        <v>137.92</v>
      </c>
      <c r="H947" s="46">
        <f t="shared" si="37"/>
        <v>551.68</v>
      </c>
      <c r="I947" s="41"/>
    </row>
    <row r="948" customHeight="1" spans="1:9">
      <c r="A948" s="40"/>
      <c r="B948" s="45" t="s">
        <v>225</v>
      </c>
      <c r="C948" s="41" t="s">
        <v>271</v>
      </c>
      <c r="D948" s="41"/>
      <c r="E948" s="41" t="s">
        <v>96</v>
      </c>
      <c r="F948" s="41">
        <v>2</v>
      </c>
      <c r="G948" s="41">
        <v>1560</v>
      </c>
      <c r="H948" s="46">
        <f t="shared" si="37"/>
        <v>3120</v>
      </c>
      <c r="I948" s="41"/>
    </row>
    <row r="949" customHeight="1" spans="1:9">
      <c r="A949" s="40"/>
      <c r="B949" s="45" t="s">
        <v>227</v>
      </c>
      <c r="C949" s="41" t="s">
        <v>272</v>
      </c>
      <c r="D949" s="41"/>
      <c r="E949" s="41" t="s">
        <v>96</v>
      </c>
      <c r="F949" s="41">
        <v>2</v>
      </c>
      <c r="G949" s="41">
        <v>1770.08</v>
      </c>
      <c r="H949" s="46">
        <f t="shared" si="37"/>
        <v>3540.16</v>
      </c>
      <c r="I949" s="41"/>
    </row>
    <row r="950" customHeight="1" spans="1:9">
      <c r="A950" s="40"/>
      <c r="B950" s="45" t="s">
        <v>229</v>
      </c>
      <c r="C950" s="41" t="s">
        <v>94</v>
      </c>
      <c r="D950" s="41"/>
      <c r="E950" s="41" t="s">
        <v>96</v>
      </c>
      <c r="F950" s="41">
        <v>4</v>
      </c>
      <c r="G950" s="41">
        <v>120</v>
      </c>
      <c r="H950" s="46">
        <f t="shared" si="37"/>
        <v>480</v>
      </c>
      <c r="I950" s="41"/>
    </row>
    <row r="951" customHeight="1" spans="1:9">
      <c r="A951" s="40"/>
      <c r="B951" s="45" t="s">
        <v>229</v>
      </c>
      <c r="C951" s="41" t="s">
        <v>101</v>
      </c>
      <c r="D951" s="41"/>
      <c r="E951" s="41" t="s">
        <v>96</v>
      </c>
      <c r="F951" s="41">
        <v>2</v>
      </c>
      <c r="G951" s="41">
        <v>45</v>
      </c>
      <c r="H951" s="46">
        <f t="shared" si="37"/>
        <v>90</v>
      </c>
      <c r="I951" s="41"/>
    </row>
    <row r="952" customHeight="1" spans="1:9">
      <c r="A952" s="40"/>
      <c r="B952" s="45" t="s">
        <v>230</v>
      </c>
      <c r="C952" s="41" t="s">
        <v>101</v>
      </c>
      <c r="D952" s="41"/>
      <c r="E952" s="41" t="s">
        <v>96</v>
      </c>
      <c r="F952" s="41">
        <v>2</v>
      </c>
      <c r="G952" s="41">
        <v>45</v>
      </c>
      <c r="H952" s="46">
        <f t="shared" si="37"/>
        <v>90</v>
      </c>
      <c r="I952" s="41"/>
    </row>
    <row r="953" customHeight="1" spans="1:9">
      <c r="A953" s="40"/>
      <c r="B953" s="45" t="s">
        <v>231</v>
      </c>
      <c r="C953" s="41" t="s">
        <v>232</v>
      </c>
      <c r="D953" s="41"/>
      <c r="E953" s="41" t="s">
        <v>96</v>
      </c>
      <c r="F953" s="41">
        <v>4</v>
      </c>
      <c r="G953" s="41">
        <v>120</v>
      </c>
      <c r="H953" s="46">
        <f t="shared" si="37"/>
        <v>480</v>
      </c>
      <c r="I953" s="41"/>
    </row>
    <row r="954" customHeight="1" spans="1:9">
      <c r="A954" s="40"/>
      <c r="B954" s="45" t="s">
        <v>233</v>
      </c>
      <c r="C954" s="41" t="s">
        <v>273</v>
      </c>
      <c r="D954" s="41"/>
      <c r="E954" s="41" t="s">
        <v>96</v>
      </c>
      <c r="F954" s="41">
        <v>4</v>
      </c>
      <c r="G954" s="41">
        <v>420</v>
      </c>
      <c r="H954" s="46">
        <f t="shared" si="37"/>
        <v>1680</v>
      </c>
      <c r="I954" s="41"/>
    </row>
    <row r="955" customHeight="1" spans="1:9">
      <c r="A955" s="40"/>
      <c r="B955" s="45" t="s">
        <v>89</v>
      </c>
      <c r="C955" s="41" t="s">
        <v>274</v>
      </c>
      <c r="D955" s="41" t="s">
        <v>91</v>
      </c>
      <c r="E955" s="41" t="s">
        <v>23</v>
      </c>
      <c r="F955" s="41">
        <v>8</v>
      </c>
      <c r="G955" s="41">
        <v>209.86</v>
      </c>
      <c r="H955" s="46">
        <f t="shared" si="37"/>
        <v>1678.88</v>
      </c>
      <c r="I955" s="41"/>
    </row>
    <row r="956" customHeight="1" spans="1:9">
      <c r="A956" s="40"/>
      <c r="B956" s="45" t="s">
        <v>236</v>
      </c>
      <c r="C956" s="41" t="s">
        <v>263</v>
      </c>
      <c r="D956" s="41"/>
      <c r="E956" s="41" t="s">
        <v>96</v>
      </c>
      <c r="F956" s="41">
        <v>4</v>
      </c>
      <c r="G956" s="41">
        <v>841.2</v>
      </c>
      <c r="H956" s="46">
        <f t="shared" si="37"/>
        <v>3364.8</v>
      </c>
      <c r="I956" s="41"/>
    </row>
    <row r="957" customHeight="1" spans="1:9">
      <c r="A957" s="40"/>
      <c r="B957" s="45" t="s">
        <v>275</v>
      </c>
      <c r="C957" s="41" t="s">
        <v>276</v>
      </c>
      <c r="D957" s="41"/>
      <c r="E957" s="41" t="s">
        <v>96</v>
      </c>
      <c r="F957" s="41">
        <v>1</v>
      </c>
      <c r="G957" s="41">
        <f>G884</f>
        <v>13350.83</v>
      </c>
      <c r="H957" s="46">
        <f t="shared" si="37"/>
        <v>13350.83</v>
      </c>
      <c r="I957" s="41"/>
    </row>
    <row r="958" customHeight="1" spans="1:9">
      <c r="A958" s="40"/>
      <c r="B958" s="45" t="s">
        <v>221</v>
      </c>
      <c r="C958" s="41" t="s">
        <v>222</v>
      </c>
      <c r="D958" s="41"/>
      <c r="E958" s="41" t="s">
        <v>96</v>
      </c>
      <c r="F958" s="41">
        <v>2</v>
      </c>
      <c r="G958" s="17">
        <v>1796.61</v>
      </c>
      <c r="H958" s="46">
        <f t="shared" si="37"/>
        <v>3593.22</v>
      </c>
      <c r="I958" s="41"/>
    </row>
    <row r="959" customHeight="1" spans="1:9">
      <c r="A959" s="40"/>
      <c r="B959" s="45" t="s">
        <v>223</v>
      </c>
      <c r="C959" s="41" t="s">
        <v>224</v>
      </c>
      <c r="D959" s="41"/>
      <c r="E959" s="41" t="s">
        <v>96</v>
      </c>
      <c r="F959" s="41">
        <v>2</v>
      </c>
      <c r="G959" s="41">
        <v>137.92</v>
      </c>
      <c r="H959" s="46">
        <f t="shared" si="37"/>
        <v>275.84</v>
      </c>
      <c r="I959" s="41"/>
    </row>
    <row r="960" customHeight="1" spans="1:9">
      <c r="A960" s="40"/>
      <c r="B960" s="45" t="s">
        <v>225</v>
      </c>
      <c r="C960" s="41" t="s">
        <v>277</v>
      </c>
      <c r="D960" s="41"/>
      <c r="E960" s="41" t="s">
        <v>96</v>
      </c>
      <c r="F960" s="41">
        <v>1</v>
      </c>
      <c r="G960" s="41">
        <v>1560</v>
      </c>
      <c r="H960" s="46">
        <f t="shared" si="37"/>
        <v>1560</v>
      </c>
      <c r="I960" s="41"/>
    </row>
    <row r="961" customHeight="1" spans="1:9">
      <c r="A961" s="40"/>
      <c r="B961" s="45" t="s">
        <v>227</v>
      </c>
      <c r="C961" s="41" t="s">
        <v>278</v>
      </c>
      <c r="D961" s="41"/>
      <c r="E961" s="41" t="s">
        <v>96</v>
      </c>
      <c r="F961" s="41">
        <v>1</v>
      </c>
      <c r="G961" s="41">
        <v>5650</v>
      </c>
      <c r="H961" s="46">
        <f t="shared" si="37"/>
        <v>5650</v>
      </c>
      <c r="I961" s="41"/>
    </row>
    <row r="962" customHeight="1" spans="1:9">
      <c r="A962" s="40"/>
      <c r="B962" s="45" t="s">
        <v>229</v>
      </c>
      <c r="C962" s="41" t="s">
        <v>276</v>
      </c>
      <c r="D962" s="41"/>
      <c r="E962" s="41" t="s">
        <v>96</v>
      </c>
      <c r="F962" s="41">
        <v>2</v>
      </c>
      <c r="G962" s="41">
        <v>650</v>
      </c>
      <c r="H962" s="46">
        <f t="shared" si="37"/>
        <v>1300</v>
      </c>
      <c r="I962" s="41"/>
    </row>
    <row r="963" customHeight="1" spans="1:9">
      <c r="A963" s="40"/>
      <c r="B963" s="45" t="s">
        <v>229</v>
      </c>
      <c r="C963" s="41" t="s">
        <v>101</v>
      </c>
      <c r="D963" s="41"/>
      <c r="E963" s="41" t="s">
        <v>96</v>
      </c>
      <c r="F963" s="41">
        <v>1</v>
      </c>
      <c r="G963" s="41">
        <v>45</v>
      </c>
      <c r="H963" s="46">
        <f t="shared" si="37"/>
        <v>45</v>
      </c>
      <c r="I963" s="41"/>
    </row>
    <row r="964" customHeight="1" spans="1:9">
      <c r="A964" s="40"/>
      <c r="B964" s="45" t="s">
        <v>230</v>
      </c>
      <c r="C964" s="41" t="s">
        <v>101</v>
      </c>
      <c r="D964" s="41"/>
      <c r="E964" s="41" t="s">
        <v>96</v>
      </c>
      <c r="F964" s="41">
        <v>1</v>
      </c>
      <c r="G964" s="41">
        <v>45</v>
      </c>
      <c r="H964" s="46">
        <f t="shared" si="37"/>
        <v>45</v>
      </c>
      <c r="I964" s="41"/>
    </row>
    <row r="965" customHeight="1" spans="1:9">
      <c r="A965" s="40"/>
      <c r="B965" s="45" t="s">
        <v>231</v>
      </c>
      <c r="C965" s="41" t="s">
        <v>232</v>
      </c>
      <c r="D965" s="41"/>
      <c r="E965" s="41" t="s">
        <v>96</v>
      </c>
      <c r="F965" s="41">
        <v>2</v>
      </c>
      <c r="G965" s="41">
        <v>123.5</v>
      </c>
      <c r="H965" s="46">
        <f t="shared" si="37"/>
        <v>247</v>
      </c>
      <c r="I965" s="41"/>
    </row>
    <row r="966" customHeight="1" spans="1:9">
      <c r="A966" s="40"/>
      <c r="B966" s="45" t="s">
        <v>233</v>
      </c>
      <c r="C966" s="41" t="s">
        <v>279</v>
      </c>
      <c r="D966" s="41"/>
      <c r="E966" s="41" t="s">
        <v>96</v>
      </c>
      <c r="F966" s="41">
        <v>2</v>
      </c>
      <c r="G966" s="41">
        <v>686.55</v>
      </c>
      <c r="H966" s="46">
        <f t="shared" si="37"/>
        <v>1373.1</v>
      </c>
      <c r="I966" s="41"/>
    </row>
    <row r="967" customHeight="1" spans="1:9">
      <c r="A967" s="40"/>
      <c r="B967" s="45" t="s">
        <v>89</v>
      </c>
      <c r="C967" s="41" t="s">
        <v>276</v>
      </c>
      <c r="D967" s="41" t="s">
        <v>91</v>
      </c>
      <c r="E967" s="41" t="s">
        <v>23</v>
      </c>
      <c r="F967" s="41">
        <v>4</v>
      </c>
      <c r="G967" s="41">
        <v>545</v>
      </c>
      <c r="H967" s="46">
        <f t="shared" si="37"/>
        <v>2180</v>
      </c>
      <c r="I967" s="41"/>
    </row>
    <row r="968" customHeight="1" spans="1:9">
      <c r="A968" s="40"/>
      <c r="B968" s="45" t="s">
        <v>236</v>
      </c>
      <c r="C968" s="41" t="s">
        <v>280</v>
      </c>
      <c r="D968" s="41"/>
      <c r="E968" s="41" t="s">
        <v>96</v>
      </c>
      <c r="F968" s="41">
        <v>2</v>
      </c>
      <c r="G968" s="41">
        <v>1544.45</v>
      </c>
      <c r="H968" s="46">
        <f t="shared" si="37"/>
        <v>3088.9</v>
      </c>
      <c r="I968" s="41"/>
    </row>
    <row r="969" customHeight="1" spans="1:9">
      <c r="A969" s="40"/>
      <c r="B969" s="45" t="s">
        <v>132</v>
      </c>
      <c r="C969" s="41"/>
      <c r="D969" s="41"/>
      <c r="E969" s="41" t="s">
        <v>23</v>
      </c>
      <c r="F969" s="41">
        <v>364</v>
      </c>
      <c r="G969" s="41">
        <f>G44</f>
        <v>3.79</v>
      </c>
      <c r="H969" s="46">
        <f t="shared" si="37"/>
        <v>1379.56</v>
      </c>
      <c r="I969" s="41"/>
    </row>
    <row r="970" customHeight="1" spans="1:9">
      <c r="A970" s="40"/>
      <c r="B970" s="45" t="s">
        <v>133</v>
      </c>
      <c r="C970" s="41"/>
      <c r="D970" s="41"/>
      <c r="E970" s="41" t="s">
        <v>23</v>
      </c>
      <c r="F970" s="41">
        <v>364</v>
      </c>
      <c r="G970" s="41">
        <v>29.46</v>
      </c>
      <c r="H970" s="46">
        <f t="shared" si="37"/>
        <v>10723.44</v>
      </c>
      <c r="I970" s="41"/>
    </row>
    <row r="971" customHeight="1" spans="1:9">
      <c r="A971" s="40"/>
      <c r="B971" s="45" t="s">
        <v>281</v>
      </c>
      <c r="C971" s="40"/>
      <c r="D971" s="41"/>
      <c r="E971" s="41" t="s">
        <v>130</v>
      </c>
      <c r="F971" s="41">
        <v>1</v>
      </c>
      <c r="G971" s="41">
        <v>80000</v>
      </c>
      <c r="H971" s="46">
        <f t="shared" si="37"/>
        <v>80000</v>
      </c>
      <c r="I971" s="69"/>
    </row>
    <row r="972" customHeight="1" spans="1:9">
      <c r="A972" s="40"/>
      <c r="B972" s="45" t="s">
        <v>191</v>
      </c>
      <c r="C972" s="40"/>
      <c r="D972" s="41" t="s">
        <v>192</v>
      </c>
      <c r="E972" s="40" t="s">
        <v>137</v>
      </c>
      <c r="F972" s="41">
        <v>364</v>
      </c>
      <c r="G972" s="41">
        <f>G241</f>
        <v>180.73</v>
      </c>
      <c r="H972" s="46">
        <f t="shared" si="37"/>
        <v>65785.72</v>
      </c>
      <c r="I972" s="69"/>
    </row>
    <row r="973" s="2" customFormat="1" ht="18.75" customHeight="1" spans="1:14">
      <c r="A973" s="40"/>
      <c r="B973" s="68" t="s">
        <v>163</v>
      </c>
      <c r="C973" s="16"/>
      <c r="D973" s="16"/>
      <c r="E973" s="9" t="s">
        <v>164</v>
      </c>
      <c r="F973" s="17">
        <f>364*(1*2.1)</f>
        <v>764.4</v>
      </c>
      <c r="G973" s="17">
        <f>G65</f>
        <v>14.43</v>
      </c>
      <c r="H973" s="18">
        <f t="shared" si="37"/>
        <v>11030.292</v>
      </c>
      <c r="I973" s="16"/>
      <c r="L973" s="25"/>
      <c r="N973" s="5"/>
    </row>
    <row r="974" s="2" customFormat="1" ht="18.75" customHeight="1" spans="1:14">
      <c r="A974" s="40"/>
      <c r="B974" s="68" t="s">
        <v>165</v>
      </c>
      <c r="C974" s="16"/>
      <c r="D974" s="16"/>
      <c r="E974" s="9" t="s">
        <v>164</v>
      </c>
      <c r="F974" s="17">
        <f>364*(1*1.8)</f>
        <v>655.2</v>
      </c>
      <c r="G974" s="17">
        <f>G66</f>
        <v>14.49</v>
      </c>
      <c r="H974" s="18">
        <f t="shared" si="37"/>
        <v>9493.848</v>
      </c>
      <c r="I974" s="16"/>
      <c r="L974" s="25"/>
      <c r="N974" s="5"/>
    </row>
    <row r="975" s="2" customFormat="1" ht="18.75" customHeight="1" spans="1:14">
      <c r="A975" s="40"/>
      <c r="B975" s="68" t="s">
        <v>166</v>
      </c>
      <c r="C975" s="16"/>
      <c r="D975" s="16"/>
      <c r="E975" s="9" t="s">
        <v>164</v>
      </c>
      <c r="F975" s="17">
        <f>364*(1*0.2)</f>
        <v>72.8</v>
      </c>
      <c r="G975" s="17">
        <f>G67</f>
        <v>16.87</v>
      </c>
      <c r="H975" s="18">
        <f t="shared" si="37"/>
        <v>1228.136</v>
      </c>
      <c r="I975" s="16"/>
      <c r="L975" s="25"/>
      <c r="N975" s="5"/>
    </row>
    <row r="976" s="2" customFormat="1" ht="18.75" customHeight="1" spans="1:14">
      <c r="A976" s="40"/>
      <c r="B976" s="68" t="s">
        <v>167</v>
      </c>
      <c r="C976" s="16"/>
      <c r="D976" s="16"/>
      <c r="E976" s="9" t="s">
        <v>164</v>
      </c>
      <c r="F976" s="17">
        <f>364*(1*0.2)</f>
        <v>72.8</v>
      </c>
      <c r="G976" s="17">
        <v>209.39</v>
      </c>
      <c r="H976" s="18">
        <f t="shared" si="37"/>
        <v>15243.592</v>
      </c>
      <c r="I976" s="16"/>
      <c r="L976" s="25"/>
      <c r="N976" s="5"/>
    </row>
    <row r="977" ht="18.95" customHeight="1" spans="1:9">
      <c r="A977" s="40"/>
      <c r="B977" s="23" t="s">
        <v>168</v>
      </c>
      <c r="C977" s="41"/>
      <c r="D977" s="41"/>
      <c r="E977" s="41" t="s">
        <v>169</v>
      </c>
      <c r="F977" s="41"/>
      <c r="G977" s="41"/>
      <c r="H977" s="46">
        <f>SUM(H943:H976)</f>
        <v>392183.878</v>
      </c>
      <c r="I977" s="58"/>
    </row>
    <row r="978" customHeight="1" spans="1:9">
      <c r="A978" s="65">
        <v>19</v>
      </c>
      <c r="B978" s="44" t="s">
        <v>285</v>
      </c>
      <c r="C978" s="44"/>
      <c r="D978" s="44"/>
      <c r="E978" s="44"/>
      <c r="F978" s="44"/>
      <c r="G978" s="44"/>
      <c r="H978" s="44"/>
      <c r="I978" s="53"/>
    </row>
    <row r="979" customHeight="1" spans="1:9">
      <c r="A979" s="40"/>
      <c r="B979" s="45" t="s">
        <v>84</v>
      </c>
      <c r="C979" s="41" t="s">
        <v>286</v>
      </c>
      <c r="D979" s="41" t="s">
        <v>86</v>
      </c>
      <c r="E979" s="41" t="s">
        <v>23</v>
      </c>
      <c r="F979" s="41">
        <v>510</v>
      </c>
      <c r="G979" s="17">
        <v>167.58</v>
      </c>
      <c r="H979" s="46">
        <f t="shared" ref="H979:H1005" si="38">F979*G979</f>
        <v>85465.8</v>
      </c>
      <c r="I979" s="41" t="s">
        <v>267</v>
      </c>
    </row>
    <row r="980" customHeight="1" spans="1:9">
      <c r="A980" s="40"/>
      <c r="B980" s="45" t="s">
        <v>84</v>
      </c>
      <c r="C980" s="41" t="s">
        <v>85</v>
      </c>
      <c r="D980" s="41" t="s">
        <v>86</v>
      </c>
      <c r="E980" s="41" t="s">
        <v>23</v>
      </c>
      <c r="F980" s="41">
        <v>355</v>
      </c>
      <c r="G980" s="17">
        <v>67.71</v>
      </c>
      <c r="H980" s="46">
        <f t="shared" si="38"/>
        <v>24037.05</v>
      </c>
      <c r="I980" s="41" t="s">
        <v>267</v>
      </c>
    </row>
    <row r="981" customHeight="1" spans="1:9">
      <c r="A981" s="40"/>
      <c r="B981" s="45" t="s">
        <v>275</v>
      </c>
      <c r="C981" s="41" t="s">
        <v>94</v>
      </c>
      <c r="D981" s="41"/>
      <c r="E981" s="41" t="s">
        <v>96</v>
      </c>
      <c r="F981" s="41">
        <v>1</v>
      </c>
      <c r="G981" s="41">
        <f>G884</f>
        <v>13350.83</v>
      </c>
      <c r="H981" s="46">
        <f t="shared" si="38"/>
        <v>13350.83</v>
      </c>
      <c r="I981" s="41"/>
    </row>
    <row r="982" customHeight="1" spans="1:9">
      <c r="A982" s="40"/>
      <c r="B982" s="45" t="s">
        <v>221</v>
      </c>
      <c r="C982" s="41" t="s">
        <v>287</v>
      </c>
      <c r="D982" s="41"/>
      <c r="E982" s="41" t="s">
        <v>96</v>
      </c>
      <c r="F982" s="41">
        <v>2</v>
      </c>
      <c r="G982" s="41">
        <v>1770.08</v>
      </c>
      <c r="H982" s="46">
        <f t="shared" si="38"/>
        <v>3540.16</v>
      </c>
      <c r="I982" s="41"/>
    </row>
    <row r="983" customHeight="1" spans="1:9">
      <c r="A983" s="40"/>
      <c r="B983" s="45" t="s">
        <v>223</v>
      </c>
      <c r="C983" s="41" t="s">
        <v>224</v>
      </c>
      <c r="D983" s="41"/>
      <c r="E983" s="41" t="s">
        <v>96</v>
      </c>
      <c r="F983" s="41">
        <v>2</v>
      </c>
      <c r="G983" s="41">
        <v>137.92</v>
      </c>
      <c r="H983" s="46">
        <f t="shared" si="38"/>
        <v>275.84</v>
      </c>
      <c r="I983" s="41"/>
    </row>
    <row r="984" customHeight="1" spans="1:9">
      <c r="A984" s="40"/>
      <c r="B984" s="45" t="s">
        <v>225</v>
      </c>
      <c r="C984" s="41" t="s">
        <v>271</v>
      </c>
      <c r="D984" s="41"/>
      <c r="E984" s="41" t="s">
        <v>96</v>
      </c>
      <c r="F984" s="41">
        <v>1</v>
      </c>
      <c r="G984" s="41">
        <v>692.74</v>
      </c>
      <c r="H984" s="46">
        <f t="shared" si="38"/>
        <v>692.74</v>
      </c>
      <c r="I984" s="41"/>
    </row>
    <row r="985" customHeight="1" spans="1:9">
      <c r="A985" s="40"/>
      <c r="B985" s="45" t="s">
        <v>227</v>
      </c>
      <c r="C985" s="41" t="s">
        <v>272</v>
      </c>
      <c r="D985" s="41"/>
      <c r="E985" s="41" t="s">
        <v>96</v>
      </c>
      <c r="F985" s="41">
        <v>1</v>
      </c>
      <c r="G985" s="41">
        <v>1770.08</v>
      </c>
      <c r="H985" s="46">
        <f t="shared" si="38"/>
        <v>1770.08</v>
      </c>
      <c r="I985" s="41"/>
    </row>
    <row r="986" customHeight="1" spans="1:9">
      <c r="A986" s="40"/>
      <c r="B986" s="45" t="s">
        <v>229</v>
      </c>
      <c r="C986" s="41" t="s">
        <v>94</v>
      </c>
      <c r="D986" s="41"/>
      <c r="E986" s="41" t="s">
        <v>96</v>
      </c>
      <c r="F986" s="41">
        <v>2</v>
      </c>
      <c r="G986" s="41">
        <v>120</v>
      </c>
      <c r="H986" s="46">
        <f t="shared" si="38"/>
        <v>240</v>
      </c>
      <c r="I986" s="41"/>
    </row>
    <row r="987" customHeight="1" spans="1:9">
      <c r="A987" s="40"/>
      <c r="B987" s="45" t="s">
        <v>229</v>
      </c>
      <c r="C987" s="41" t="s">
        <v>101</v>
      </c>
      <c r="D987" s="41"/>
      <c r="E987" s="41" t="s">
        <v>96</v>
      </c>
      <c r="F987" s="41">
        <v>1</v>
      </c>
      <c r="G987" s="41">
        <v>45</v>
      </c>
      <c r="H987" s="46">
        <f t="shared" si="38"/>
        <v>45</v>
      </c>
      <c r="I987" s="41"/>
    </row>
    <row r="988" customHeight="1" spans="1:9">
      <c r="A988" s="40"/>
      <c r="B988" s="45" t="s">
        <v>230</v>
      </c>
      <c r="C988" s="41" t="s">
        <v>101</v>
      </c>
      <c r="D988" s="41"/>
      <c r="E988" s="41" t="s">
        <v>96</v>
      </c>
      <c r="F988" s="41">
        <v>1</v>
      </c>
      <c r="G988" s="41">
        <v>45</v>
      </c>
      <c r="H988" s="46">
        <f t="shared" si="38"/>
        <v>45</v>
      </c>
      <c r="I988" s="41"/>
    </row>
    <row r="989" customHeight="1" spans="1:9">
      <c r="A989" s="40"/>
      <c r="B989" s="45" t="s">
        <v>231</v>
      </c>
      <c r="C989" s="41" t="s">
        <v>232</v>
      </c>
      <c r="D989" s="41"/>
      <c r="E989" s="41" t="s">
        <v>96</v>
      </c>
      <c r="F989" s="41">
        <v>2</v>
      </c>
      <c r="G989" s="41">
        <v>123.5</v>
      </c>
      <c r="H989" s="46">
        <f t="shared" si="38"/>
        <v>247</v>
      </c>
      <c r="I989" s="41"/>
    </row>
    <row r="990" customHeight="1" spans="1:9">
      <c r="A990" s="40"/>
      <c r="B990" s="45" t="s">
        <v>233</v>
      </c>
      <c r="C990" s="41" t="s">
        <v>273</v>
      </c>
      <c r="D990" s="41"/>
      <c r="E990" s="41" t="s">
        <v>96</v>
      </c>
      <c r="F990" s="41">
        <v>2</v>
      </c>
      <c r="G990" s="41">
        <v>449.64</v>
      </c>
      <c r="H990" s="46">
        <f t="shared" si="38"/>
        <v>899.28</v>
      </c>
      <c r="I990" s="41"/>
    </row>
    <row r="991" customHeight="1" spans="1:9">
      <c r="A991" s="40"/>
      <c r="B991" s="45" t="s">
        <v>89</v>
      </c>
      <c r="C991" s="41" t="s">
        <v>274</v>
      </c>
      <c r="D991" s="41"/>
      <c r="E991" s="41" t="s">
        <v>23</v>
      </c>
      <c r="F991" s="41">
        <v>4</v>
      </c>
      <c r="G991" s="41">
        <v>218.81</v>
      </c>
      <c r="H991" s="46">
        <f t="shared" si="38"/>
        <v>875.24</v>
      </c>
      <c r="I991" s="41"/>
    </row>
    <row r="992" customHeight="1" spans="1:9">
      <c r="A992" s="40"/>
      <c r="B992" s="45" t="s">
        <v>236</v>
      </c>
      <c r="C992" s="41" t="s">
        <v>263</v>
      </c>
      <c r="D992" s="41"/>
      <c r="E992" s="41" t="s">
        <v>96</v>
      </c>
      <c r="F992" s="41">
        <v>2</v>
      </c>
      <c r="G992" s="41">
        <v>841.2</v>
      </c>
      <c r="H992" s="46">
        <f t="shared" si="38"/>
        <v>1682.4</v>
      </c>
      <c r="I992" s="41"/>
    </row>
    <row r="993" customHeight="1" spans="1:9">
      <c r="A993" s="40"/>
      <c r="B993" s="45" t="s">
        <v>275</v>
      </c>
      <c r="C993" s="41" t="s">
        <v>98</v>
      </c>
      <c r="D993" s="41"/>
      <c r="E993" s="41" t="s">
        <v>96</v>
      </c>
      <c r="F993" s="41">
        <v>2</v>
      </c>
      <c r="G993" s="41">
        <f>G884</f>
        <v>13350.83</v>
      </c>
      <c r="H993" s="46">
        <f t="shared" si="38"/>
        <v>26701.66</v>
      </c>
      <c r="I993" s="41"/>
    </row>
    <row r="994" customHeight="1" spans="1:9">
      <c r="A994" s="40"/>
      <c r="B994" s="45" t="s">
        <v>221</v>
      </c>
      <c r="C994" s="41" t="s">
        <v>288</v>
      </c>
      <c r="D994" s="41"/>
      <c r="E994" s="41" t="s">
        <v>96</v>
      </c>
      <c r="F994" s="41">
        <v>4</v>
      </c>
      <c r="G994" s="41">
        <v>2874.81</v>
      </c>
      <c r="H994" s="46">
        <f t="shared" si="38"/>
        <v>11499.24</v>
      </c>
      <c r="I994" s="41"/>
    </row>
    <row r="995" customHeight="1" spans="1:9">
      <c r="A995" s="40"/>
      <c r="B995" s="45" t="s">
        <v>223</v>
      </c>
      <c r="C995" s="41" t="s">
        <v>224</v>
      </c>
      <c r="D995" s="41"/>
      <c r="E995" s="41" t="s">
        <v>96</v>
      </c>
      <c r="F995" s="41">
        <v>4</v>
      </c>
      <c r="G995" s="41">
        <v>137.92</v>
      </c>
      <c r="H995" s="46">
        <f t="shared" si="38"/>
        <v>551.68</v>
      </c>
      <c r="I995" s="41"/>
    </row>
    <row r="996" customHeight="1" spans="1:9">
      <c r="A996" s="40"/>
      <c r="B996" s="45" t="s">
        <v>225</v>
      </c>
      <c r="C996" s="41" t="s">
        <v>289</v>
      </c>
      <c r="D996" s="41"/>
      <c r="E996" s="41" t="s">
        <v>96</v>
      </c>
      <c r="F996" s="41">
        <v>2</v>
      </c>
      <c r="G996" s="41">
        <v>580.9</v>
      </c>
      <c r="H996" s="46">
        <f t="shared" si="38"/>
        <v>1161.8</v>
      </c>
      <c r="I996" s="41"/>
    </row>
    <row r="997" customHeight="1" spans="1:9">
      <c r="A997" s="40"/>
      <c r="B997" s="45" t="s">
        <v>227</v>
      </c>
      <c r="C997" s="41" t="s">
        <v>290</v>
      </c>
      <c r="D997" s="41"/>
      <c r="E997" s="41" t="s">
        <v>96</v>
      </c>
      <c r="F997" s="41">
        <v>2</v>
      </c>
      <c r="G997" s="41">
        <v>2874.81</v>
      </c>
      <c r="H997" s="46">
        <f t="shared" si="38"/>
        <v>5749.62</v>
      </c>
      <c r="I997" s="41"/>
    </row>
    <row r="998" customHeight="1" spans="1:9">
      <c r="A998" s="40"/>
      <c r="B998" s="45" t="s">
        <v>229</v>
      </c>
      <c r="C998" s="41" t="s">
        <v>98</v>
      </c>
      <c r="D998" s="41"/>
      <c r="E998" s="41" t="s">
        <v>96</v>
      </c>
      <c r="F998" s="41">
        <v>4</v>
      </c>
      <c r="G998" s="41">
        <v>90</v>
      </c>
      <c r="H998" s="46">
        <f t="shared" si="38"/>
        <v>360</v>
      </c>
      <c r="I998" s="41"/>
    </row>
    <row r="999" customHeight="1" spans="1:9">
      <c r="A999" s="40"/>
      <c r="B999" s="45" t="s">
        <v>229</v>
      </c>
      <c r="C999" s="41" t="s">
        <v>101</v>
      </c>
      <c r="D999" s="41"/>
      <c r="E999" s="41" t="s">
        <v>96</v>
      </c>
      <c r="F999" s="41">
        <v>2</v>
      </c>
      <c r="G999" s="41">
        <v>45</v>
      </c>
      <c r="H999" s="46">
        <f t="shared" si="38"/>
        <v>90</v>
      </c>
      <c r="I999" s="41"/>
    </row>
    <row r="1000" customHeight="1" spans="1:9">
      <c r="A1000" s="40"/>
      <c r="B1000" s="45" t="s">
        <v>230</v>
      </c>
      <c r="C1000" s="41" t="s">
        <v>101</v>
      </c>
      <c r="D1000" s="41"/>
      <c r="E1000" s="41" t="s">
        <v>96</v>
      </c>
      <c r="F1000" s="41">
        <v>2</v>
      </c>
      <c r="G1000" s="41">
        <v>45</v>
      </c>
      <c r="H1000" s="46">
        <f t="shared" si="38"/>
        <v>90</v>
      </c>
      <c r="I1000" s="41"/>
    </row>
    <row r="1001" customHeight="1" spans="1:9">
      <c r="A1001" s="40"/>
      <c r="B1001" s="45" t="s">
        <v>231</v>
      </c>
      <c r="C1001" s="41" t="s">
        <v>232</v>
      </c>
      <c r="D1001" s="41"/>
      <c r="E1001" s="41" t="s">
        <v>96</v>
      </c>
      <c r="F1001" s="41">
        <v>2</v>
      </c>
      <c r="G1001" s="41">
        <v>123.5</v>
      </c>
      <c r="H1001" s="46">
        <f t="shared" si="38"/>
        <v>247</v>
      </c>
      <c r="I1001" s="41"/>
    </row>
    <row r="1002" customHeight="1" spans="1:9">
      <c r="A1002" s="40"/>
      <c r="B1002" s="45" t="s">
        <v>233</v>
      </c>
      <c r="C1002" s="41" t="s">
        <v>291</v>
      </c>
      <c r="D1002" s="41"/>
      <c r="E1002" s="41" t="s">
        <v>96</v>
      </c>
      <c r="F1002" s="41">
        <v>4</v>
      </c>
      <c r="G1002" s="41">
        <v>112.63</v>
      </c>
      <c r="H1002" s="46">
        <f t="shared" si="38"/>
        <v>450.52</v>
      </c>
      <c r="I1002" s="41"/>
    </row>
    <row r="1003" customHeight="1" spans="1:9">
      <c r="A1003" s="40"/>
      <c r="B1003" s="45" t="s">
        <v>89</v>
      </c>
      <c r="C1003" s="41" t="s">
        <v>292</v>
      </c>
      <c r="D1003" s="41" t="s">
        <v>91</v>
      </c>
      <c r="E1003" s="41" t="s">
        <v>23</v>
      </c>
      <c r="F1003" s="41">
        <v>8</v>
      </c>
      <c r="G1003" s="41">
        <v>125.33</v>
      </c>
      <c r="H1003" s="46">
        <f t="shared" si="38"/>
        <v>1002.64</v>
      </c>
      <c r="I1003" s="41"/>
    </row>
    <row r="1004" customHeight="1" spans="1:9">
      <c r="A1004" s="40"/>
      <c r="B1004" s="45" t="s">
        <v>236</v>
      </c>
      <c r="C1004" s="41" t="s">
        <v>124</v>
      </c>
      <c r="D1004" s="41"/>
      <c r="E1004" s="41" t="s">
        <v>96</v>
      </c>
      <c r="F1004" s="41">
        <v>4</v>
      </c>
      <c r="G1004" s="41">
        <v>263.71</v>
      </c>
      <c r="H1004" s="46">
        <f t="shared" si="38"/>
        <v>1054.84</v>
      </c>
      <c r="I1004" s="41"/>
    </row>
    <row r="1005" customHeight="1" spans="1:9">
      <c r="A1005" s="40"/>
      <c r="B1005" s="45" t="s">
        <v>191</v>
      </c>
      <c r="C1005" s="40"/>
      <c r="D1005" s="41" t="s">
        <v>192</v>
      </c>
      <c r="E1005" s="40" t="s">
        <v>137</v>
      </c>
      <c r="F1005" s="41">
        <v>865</v>
      </c>
      <c r="G1005" s="41">
        <f>G241</f>
        <v>180.73</v>
      </c>
      <c r="H1005" s="46">
        <f t="shared" si="38"/>
        <v>156331.45</v>
      </c>
      <c r="I1005" s="69"/>
    </row>
    <row r="1006" s="2" customFormat="1" ht="18.75" customHeight="1" spans="1:14">
      <c r="A1006" s="40"/>
      <c r="B1006" s="68" t="s">
        <v>163</v>
      </c>
      <c r="C1006" s="16"/>
      <c r="D1006" s="16"/>
      <c r="E1006" s="9" t="s">
        <v>164</v>
      </c>
      <c r="F1006" s="17">
        <f>865*(1*2.1)</f>
        <v>1816.5</v>
      </c>
      <c r="G1006" s="17">
        <f>G65</f>
        <v>14.43</v>
      </c>
      <c r="H1006" s="18">
        <f t="shared" ref="H1006:H1009" si="39">F1006*G1006</f>
        <v>26212.095</v>
      </c>
      <c r="I1006" s="16"/>
      <c r="L1006" s="25"/>
      <c r="N1006" s="5"/>
    </row>
    <row r="1007" s="2" customFormat="1" ht="18.75" customHeight="1" spans="1:14">
      <c r="A1007" s="40"/>
      <c r="B1007" s="68" t="s">
        <v>165</v>
      </c>
      <c r="C1007" s="16"/>
      <c r="D1007" s="16"/>
      <c r="E1007" s="9" t="s">
        <v>164</v>
      </c>
      <c r="F1007" s="17">
        <f>865*(1*1.8)</f>
        <v>1557</v>
      </c>
      <c r="G1007" s="17">
        <f>G66</f>
        <v>14.49</v>
      </c>
      <c r="H1007" s="18">
        <f t="shared" si="39"/>
        <v>22560.93</v>
      </c>
      <c r="I1007" s="16"/>
      <c r="L1007" s="25"/>
      <c r="N1007" s="5"/>
    </row>
    <row r="1008" s="2" customFormat="1" ht="18.75" customHeight="1" spans="1:14">
      <c r="A1008" s="40"/>
      <c r="B1008" s="68" t="s">
        <v>166</v>
      </c>
      <c r="C1008" s="16"/>
      <c r="D1008" s="16"/>
      <c r="E1008" s="9" t="s">
        <v>164</v>
      </c>
      <c r="F1008" s="17">
        <f>865*(1*0.2)</f>
        <v>173</v>
      </c>
      <c r="G1008" s="17">
        <f>G67</f>
        <v>16.87</v>
      </c>
      <c r="H1008" s="18">
        <f t="shared" si="39"/>
        <v>2918.51</v>
      </c>
      <c r="I1008" s="16"/>
      <c r="L1008" s="25"/>
      <c r="N1008" s="5"/>
    </row>
    <row r="1009" s="2" customFormat="1" ht="18.75" customHeight="1" spans="1:14">
      <c r="A1009" s="40"/>
      <c r="B1009" s="68" t="s">
        <v>167</v>
      </c>
      <c r="C1009" s="16"/>
      <c r="D1009" s="16"/>
      <c r="E1009" s="9" t="s">
        <v>164</v>
      </c>
      <c r="F1009" s="17">
        <f>865*(1*0.2)</f>
        <v>173</v>
      </c>
      <c r="G1009" s="17">
        <v>209.39</v>
      </c>
      <c r="H1009" s="18">
        <f t="shared" si="39"/>
        <v>36224.47</v>
      </c>
      <c r="I1009" s="16"/>
      <c r="L1009" s="25"/>
      <c r="N1009" s="5"/>
    </row>
    <row r="1010" ht="18.95" customHeight="1" spans="1:9">
      <c r="A1010" s="40"/>
      <c r="B1010" s="23" t="s">
        <v>168</v>
      </c>
      <c r="C1010" s="41"/>
      <c r="D1010" s="41"/>
      <c r="E1010" s="41" t="s">
        <v>169</v>
      </c>
      <c r="F1010" s="41"/>
      <c r="G1010" s="41"/>
      <c r="H1010" s="46">
        <f>SUM(H979:H1009)</f>
        <v>426372.875</v>
      </c>
      <c r="I1010" s="58"/>
    </row>
    <row r="1011" ht="18.75" customHeight="1" spans="1:9">
      <c r="A1011" s="65" t="s">
        <v>43</v>
      </c>
      <c r="B1011" s="44" t="s">
        <v>44</v>
      </c>
      <c r="C1011" s="44"/>
      <c r="D1011" s="44"/>
      <c r="E1011" s="44"/>
      <c r="F1011" s="44"/>
      <c r="G1011" s="44"/>
      <c r="H1011" s="44"/>
      <c r="I1011" s="53"/>
    </row>
    <row r="1012" ht="18.75" customHeight="1" spans="1:9">
      <c r="A1012" s="40"/>
      <c r="B1012" s="45" t="s">
        <v>84</v>
      </c>
      <c r="C1012" s="41" t="s">
        <v>194</v>
      </c>
      <c r="D1012" s="41" t="s">
        <v>86</v>
      </c>
      <c r="E1012" s="41" t="s">
        <v>23</v>
      </c>
      <c r="F1012" s="41">
        <v>665</v>
      </c>
      <c r="G1012" s="17">
        <v>353.21</v>
      </c>
      <c r="H1012" s="46">
        <f t="shared" ref="H1012:H1039" si="40">F1012*G1012</f>
        <v>234884.65</v>
      </c>
      <c r="I1012" s="41"/>
    </row>
    <row r="1013" ht="18.75" customHeight="1" spans="1:9">
      <c r="A1013" s="40"/>
      <c r="B1013" s="45" t="s">
        <v>84</v>
      </c>
      <c r="C1013" s="41" t="s">
        <v>171</v>
      </c>
      <c r="D1013" s="41" t="s">
        <v>86</v>
      </c>
      <c r="E1013" s="41" t="s">
        <v>23</v>
      </c>
      <c r="F1013" s="41">
        <v>0</v>
      </c>
      <c r="G1013" s="17">
        <v>78.32</v>
      </c>
      <c r="H1013" s="46">
        <f t="shared" si="40"/>
        <v>0</v>
      </c>
      <c r="I1013" s="41"/>
    </row>
    <row r="1014" ht="18.75" customHeight="1" spans="1:9">
      <c r="A1014" s="40"/>
      <c r="B1014" s="45" t="s">
        <v>84</v>
      </c>
      <c r="C1014" s="41" t="s">
        <v>85</v>
      </c>
      <c r="D1014" s="41" t="s">
        <v>86</v>
      </c>
      <c r="E1014" s="41" t="s">
        <v>23</v>
      </c>
      <c r="F1014" s="41">
        <v>211</v>
      </c>
      <c r="G1014" s="17">
        <v>67.71</v>
      </c>
      <c r="H1014" s="46">
        <f t="shared" si="40"/>
        <v>14286.81</v>
      </c>
      <c r="I1014" s="41"/>
    </row>
    <row r="1015" ht="18.75" customHeight="1" spans="1:9">
      <c r="A1015" s="40"/>
      <c r="B1015" s="45" t="s">
        <v>84</v>
      </c>
      <c r="C1015" s="41" t="s">
        <v>87</v>
      </c>
      <c r="D1015" s="41" t="s">
        <v>86</v>
      </c>
      <c r="E1015" s="41" t="s">
        <v>23</v>
      </c>
      <c r="F1015" s="41">
        <v>412</v>
      </c>
      <c r="G1015" s="17">
        <v>39.37</v>
      </c>
      <c r="H1015" s="46">
        <f t="shared" si="40"/>
        <v>16220.44</v>
      </c>
      <c r="I1015" s="41"/>
    </row>
    <row r="1016" ht="18.75" customHeight="1" spans="1:9">
      <c r="A1016" s="40"/>
      <c r="B1016" s="45" t="s">
        <v>84</v>
      </c>
      <c r="C1016" s="41" t="s">
        <v>88</v>
      </c>
      <c r="D1016" s="41" t="s">
        <v>86</v>
      </c>
      <c r="E1016" s="41" t="s">
        <v>23</v>
      </c>
      <c r="F1016" s="41"/>
      <c r="G1016" s="41">
        <v>31.5</v>
      </c>
      <c r="H1016" s="46">
        <f t="shared" si="40"/>
        <v>0</v>
      </c>
      <c r="I1016" s="41"/>
    </row>
    <row r="1017" ht="18.75" customHeight="1" spans="1:9">
      <c r="A1017" s="40"/>
      <c r="B1017" s="45" t="s">
        <v>89</v>
      </c>
      <c r="C1017" s="41" t="s">
        <v>173</v>
      </c>
      <c r="D1017" s="41" t="s">
        <v>91</v>
      </c>
      <c r="E1017" s="41" t="s">
        <v>23</v>
      </c>
      <c r="F1017" s="41">
        <v>35</v>
      </c>
      <c r="G1017" s="17">
        <v>125.33</v>
      </c>
      <c r="H1017" s="46">
        <f t="shared" si="40"/>
        <v>4386.55</v>
      </c>
      <c r="I1017" s="41"/>
    </row>
    <row r="1018" ht="18.75" customHeight="1" spans="1:9">
      <c r="A1018" s="40"/>
      <c r="B1018" s="45" t="s">
        <v>89</v>
      </c>
      <c r="C1018" s="41" t="s">
        <v>90</v>
      </c>
      <c r="D1018" s="41" t="s">
        <v>91</v>
      </c>
      <c r="E1018" s="41" t="s">
        <v>23</v>
      </c>
      <c r="F1018" s="41">
        <v>946</v>
      </c>
      <c r="G1018" s="17">
        <v>91.41</v>
      </c>
      <c r="H1018" s="46">
        <f t="shared" si="40"/>
        <v>86473.86</v>
      </c>
      <c r="I1018" s="41"/>
    </row>
    <row r="1019" ht="18.75" customHeight="1" spans="1:9">
      <c r="A1019" s="40"/>
      <c r="B1019" s="45" t="s">
        <v>89</v>
      </c>
      <c r="C1019" s="41" t="s">
        <v>92</v>
      </c>
      <c r="D1019" s="41" t="s">
        <v>91</v>
      </c>
      <c r="E1019" s="41" t="s">
        <v>23</v>
      </c>
      <c r="F1019" s="41">
        <v>2130</v>
      </c>
      <c r="G1019" s="17">
        <v>77.13</v>
      </c>
      <c r="H1019" s="46">
        <f t="shared" si="40"/>
        <v>164286.9</v>
      </c>
      <c r="I1019" s="41"/>
    </row>
    <row r="1020" customHeight="1" spans="1:9">
      <c r="A1020" s="40"/>
      <c r="B1020" s="45" t="s">
        <v>93</v>
      </c>
      <c r="C1020" s="41" t="s">
        <v>94</v>
      </c>
      <c r="D1020" s="41" t="s">
        <v>95</v>
      </c>
      <c r="E1020" s="41" t="s">
        <v>96</v>
      </c>
      <c r="F1020" s="41">
        <v>1</v>
      </c>
      <c r="G1020" s="41">
        <v>112.63</v>
      </c>
      <c r="H1020" s="46">
        <f t="shared" si="40"/>
        <v>112.63</v>
      </c>
      <c r="I1020" s="79" t="s">
        <v>97</v>
      </c>
    </row>
    <row r="1021" ht="18.75" customHeight="1" spans="1:9">
      <c r="A1021" s="40"/>
      <c r="B1021" s="45" t="s">
        <v>93</v>
      </c>
      <c r="C1021" s="41" t="s">
        <v>98</v>
      </c>
      <c r="D1021" s="41" t="s">
        <v>95</v>
      </c>
      <c r="E1021" s="41" t="s">
        <v>96</v>
      </c>
      <c r="F1021" s="41">
        <v>20</v>
      </c>
      <c r="G1021" s="41">
        <v>56.95</v>
      </c>
      <c r="H1021" s="46">
        <f t="shared" si="40"/>
        <v>1139</v>
      </c>
      <c r="I1021" s="41" t="s">
        <v>97</v>
      </c>
    </row>
    <row r="1022" ht="18.75" customHeight="1" spans="1:9">
      <c r="A1022" s="40"/>
      <c r="B1022" s="45" t="s">
        <v>93</v>
      </c>
      <c r="C1022" s="41" t="s">
        <v>99</v>
      </c>
      <c r="D1022" s="41" t="s">
        <v>95</v>
      </c>
      <c r="E1022" s="41" t="s">
        <v>96</v>
      </c>
      <c r="F1022" s="41"/>
      <c r="G1022" s="41">
        <v>40.19</v>
      </c>
      <c r="H1022" s="46">
        <f t="shared" si="40"/>
        <v>0</v>
      </c>
      <c r="I1022" s="41" t="s">
        <v>97</v>
      </c>
    </row>
    <row r="1023" ht="18.95" customHeight="1" spans="1:17">
      <c r="A1023" s="40"/>
      <c r="B1023" s="45" t="s">
        <v>100</v>
      </c>
      <c r="C1023" s="41" t="s">
        <v>98</v>
      </c>
      <c r="D1023" s="41" t="s">
        <v>91</v>
      </c>
      <c r="E1023" s="41" t="s">
        <v>96</v>
      </c>
      <c r="F1023" s="41">
        <v>2</v>
      </c>
      <c r="G1023" s="17">
        <v>132.78</v>
      </c>
      <c r="H1023" s="46">
        <f t="shared" si="40"/>
        <v>265.56</v>
      </c>
      <c r="I1023" s="41"/>
      <c r="J1023" s="56">
        <f t="shared" ref="J1023" si="41">H1023/$H$69</f>
        <v>0.000267270889725797</v>
      </c>
      <c r="K1023" s="55"/>
      <c r="L1023" s="55"/>
      <c r="M1023" s="55"/>
      <c r="N1023" s="55"/>
      <c r="O1023" s="55"/>
      <c r="P1023" s="55"/>
      <c r="Q1023" s="55"/>
    </row>
    <row r="1024" ht="18.75" customHeight="1" spans="1:9">
      <c r="A1024" s="40"/>
      <c r="B1024" s="45" t="s">
        <v>100</v>
      </c>
      <c r="C1024" s="41" t="s">
        <v>101</v>
      </c>
      <c r="D1024" s="41" t="s">
        <v>91</v>
      </c>
      <c r="E1024" s="41" t="s">
        <v>96</v>
      </c>
      <c r="F1024" s="41">
        <v>284</v>
      </c>
      <c r="G1024" s="41">
        <v>68.16</v>
      </c>
      <c r="H1024" s="46">
        <f t="shared" si="40"/>
        <v>19357.44</v>
      </c>
      <c r="I1024" s="41"/>
    </row>
    <row r="1025" ht="18.75" customHeight="1" spans="1:17">
      <c r="A1025" s="40"/>
      <c r="B1025" s="45" t="s">
        <v>100</v>
      </c>
      <c r="C1025" s="41" t="s">
        <v>102</v>
      </c>
      <c r="D1025" s="41" t="s">
        <v>91</v>
      </c>
      <c r="E1025" s="41" t="s">
        <v>96</v>
      </c>
      <c r="F1025" s="41"/>
      <c r="G1025" s="17">
        <v>57.26</v>
      </c>
      <c r="H1025" s="46">
        <f t="shared" si="40"/>
        <v>0</v>
      </c>
      <c r="I1025" s="41"/>
      <c r="J1025" s="56">
        <f t="shared" ref="J1025" si="42">H1025/$H$69</f>
        <v>0</v>
      </c>
      <c r="K1025" s="55"/>
      <c r="L1025" s="55"/>
      <c r="M1025" s="55"/>
      <c r="N1025" s="55"/>
      <c r="O1025" s="55"/>
      <c r="P1025" s="55"/>
      <c r="Q1025" s="55"/>
    </row>
    <row r="1026" ht="18.75" customHeight="1" spans="1:9">
      <c r="A1026" s="40"/>
      <c r="B1026" s="45" t="s">
        <v>103</v>
      </c>
      <c r="C1026" s="41" t="s">
        <v>104</v>
      </c>
      <c r="D1026" s="41" t="s">
        <v>91</v>
      </c>
      <c r="E1026" s="41" t="s">
        <v>96</v>
      </c>
      <c r="F1026" s="41">
        <v>6</v>
      </c>
      <c r="G1026" s="17">
        <v>290.02</v>
      </c>
      <c r="H1026" s="46">
        <f t="shared" si="40"/>
        <v>1740.12</v>
      </c>
      <c r="I1026" s="41"/>
    </row>
    <row r="1027" ht="18.75" customHeight="1" spans="1:9">
      <c r="A1027" s="40"/>
      <c r="B1027" s="45" t="s">
        <v>103</v>
      </c>
      <c r="C1027" s="41" t="s">
        <v>106</v>
      </c>
      <c r="D1027" s="41" t="s">
        <v>91</v>
      </c>
      <c r="E1027" s="41" t="s">
        <v>96</v>
      </c>
      <c r="F1027" s="41">
        <v>136</v>
      </c>
      <c r="G1027" s="41">
        <v>127.06</v>
      </c>
      <c r="H1027" s="46">
        <f t="shared" si="40"/>
        <v>17280.16</v>
      </c>
      <c r="I1027" s="41"/>
    </row>
    <row r="1028" ht="18.75" customHeight="1" spans="1:9">
      <c r="A1028" s="40"/>
      <c r="B1028" s="45" t="s">
        <v>108</v>
      </c>
      <c r="C1028" s="41" t="s">
        <v>101</v>
      </c>
      <c r="D1028" s="41" t="s">
        <v>91</v>
      </c>
      <c r="E1028" s="41" t="s">
        <v>96</v>
      </c>
      <c r="F1028" s="41">
        <v>19</v>
      </c>
      <c r="G1028" s="41">
        <v>65</v>
      </c>
      <c r="H1028" s="46">
        <f t="shared" si="40"/>
        <v>1235</v>
      </c>
      <c r="I1028" s="41"/>
    </row>
    <row r="1029" customHeight="1" spans="1:9">
      <c r="A1029" s="40"/>
      <c r="B1029" s="45" t="s">
        <v>108</v>
      </c>
      <c r="C1029" s="41" t="s">
        <v>98</v>
      </c>
      <c r="D1029" s="41" t="s">
        <v>91</v>
      </c>
      <c r="E1029" s="41" t="s">
        <v>96</v>
      </c>
      <c r="F1029" s="41">
        <v>1</v>
      </c>
      <c r="G1029" s="41">
        <v>85</v>
      </c>
      <c r="H1029" s="46">
        <f t="shared" si="40"/>
        <v>85</v>
      </c>
      <c r="I1029" s="41"/>
    </row>
    <row r="1030" customHeight="1" spans="1:9">
      <c r="A1030" s="40"/>
      <c r="B1030" s="45" t="s">
        <v>109</v>
      </c>
      <c r="C1030" s="41" t="s">
        <v>110</v>
      </c>
      <c r="D1030" s="41"/>
      <c r="E1030" s="41" t="s">
        <v>96</v>
      </c>
      <c r="F1030" s="41">
        <v>1</v>
      </c>
      <c r="G1030" s="41">
        <v>82.3</v>
      </c>
      <c r="H1030" s="46">
        <f t="shared" si="40"/>
        <v>82.3</v>
      </c>
      <c r="I1030" s="41"/>
    </row>
    <row r="1031" ht="18.75" customHeight="1" spans="1:9">
      <c r="A1031" s="40"/>
      <c r="B1031" s="45" t="s">
        <v>111</v>
      </c>
      <c r="C1031" s="41" t="s">
        <v>112</v>
      </c>
      <c r="D1031" s="41"/>
      <c r="E1031" s="41" t="s">
        <v>96</v>
      </c>
      <c r="F1031" s="41">
        <v>2</v>
      </c>
      <c r="G1031" s="17">
        <v>94.07</v>
      </c>
      <c r="H1031" s="46">
        <f t="shared" si="40"/>
        <v>188.14</v>
      </c>
      <c r="I1031" s="41"/>
    </row>
    <row r="1032" ht="18.75" customHeight="1" spans="1:9">
      <c r="A1032" s="40"/>
      <c r="B1032" s="45" t="s">
        <v>111</v>
      </c>
      <c r="C1032" s="41" t="s">
        <v>113</v>
      </c>
      <c r="D1032" s="41"/>
      <c r="E1032" s="41" t="s">
        <v>96</v>
      </c>
      <c r="F1032" s="41">
        <v>2</v>
      </c>
      <c r="G1032" s="17">
        <v>94.07</v>
      </c>
      <c r="H1032" s="46">
        <f t="shared" ref="H1032" si="43">F1032*G1032</f>
        <v>188.14</v>
      </c>
      <c r="I1032" s="41"/>
    </row>
    <row r="1033" ht="18.75" customHeight="1" spans="1:9">
      <c r="A1033" s="40"/>
      <c r="B1033" s="45" t="s">
        <v>111</v>
      </c>
      <c r="C1033" s="41" t="s">
        <v>197</v>
      </c>
      <c r="D1033" s="41"/>
      <c r="E1033" s="41" t="s">
        <v>96</v>
      </c>
      <c r="F1033" s="41">
        <v>4</v>
      </c>
      <c r="G1033" s="41">
        <v>85.5</v>
      </c>
      <c r="H1033" s="46">
        <f t="shared" si="40"/>
        <v>342</v>
      </c>
      <c r="I1033" s="41"/>
    </row>
    <row r="1034" ht="18.75" customHeight="1" spans="1:9">
      <c r="A1034" s="40"/>
      <c r="B1034" s="45" t="s">
        <v>198</v>
      </c>
      <c r="C1034" s="41" t="s">
        <v>113</v>
      </c>
      <c r="D1034" s="41"/>
      <c r="E1034" s="41" t="s">
        <v>96</v>
      </c>
      <c r="F1034" s="45">
        <v>4</v>
      </c>
      <c r="G1034" s="45">
        <v>98.43</v>
      </c>
      <c r="H1034" s="46">
        <f t="shared" si="40"/>
        <v>393.72</v>
      </c>
      <c r="I1034" s="41"/>
    </row>
    <row r="1035" ht="18.75" customHeight="1" spans="1:9">
      <c r="A1035" s="40"/>
      <c r="B1035" s="45" t="s">
        <v>118</v>
      </c>
      <c r="C1035" s="41" t="s">
        <v>119</v>
      </c>
      <c r="D1035" s="41"/>
      <c r="E1035" s="41" t="s">
        <v>96</v>
      </c>
      <c r="F1035" s="45">
        <v>2</v>
      </c>
      <c r="G1035" s="45">
        <v>90.8</v>
      </c>
      <c r="H1035" s="46">
        <f t="shared" si="40"/>
        <v>181.6</v>
      </c>
      <c r="I1035" s="41"/>
    </row>
    <row r="1036" ht="18.95" customHeight="1" spans="1:10">
      <c r="A1036" s="40"/>
      <c r="B1036" s="45" t="s">
        <v>118</v>
      </c>
      <c r="C1036" s="41" t="s">
        <v>120</v>
      </c>
      <c r="D1036" s="41"/>
      <c r="E1036" s="41" t="s">
        <v>96</v>
      </c>
      <c r="F1036" s="45">
        <v>6</v>
      </c>
      <c r="G1036" s="45">
        <v>83.94</v>
      </c>
      <c r="H1036" s="46">
        <f t="shared" si="40"/>
        <v>503.64</v>
      </c>
      <c r="I1036" s="41"/>
      <c r="J1036" s="56">
        <f t="shared" ref="J1036" si="44">H1036/$H$69</f>
        <v>0.000506884737541424</v>
      </c>
    </row>
    <row r="1037" ht="18.75" customHeight="1" spans="1:9">
      <c r="A1037" s="40"/>
      <c r="B1037" s="45" t="s">
        <v>122</v>
      </c>
      <c r="C1037" s="41" t="s">
        <v>119</v>
      </c>
      <c r="D1037" s="41"/>
      <c r="E1037" s="41" t="s">
        <v>96</v>
      </c>
      <c r="F1037" s="45">
        <v>11</v>
      </c>
      <c r="G1037" s="45">
        <v>96.25</v>
      </c>
      <c r="H1037" s="46">
        <f t="shared" si="40"/>
        <v>1058.75</v>
      </c>
      <c r="I1037" s="41"/>
    </row>
    <row r="1038" ht="18.75" customHeight="1" spans="1:9">
      <c r="A1038" s="40"/>
      <c r="B1038" s="45" t="s">
        <v>122</v>
      </c>
      <c r="C1038" s="41" t="s">
        <v>120</v>
      </c>
      <c r="D1038" s="41"/>
      <c r="E1038" s="41" t="s">
        <v>96</v>
      </c>
      <c r="F1038" s="45">
        <v>21</v>
      </c>
      <c r="G1038" s="45">
        <v>94.07</v>
      </c>
      <c r="H1038" s="46">
        <f t="shared" si="40"/>
        <v>1975.47</v>
      </c>
      <c r="I1038" s="41"/>
    </row>
    <row r="1039" ht="18.95" customHeight="1" spans="1:10">
      <c r="A1039" s="40"/>
      <c r="B1039" s="45" t="s">
        <v>123</v>
      </c>
      <c r="C1039" s="41" t="s">
        <v>124</v>
      </c>
      <c r="D1039" s="41"/>
      <c r="E1039" s="41" t="s">
        <v>96</v>
      </c>
      <c r="F1039" s="41">
        <v>1</v>
      </c>
      <c r="G1039" s="41">
        <v>263.71</v>
      </c>
      <c r="H1039" s="46">
        <f t="shared" si="40"/>
        <v>263.71</v>
      </c>
      <c r="I1039" s="41"/>
      <c r="J1039" s="56">
        <f t="shared" ref="J1039" si="45">H1039/$H$69</f>
        <v>0.000265408970965469</v>
      </c>
    </row>
    <row r="1040" ht="18.75" customHeight="1" spans="1:9">
      <c r="A1040" s="40"/>
      <c r="B1040" s="45" t="s">
        <v>123</v>
      </c>
      <c r="C1040" s="41" t="s">
        <v>125</v>
      </c>
      <c r="D1040" s="41"/>
      <c r="E1040" s="41" t="s">
        <v>96</v>
      </c>
      <c r="F1040" s="41">
        <v>16</v>
      </c>
      <c r="G1040" s="41">
        <v>182.55</v>
      </c>
      <c r="H1040" s="46">
        <f t="shared" ref="H1040:H1049" si="46">F1040*G1040</f>
        <v>2920.8</v>
      </c>
      <c r="I1040" s="41"/>
    </row>
    <row r="1041" ht="18.95" customHeight="1" spans="1:9">
      <c r="A1041" s="40"/>
      <c r="B1041" s="45" t="s">
        <v>127</v>
      </c>
      <c r="C1041" s="41" t="s">
        <v>98</v>
      </c>
      <c r="D1041" s="41"/>
      <c r="E1041" s="41" t="s">
        <v>96</v>
      </c>
      <c r="F1041" s="41">
        <v>1</v>
      </c>
      <c r="G1041" s="17">
        <v>2874.81</v>
      </c>
      <c r="H1041" s="46">
        <f t="shared" si="46"/>
        <v>2874.81</v>
      </c>
      <c r="I1041" s="41"/>
    </row>
    <row r="1042" ht="18.75" customHeight="1" spans="1:9">
      <c r="A1042" s="40"/>
      <c r="B1042" s="45" t="s">
        <v>127</v>
      </c>
      <c r="C1042" s="41" t="s">
        <v>101</v>
      </c>
      <c r="D1042" s="41"/>
      <c r="E1042" s="41" t="s">
        <v>96</v>
      </c>
      <c r="F1042" s="41">
        <v>19</v>
      </c>
      <c r="G1042" s="17">
        <f>G40</f>
        <v>1682.16</v>
      </c>
      <c r="H1042" s="46">
        <f t="shared" si="46"/>
        <v>31961.04</v>
      </c>
      <c r="I1042" s="41"/>
    </row>
    <row r="1043" ht="18.75" customHeight="1" spans="1:9">
      <c r="A1043" s="40"/>
      <c r="B1043" s="45" t="s">
        <v>127</v>
      </c>
      <c r="C1043" s="41" t="s">
        <v>102</v>
      </c>
      <c r="D1043" s="41"/>
      <c r="E1043" s="41" t="s">
        <v>96</v>
      </c>
      <c r="F1043" s="41">
        <v>142</v>
      </c>
      <c r="G1043" s="17">
        <f>G41</f>
        <v>280</v>
      </c>
      <c r="H1043" s="46">
        <f t="shared" si="46"/>
        <v>39760</v>
      </c>
      <c r="I1043" s="41"/>
    </row>
    <row r="1044" ht="18.75" customHeight="1" spans="1:9">
      <c r="A1044" s="40"/>
      <c r="B1044" s="45" t="s">
        <v>128</v>
      </c>
      <c r="C1044" s="41" t="s">
        <v>199</v>
      </c>
      <c r="D1044" s="41"/>
      <c r="E1044" s="41" t="s">
        <v>130</v>
      </c>
      <c r="F1044" s="41">
        <v>3</v>
      </c>
      <c r="G1044" s="17">
        <f>G282</f>
        <v>24974.08</v>
      </c>
      <c r="H1044" s="46">
        <f t="shared" si="46"/>
        <v>74922.24</v>
      </c>
      <c r="I1044" s="41"/>
    </row>
    <row r="1045" ht="18.75" customHeight="1" spans="1:9">
      <c r="A1045" s="40"/>
      <c r="B1045" s="45" t="s">
        <v>131</v>
      </c>
      <c r="C1045" s="41"/>
      <c r="D1045" s="41"/>
      <c r="E1045" s="41" t="s">
        <v>130</v>
      </c>
      <c r="F1045" s="41">
        <v>3</v>
      </c>
      <c r="G1045" s="41">
        <v>1220</v>
      </c>
      <c r="H1045" s="46">
        <f t="shared" si="46"/>
        <v>3660</v>
      </c>
      <c r="I1045" s="41"/>
    </row>
    <row r="1046" ht="18.75" customHeight="1" spans="1:9">
      <c r="A1046" s="40"/>
      <c r="B1046" s="45" t="s">
        <v>135</v>
      </c>
      <c r="C1046" s="40" t="s">
        <v>136</v>
      </c>
      <c r="D1046" s="41"/>
      <c r="E1046" s="41" t="s">
        <v>137</v>
      </c>
      <c r="F1046" s="41">
        <v>18</v>
      </c>
      <c r="G1046" s="51">
        <f>0.04*7.85*4*5.5*1.45</f>
        <v>10.0166</v>
      </c>
      <c r="H1046" s="46">
        <f t="shared" si="46"/>
        <v>180.2988</v>
      </c>
      <c r="I1046" s="58"/>
    </row>
    <row r="1047" ht="18.75" customHeight="1" spans="1:9">
      <c r="A1047" s="40"/>
      <c r="B1047" s="45" t="s">
        <v>138</v>
      </c>
      <c r="C1047" s="41" t="s">
        <v>139</v>
      </c>
      <c r="D1047" s="41"/>
      <c r="E1047" s="41" t="s">
        <v>140</v>
      </c>
      <c r="F1047" s="41">
        <v>6</v>
      </c>
      <c r="G1047" s="51">
        <f>3.77*5.5*1.45</f>
        <v>30.06575</v>
      </c>
      <c r="H1047" s="46">
        <f t="shared" si="46"/>
        <v>180.3945</v>
      </c>
      <c r="I1047" s="58" t="s">
        <v>141</v>
      </c>
    </row>
    <row r="1048" ht="18.75" customHeight="1" spans="1:9">
      <c r="A1048" s="40"/>
      <c r="B1048" s="45" t="s">
        <v>142</v>
      </c>
      <c r="C1048" s="41" t="s">
        <v>98</v>
      </c>
      <c r="D1048" s="41" t="s">
        <v>95</v>
      </c>
      <c r="E1048" s="41" t="s">
        <v>137</v>
      </c>
      <c r="F1048" s="41">
        <v>21</v>
      </c>
      <c r="G1048" s="17">
        <v>125.33</v>
      </c>
      <c r="H1048" s="46">
        <f t="shared" si="46"/>
        <v>2631.93</v>
      </c>
      <c r="I1048" s="41"/>
    </row>
    <row r="1049" ht="18.75" customHeight="1" spans="1:9">
      <c r="A1049" s="40"/>
      <c r="B1049" s="45" t="s">
        <v>143</v>
      </c>
      <c r="C1049" s="41" t="s">
        <v>144</v>
      </c>
      <c r="D1049" s="41"/>
      <c r="E1049" s="41" t="s">
        <v>137</v>
      </c>
      <c r="F1049" s="41">
        <v>3</v>
      </c>
      <c r="G1049" s="41">
        <v>12.6</v>
      </c>
      <c r="H1049" s="46">
        <f t="shared" si="46"/>
        <v>37.8</v>
      </c>
      <c r="I1049" s="41"/>
    </row>
    <row r="1050" ht="18.75" customHeight="1" spans="1:9">
      <c r="A1050" s="40"/>
      <c r="B1050" s="45" t="s">
        <v>132</v>
      </c>
      <c r="C1050" s="41"/>
      <c r="D1050" s="41"/>
      <c r="E1050" s="41" t="s">
        <v>23</v>
      </c>
      <c r="F1050" s="41">
        <v>623</v>
      </c>
      <c r="G1050" s="41">
        <f>G44</f>
        <v>3.79</v>
      </c>
      <c r="H1050" s="46">
        <f t="shared" ref="H1050:H1055" si="47">F1050*G1050</f>
        <v>2361.17</v>
      </c>
      <c r="I1050" s="41"/>
    </row>
    <row r="1051" ht="18.75" customHeight="1" spans="1:9">
      <c r="A1051" s="40"/>
      <c r="B1051" s="45" t="s">
        <v>133</v>
      </c>
      <c r="C1051" s="41"/>
      <c r="D1051" s="41"/>
      <c r="E1051" s="41" t="s">
        <v>23</v>
      </c>
      <c r="F1051" s="41">
        <v>623</v>
      </c>
      <c r="G1051" s="41">
        <v>29.46</v>
      </c>
      <c r="H1051" s="46">
        <f t="shared" si="47"/>
        <v>18353.58</v>
      </c>
      <c r="I1051" s="41"/>
    </row>
    <row r="1052" ht="18.75" customHeight="1" spans="1:9">
      <c r="A1052" s="40"/>
      <c r="B1052" s="45" t="s">
        <v>134</v>
      </c>
      <c r="C1052" s="41" t="s">
        <v>101</v>
      </c>
      <c r="D1052" s="41"/>
      <c r="E1052" s="41" t="s">
        <v>96</v>
      </c>
      <c r="F1052" s="41">
        <v>200</v>
      </c>
      <c r="G1052" s="17">
        <v>109.75</v>
      </c>
      <c r="H1052" s="46">
        <f t="shared" si="47"/>
        <v>21950</v>
      </c>
      <c r="I1052" s="41"/>
    </row>
    <row r="1053" ht="18.95" customHeight="1" spans="1:9">
      <c r="A1053" s="40"/>
      <c r="B1053" s="45" t="s">
        <v>134</v>
      </c>
      <c r="C1053" s="41" t="s">
        <v>98</v>
      </c>
      <c r="D1053" s="41"/>
      <c r="E1053" s="41" t="s">
        <v>96</v>
      </c>
      <c r="F1053" s="41">
        <v>6</v>
      </c>
      <c r="G1053" s="17">
        <v>125.57</v>
      </c>
      <c r="H1053" s="46">
        <f t="shared" si="47"/>
        <v>753.42</v>
      </c>
      <c r="I1053" s="41"/>
    </row>
    <row r="1054" ht="18.75" customHeight="1" spans="1:9">
      <c r="A1054" s="40"/>
      <c r="B1054" s="45" t="s">
        <v>135</v>
      </c>
      <c r="C1054" s="40" t="s">
        <v>136</v>
      </c>
      <c r="D1054" s="41"/>
      <c r="E1054" s="41" t="s">
        <v>137</v>
      </c>
      <c r="F1054" s="41">
        <v>821</v>
      </c>
      <c r="G1054" s="51">
        <f>0.04*7.85*4*5.5*1.45</f>
        <v>10.0166</v>
      </c>
      <c r="H1054" s="46">
        <f t="shared" si="47"/>
        <v>8223.6286</v>
      </c>
      <c r="I1054" s="58"/>
    </row>
    <row r="1055" ht="18.75" customHeight="1" spans="1:9">
      <c r="A1055" s="40"/>
      <c r="B1055" s="45" t="s">
        <v>138</v>
      </c>
      <c r="C1055" s="41" t="s">
        <v>139</v>
      </c>
      <c r="D1055" s="41"/>
      <c r="E1055" s="41" t="s">
        <v>140</v>
      </c>
      <c r="F1055" s="41">
        <v>50</v>
      </c>
      <c r="G1055" s="51">
        <f>3.77*5.5*1.45</f>
        <v>30.06575</v>
      </c>
      <c r="H1055" s="46">
        <f t="shared" si="47"/>
        <v>1503.2875</v>
      </c>
      <c r="I1055" s="58" t="s">
        <v>141</v>
      </c>
    </row>
    <row r="1056" ht="18.75" customHeight="1" spans="1:9">
      <c r="A1056" s="40"/>
      <c r="B1056" s="45" t="s">
        <v>142</v>
      </c>
      <c r="C1056" s="41" t="s">
        <v>101</v>
      </c>
      <c r="D1056" s="41" t="s">
        <v>95</v>
      </c>
      <c r="E1056" s="41" t="s">
        <v>137</v>
      </c>
      <c r="F1056" s="41">
        <v>107</v>
      </c>
      <c r="G1056" s="41">
        <v>91.41</v>
      </c>
      <c r="H1056" s="46">
        <f t="shared" ref="H1056:H1057" si="48">F1056*G1056</f>
        <v>9780.87</v>
      </c>
      <c r="I1056" s="41"/>
    </row>
    <row r="1057" ht="18.75" customHeight="1" spans="1:9">
      <c r="A1057" s="40"/>
      <c r="B1057" s="45" t="s">
        <v>143</v>
      </c>
      <c r="C1057" s="41" t="s">
        <v>144</v>
      </c>
      <c r="D1057" s="41"/>
      <c r="E1057" s="41" t="s">
        <v>137</v>
      </c>
      <c r="F1057" s="41">
        <v>11</v>
      </c>
      <c r="G1057" s="41">
        <v>12.6</v>
      </c>
      <c r="H1057" s="46">
        <f t="shared" si="48"/>
        <v>138.6</v>
      </c>
      <c r="I1057" s="41"/>
    </row>
    <row r="1058" ht="18.75" customHeight="1" spans="1:9">
      <c r="A1058" s="70"/>
      <c r="B1058" s="71" t="s">
        <v>200</v>
      </c>
      <c r="C1058" s="72" t="s">
        <v>201</v>
      </c>
      <c r="D1058" s="72"/>
      <c r="E1058" s="72" t="s">
        <v>202</v>
      </c>
      <c r="F1058" s="72">
        <v>5</v>
      </c>
      <c r="G1058" s="73">
        <f>G296</f>
        <v>6923.78</v>
      </c>
      <c r="H1058" s="46">
        <f t="shared" ref="H1058:H1070" si="49">F1058*G1058</f>
        <v>34618.9</v>
      </c>
      <c r="I1058" s="74"/>
    </row>
    <row r="1059" ht="18.75" customHeight="1" spans="1:9">
      <c r="A1059" s="70"/>
      <c r="B1059" s="71" t="s">
        <v>203</v>
      </c>
      <c r="C1059" s="72" t="s">
        <v>204</v>
      </c>
      <c r="D1059" s="72"/>
      <c r="E1059" s="72" t="s">
        <v>96</v>
      </c>
      <c r="F1059" s="72">
        <v>5</v>
      </c>
      <c r="G1059" s="73">
        <v>2980.25</v>
      </c>
      <c r="H1059" s="46">
        <f t="shared" si="49"/>
        <v>14901.25</v>
      </c>
      <c r="I1059" s="75"/>
    </row>
    <row r="1060" ht="18.75" customHeight="1" spans="1:9">
      <c r="A1060" s="40"/>
      <c r="B1060" s="45" t="s">
        <v>205</v>
      </c>
      <c r="C1060" s="41" t="s">
        <v>146</v>
      </c>
      <c r="D1060" s="41" t="s">
        <v>147</v>
      </c>
      <c r="E1060" s="41" t="s">
        <v>148</v>
      </c>
      <c r="F1060" s="41">
        <v>401</v>
      </c>
      <c r="G1060" s="41">
        <v>501.96</v>
      </c>
      <c r="H1060" s="46">
        <f t="shared" si="49"/>
        <v>201285.96</v>
      </c>
      <c r="I1060" s="41" t="s">
        <v>206</v>
      </c>
    </row>
    <row r="1061" ht="18.75" customHeight="1" spans="1:9">
      <c r="A1061" s="40"/>
      <c r="B1061" s="45" t="s">
        <v>151</v>
      </c>
      <c r="C1061" s="41"/>
      <c r="D1061" s="41"/>
      <c r="E1061" s="41" t="s">
        <v>96</v>
      </c>
      <c r="F1061" s="41">
        <f>F1060*2</f>
        <v>802</v>
      </c>
      <c r="G1061" s="41">
        <v>18.45</v>
      </c>
      <c r="H1061" s="46">
        <f t="shared" si="49"/>
        <v>14796.9</v>
      </c>
      <c r="I1061" s="41"/>
    </row>
    <row r="1062" ht="18.75" customHeight="1" spans="1:11">
      <c r="A1062" s="40"/>
      <c r="B1062" s="45" t="s">
        <v>152</v>
      </c>
      <c r="C1062" s="41"/>
      <c r="D1062" s="41"/>
      <c r="E1062" s="41" t="s">
        <v>96</v>
      </c>
      <c r="F1062" s="41">
        <f>F1060</f>
        <v>401</v>
      </c>
      <c r="G1062" s="41">
        <v>358</v>
      </c>
      <c r="H1062" s="46">
        <f t="shared" si="49"/>
        <v>143558</v>
      </c>
      <c r="I1062" s="41"/>
      <c r="K1062" s="39">
        <f>4*0.04*7.85*5</f>
        <v>6.28</v>
      </c>
    </row>
    <row r="1063" ht="18.75" customHeight="1" spans="1:9">
      <c r="A1063" s="40"/>
      <c r="B1063" s="45" t="s">
        <v>150</v>
      </c>
      <c r="C1063" s="41"/>
      <c r="D1063" s="41"/>
      <c r="E1063" s="41" t="s">
        <v>137</v>
      </c>
      <c r="F1063" s="41">
        <f>F1060</f>
        <v>401</v>
      </c>
      <c r="G1063" s="41">
        <v>30.25</v>
      </c>
      <c r="H1063" s="46">
        <f t="shared" si="49"/>
        <v>12130.25</v>
      </c>
      <c r="I1063" s="58"/>
    </row>
    <row r="1064" ht="18.75" customHeight="1" spans="1:9">
      <c r="A1064" s="40"/>
      <c r="B1064" s="45" t="s">
        <v>207</v>
      </c>
      <c r="C1064" s="41"/>
      <c r="D1064" s="41"/>
      <c r="E1064" s="41" t="s">
        <v>96</v>
      </c>
      <c r="F1064" s="41">
        <f>F1060*2</f>
        <v>802</v>
      </c>
      <c r="G1064" s="41">
        <f>G58</f>
        <v>89.38</v>
      </c>
      <c r="H1064" s="46">
        <f t="shared" si="49"/>
        <v>71682.76</v>
      </c>
      <c r="I1064" s="58"/>
    </row>
    <row r="1065" ht="18.75" customHeight="1" spans="1:9">
      <c r="A1065" s="40"/>
      <c r="B1065" s="45" t="s">
        <v>208</v>
      </c>
      <c r="C1065" s="40"/>
      <c r="D1065" s="41"/>
      <c r="E1065" s="41" t="s">
        <v>96</v>
      </c>
      <c r="F1065" s="41">
        <f>F1060</f>
        <v>401</v>
      </c>
      <c r="G1065" s="41">
        <f>G59</f>
        <v>111.4</v>
      </c>
      <c r="H1065" s="46">
        <f t="shared" si="49"/>
        <v>44671.4</v>
      </c>
      <c r="I1065" s="58"/>
    </row>
    <row r="1066" ht="18.75" customHeight="1" spans="1:9">
      <c r="A1066" s="40"/>
      <c r="B1066" s="45" t="s">
        <v>209</v>
      </c>
      <c r="C1066" s="41"/>
      <c r="D1066" s="41"/>
      <c r="E1066" s="41" t="s">
        <v>96</v>
      </c>
      <c r="F1066" s="41">
        <f>F1060*3</f>
        <v>1203</v>
      </c>
      <c r="G1066" s="41">
        <v>49.43</v>
      </c>
      <c r="H1066" s="46">
        <f t="shared" si="49"/>
        <v>59464.29</v>
      </c>
      <c r="I1066" s="58"/>
    </row>
    <row r="1067" ht="18.75" customHeight="1" spans="1:9">
      <c r="A1067" s="40"/>
      <c r="B1067" s="45" t="s">
        <v>210</v>
      </c>
      <c r="C1067" s="41"/>
      <c r="D1067" s="41" t="s">
        <v>91</v>
      </c>
      <c r="E1067" s="41" t="s">
        <v>96</v>
      </c>
      <c r="F1067" s="41">
        <f>F1060*3</f>
        <v>1203</v>
      </c>
      <c r="G1067" s="41">
        <v>4.2</v>
      </c>
      <c r="H1067" s="46">
        <f t="shared" si="49"/>
        <v>5052.6</v>
      </c>
      <c r="I1067" s="58"/>
    </row>
    <row r="1068" ht="18.75" customHeight="1" spans="1:9">
      <c r="A1068" s="40"/>
      <c r="B1068" s="45" t="s">
        <v>211</v>
      </c>
      <c r="C1068" s="41"/>
      <c r="D1068" s="41" t="s">
        <v>91</v>
      </c>
      <c r="E1068" s="41" t="s">
        <v>96</v>
      </c>
      <c r="F1068" s="41">
        <f>F1060*2</f>
        <v>802</v>
      </c>
      <c r="G1068" s="41">
        <v>3.85</v>
      </c>
      <c r="H1068" s="46">
        <f t="shared" si="49"/>
        <v>3087.7</v>
      </c>
      <c r="I1068" s="58"/>
    </row>
    <row r="1069" ht="18.75" customHeight="1" spans="1:9">
      <c r="A1069" s="40"/>
      <c r="B1069" s="45" t="s">
        <v>212</v>
      </c>
      <c r="C1069" s="41"/>
      <c r="D1069" s="41" t="s">
        <v>91</v>
      </c>
      <c r="E1069" s="41" t="s">
        <v>96</v>
      </c>
      <c r="F1069" s="41">
        <f>F1060</f>
        <v>401</v>
      </c>
      <c r="G1069" s="41">
        <v>25.14</v>
      </c>
      <c r="H1069" s="46">
        <f t="shared" si="49"/>
        <v>10081.14</v>
      </c>
      <c r="I1069" s="58"/>
    </row>
    <row r="1070" ht="18.75" customHeight="1" spans="1:9">
      <c r="A1070" s="70"/>
      <c r="B1070" s="71" t="s">
        <v>162</v>
      </c>
      <c r="C1070" s="72"/>
      <c r="D1070" s="72" t="s">
        <v>91</v>
      </c>
      <c r="E1070" s="72" t="s">
        <v>96</v>
      </c>
      <c r="F1070" s="72">
        <f>F1060*2</f>
        <v>802</v>
      </c>
      <c r="G1070" s="41">
        <v>85.5</v>
      </c>
      <c r="H1070" s="46">
        <f t="shared" si="49"/>
        <v>68571</v>
      </c>
      <c r="I1070" s="76"/>
    </row>
    <row r="1071" s="2" customFormat="1" ht="18.75" customHeight="1" spans="1:14">
      <c r="A1071" s="70"/>
      <c r="B1071" s="68" t="s">
        <v>163</v>
      </c>
      <c r="C1071" s="16"/>
      <c r="D1071" s="16"/>
      <c r="E1071" s="9" t="s">
        <v>164</v>
      </c>
      <c r="F1071" s="17">
        <f>1288*(1*2.1)</f>
        <v>2704.8</v>
      </c>
      <c r="G1071" s="17">
        <f>G65</f>
        <v>14.43</v>
      </c>
      <c r="H1071" s="18">
        <f t="shared" ref="H1071:H1074" si="50">F1071*G1071</f>
        <v>39030.264</v>
      </c>
      <c r="I1071" s="16"/>
      <c r="L1071" s="25"/>
      <c r="N1071" s="5"/>
    </row>
    <row r="1072" s="2" customFormat="1" ht="18.75" customHeight="1" spans="1:14">
      <c r="A1072" s="70"/>
      <c r="B1072" s="68" t="s">
        <v>165</v>
      </c>
      <c r="C1072" s="16"/>
      <c r="D1072" s="16"/>
      <c r="E1072" s="9" t="s">
        <v>164</v>
      </c>
      <c r="F1072" s="17">
        <f>1288*(1*1.8)</f>
        <v>2318.4</v>
      </c>
      <c r="G1072" s="17">
        <f>G66</f>
        <v>14.49</v>
      </c>
      <c r="H1072" s="18">
        <f t="shared" si="50"/>
        <v>33593.616</v>
      </c>
      <c r="I1072" s="16"/>
      <c r="L1072" s="25"/>
      <c r="N1072" s="5"/>
    </row>
    <row r="1073" s="2" customFormat="1" ht="18.75" customHeight="1" spans="1:14">
      <c r="A1073" s="70"/>
      <c r="B1073" s="68" t="s">
        <v>166</v>
      </c>
      <c r="C1073" s="16"/>
      <c r="D1073" s="16"/>
      <c r="E1073" s="9" t="s">
        <v>164</v>
      </c>
      <c r="F1073" s="17">
        <f>1288*(1*0.2)</f>
        <v>257.6</v>
      </c>
      <c r="G1073" s="17">
        <f>G67</f>
        <v>16.87</v>
      </c>
      <c r="H1073" s="18">
        <f t="shared" si="50"/>
        <v>4345.712</v>
      </c>
      <c r="I1073" s="16"/>
      <c r="L1073" s="25"/>
      <c r="N1073" s="5"/>
    </row>
    <row r="1074" s="2" customFormat="1" ht="18.75" customHeight="1" spans="1:14">
      <c r="A1074" s="70"/>
      <c r="B1074" s="68" t="s">
        <v>167</v>
      </c>
      <c r="C1074" s="16"/>
      <c r="D1074" s="16"/>
      <c r="E1074" s="9" t="s">
        <v>164</v>
      </c>
      <c r="F1074" s="17">
        <f>1288*(1*0.2)</f>
        <v>257.6</v>
      </c>
      <c r="G1074" s="17">
        <v>209.39</v>
      </c>
      <c r="H1074" s="18">
        <f t="shared" si="50"/>
        <v>53938.864</v>
      </c>
      <c r="I1074" s="16"/>
      <c r="L1074" s="25"/>
      <c r="N1074" s="5"/>
    </row>
    <row r="1075" ht="18.75" customHeight="1" spans="1:9">
      <c r="A1075" s="40"/>
      <c r="B1075" s="23" t="s">
        <v>168</v>
      </c>
      <c r="C1075" s="41"/>
      <c r="D1075" s="41"/>
      <c r="E1075" s="41" t="s">
        <v>169</v>
      </c>
      <c r="F1075" s="41"/>
      <c r="G1075" s="41"/>
      <c r="H1075" s="46">
        <f>SUM(H1012:H1074)</f>
        <v>1603936.0654</v>
      </c>
      <c r="I1075" s="58"/>
    </row>
    <row r="1076" customHeight="1" spans="1:9">
      <c r="A1076" s="40"/>
      <c r="B1076" s="45"/>
      <c r="C1076" s="41"/>
      <c r="D1076" s="41"/>
      <c r="E1076" s="41"/>
      <c r="F1076" s="41"/>
      <c r="G1076" s="41"/>
      <c r="H1076" s="41"/>
      <c r="I1076" s="41"/>
    </row>
  </sheetData>
  <mergeCells count="22">
    <mergeCell ref="A1:I1"/>
    <mergeCell ref="A2:E2"/>
    <mergeCell ref="B4:I4"/>
    <mergeCell ref="B70:I70"/>
    <mergeCell ref="B137:I137"/>
    <mergeCell ref="B177:I177"/>
    <mergeCell ref="B247:I247"/>
    <mergeCell ref="B315:I315"/>
    <mergeCell ref="B377:I377"/>
    <mergeCell ref="B434:I434"/>
    <mergeCell ref="B496:I496"/>
    <mergeCell ref="B548:I548"/>
    <mergeCell ref="B638:I638"/>
    <mergeCell ref="B676:I676"/>
    <mergeCell ref="B721:I721"/>
    <mergeCell ref="B774:I774"/>
    <mergeCell ref="B811:I811"/>
    <mergeCell ref="B867:I867"/>
    <mergeCell ref="B906:I906"/>
    <mergeCell ref="B942:I942"/>
    <mergeCell ref="B978:I978"/>
    <mergeCell ref="B1011:I1011"/>
  </mergeCells>
  <pageMargins left="0.748031496062992" right="0.748031496062992" top="0.984251968503937" bottom="0.984251968503937" header="0.511811023622047" footer="0.511811023622047"/>
  <pageSetup paperSize="9" orientation="landscape" blackAndWhite="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O392"/>
  <sheetViews>
    <sheetView view="pageBreakPreview" zoomScaleNormal="100" workbookViewId="0">
      <pane ySplit="3" topLeftCell="A43" activePane="bottomLeft" state="frozen"/>
      <selection/>
      <selection pane="bottomLeft" activeCell="C51" sqref="C51"/>
    </sheetView>
  </sheetViews>
  <sheetFormatPr defaultColWidth="9" defaultRowHeight="24.95" customHeight="1"/>
  <cols>
    <col min="1" max="1" width="5.375" style="1" customWidth="1"/>
    <col min="2" max="2" width="27.125" style="2" customWidth="1"/>
    <col min="3" max="3" width="12.625" style="2" customWidth="1"/>
    <col min="4" max="4" width="12.5" style="2" customWidth="1"/>
    <col min="5" max="5" width="7" style="3" customWidth="1"/>
    <col min="6" max="6" width="9.125" style="4" customWidth="1"/>
    <col min="7" max="7" width="10.625" style="3" customWidth="1"/>
    <col min="8" max="8" width="9.125" style="3" customWidth="1"/>
    <col min="9" max="9" width="25.5" style="2" customWidth="1"/>
    <col min="10" max="10" width="25.5" style="2" hidden="1" customWidth="1"/>
    <col min="11" max="11" width="9" style="2" hidden="1" customWidth="1"/>
    <col min="12" max="12" width="31.625" style="2" hidden="1" customWidth="1"/>
    <col min="13" max="13" width="13.625" style="2" hidden="1" customWidth="1"/>
    <col min="14" max="14" width="10.75" style="5" hidden="1" customWidth="1"/>
    <col min="15" max="15" width="9" style="2" customWidth="1"/>
    <col min="16" max="16" width="17.375" style="2" customWidth="1"/>
    <col min="17" max="18" width="9" style="2"/>
    <col min="19" max="19" width="17.375" style="2" customWidth="1"/>
    <col min="20" max="16384" width="9" style="2"/>
  </cols>
  <sheetData>
    <row r="1" ht="20.25" customHeight="1" spans="1:15">
      <c r="A1" s="6" t="s">
        <v>71</v>
      </c>
      <c r="B1" s="6"/>
      <c r="C1" s="6"/>
      <c r="D1" s="6"/>
      <c r="E1" s="6"/>
      <c r="F1" s="6"/>
      <c r="G1" s="6"/>
      <c r="H1" s="6"/>
      <c r="I1" s="6"/>
      <c r="K1" s="21"/>
      <c r="L1" s="21"/>
      <c r="M1" s="21"/>
      <c r="N1" s="22"/>
      <c r="O1" s="21"/>
    </row>
    <row r="2" ht="18" customHeight="1" spans="1:15">
      <c r="A2" s="7" t="s">
        <v>293</v>
      </c>
      <c r="B2" s="7"/>
      <c r="C2" s="7"/>
      <c r="D2" s="7"/>
      <c r="E2" s="7"/>
      <c r="F2" s="6"/>
      <c r="G2" s="6"/>
      <c r="H2" s="6"/>
      <c r="I2" s="6"/>
      <c r="K2" s="21"/>
      <c r="L2" s="21"/>
      <c r="M2" s="21"/>
      <c r="N2" s="22"/>
      <c r="O2" s="21"/>
    </row>
    <row r="3" ht="18.75" customHeight="1" spans="1:10">
      <c r="A3" s="8" t="s">
        <v>73</v>
      </c>
      <c r="B3" s="9" t="s">
        <v>74</v>
      </c>
      <c r="C3" s="9" t="s">
        <v>75</v>
      </c>
      <c r="D3" s="9" t="s">
        <v>76</v>
      </c>
      <c r="E3" s="9" t="s">
        <v>14</v>
      </c>
      <c r="F3" s="10" t="s">
        <v>77</v>
      </c>
      <c r="G3" s="9" t="s">
        <v>78</v>
      </c>
      <c r="H3" s="9" t="s">
        <v>79</v>
      </c>
      <c r="I3" s="9" t="s">
        <v>80</v>
      </c>
      <c r="J3" s="3"/>
    </row>
    <row r="4" ht="18.75" customHeight="1" spans="1:10">
      <c r="A4" s="11" t="s">
        <v>24</v>
      </c>
      <c r="B4" s="12" t="s">
        <v>294</v>
      </c>
      <c r="C4" s="13"/>
      <c r="D4" s="13"/>
      <c r="E4" s="13"/>
      <c r="F4" s="14"/>
      <c r="G4" s="13"/>
      <c r="H4" s="13"/>
      <c r="I4" s="23"/>
      <c r="J4" s="24"/>
    </row>
    <row r="5" ht="18.75" customHeight="1" spans="1:15">
      <c r="A5" s="15" t="s">
        <v>295</v>
      </c>
      <c r="B5" s="16" t="s">
        <v>84</v>
      </c>
      <c r="C5" s="16" t="s">
        <v>259</v>
      </c>
      <c r="D5" s="16" t="s">
        <v>86</v>
      </c>
      <c r="E5" s="9" t="s">
        <v>23</v>
      </c>
      <c r="F5" s="10">
        <v>554</v>
      </c>
      <c r="G5" s="17">
        <v>167.58</v>
      </c>
      <c r="H5" s="18">
        <f t="shared" ref="H5:H47" si="0">F5*G5</f>
        <v>92839.32</v>
      </c>
      <c r="I5" s="16"/>
      <c r="K5" s="3"/>
      <c r="L5" s="25"/>
      <c r="M5" s="26">
        <v>370</v>
      </c>
      <c r="N5" s="27">
        <v>555</v>
      </c>
      <c r="O5" s="3"/>
    </row>
    <row r="6" ht="18.75" customHeight="1" spans="1:15">
      <c r="A6" s="15" t="s">
        <v>296</v>
      </c>
      <c r="B6" s="16" t="s">
        <v>84</v>
      </c>
      <c r="C6" s="16" t="s">
        <v>171</v>
      </c>
      <c r="D6" s="16" t="s">
        <v>86</v>
      </c>
      <c r="E6" s="9" t="s">
        <v>23</v>
      </c>
      <c r="F6" s="19">
        <v>450</v>
      </c>
      <c r="G6" s="17">
        <v>78.32</v>
      </c>
      <c r="H6" s="18">
        <f t="shared" si="0"/>
        <v>35244</v>
      </c>
      <c r="I6" s="16"/>
      <c r="K6" s="3"/>
      <c r="L6" s="25"/>
      <c r="M6" s="28">
        <v>463</v>
      </c>
      <c r="N6" s="27">
        <v>694.5</v>
      </c>
      <c r="O6" s="3"/>
    </row>
    <row r="7" ht="18.75" customHeight="1" spans="1:15">
      <c r="A7" s="15" t="s">
        <v>297</v>
      </c>
      <c r="B7" s="16" t="s">
        <v>84</v>
      </c>
      <c r="C7" s="16" t="s">
        <v>85</v>
      </c>
      <c r="D7" s="16" t="s">
        <v>86</v>
      </c>
      <c r="E7" s="9" t="s">
        <v>23</v>
      </c>
      <c r="F7" s="20">
        <v>165</v>
      </c>
      <c r="G7" s="17">
        <v>67.71</v>
      </c>
      <c r="H7" s="18">
        <f t="shared" si="0"/>
        <v>11172.15</v>
      </c>
      <c r="I7" s="16"/>
      <c r="K7" s="3"/>
      <c r="L7" s="25"/>
      <c r="M7" s="3">
        <v>145</v>
      </c>
      <c r="N7" s="27">
        <v>217.5</v>
      </c>
      <c r="O7" s="3"/>
    </row>
    <row r="8" ht="18.75" customHeight="1" spans="1:15">
      <c r="A8" s="15" t="s">
        <v>298</v>
      </c>
      <c r="B8" s="16" t="s">
        <v>89</v>
      </c>
      <c r="C8" s="16" t="s">
        <v>299</v>
      </c>
      <c r="D8" s="16" t="s">
        <v>91</v>
      </c>
      <c r="E8" s="9" t="s">
        <v>23</v>
      </c>
      <c r="F8" s="10">
        <v>1104</v>
      </c>
      <c r="G8" s="17">
        <v>160.1</v>
      </c>
      <c r="H8" s="18">
        <f t="shared" si="0"/>
        <v>176750.4</v>
      </c>
      <c r="I8" s="16"/>
      <c r="K8" s="29"/>
      <c r="L8" s="29"/>
      <c r="M8" s="26">
        <v>2413</v>
      </c>
      <c r="N8" s="27">
        <v>3619.5</v>
      </c>
      <c r="O8" s="29"/>
    </row>
    <row r="9" ht="18.75" customHeight="1" spans="1:15">
      <c r="A9" s="15" t="s">
        <v>300</v>
      </c>
      <c r="B9" s="16" t="s">
        <v>89</v>
      </c>
      <c r="C9" s="16" t="s">
        <v>301</v>
      </c>
      <c r="D9" s="16" t="s">
        <v>91</v>
      </c>
      <c r="E9" s="9" t="s">
        <v>23</v>
      </c>
      <c r="F9" s="10">
        <v>1664</v>
      </c>
      <c r="G9" s="17">
        <v>131.63</v>
      </c>
      <c r="H9" s="18">
        <f t="shared" si="0"/>
        <v>219032.32</v>
      </c>
      <c r="I9" s="16"/>
      <c r="K9" s="29"/>
      <c r="L9" s="29"/>
      <c r="M9" s="26">
        <v>38</v>
      </c>
      <c r="N9" s="27">
        <v>57</v>
      </c>
      <c r="O9" s="29"/>
    </row>
    <row r="10" ht="18.75" customHeight="1" spans="1:15">
      <c r="A10" s="15" t="s">
        <v>302</v>
      </c>
      <c r="B10" s="16" t="s">
        <v>89</v>
      </c>
      <c r="C10" s="16" t="s">
        <v>303</v>
      </c>
      <c r="D10" s="16" t="s">
        <v>91</v>
      </c>
      <c r="E10" s="9" t="s">
        <v>23</v>
      </c>
      <c r="F10" s="10">
        <v>3792</v>
      </c>
      <c r="G10" s="17">
        <v>55.67</v>
      </c>
      <c r="H10" s="18">
        <f t="shared" ref="H10" si="1">F10*G10</f>
        <v>211100.64</v>
      </c>
      <c r="I10" s="16"/>
      <c r="K10" s="29">
        <f>SUM(F7:F10)</f>
        <v>6725</v>
      </c>
      <c r="L10" s="29"/>
      <c r="M10" s="26">
        <v>120</v>
      </c>
      <c r="N10" s="5">
        <v>258.425196850394</v>
      </c>
      <c r="O10" s="29"/>
    </row>
    <row r="11" ht="18.75" customHeight="1" spans="1:12">
      <c r="A11" s="15" t="s">
        <v>304</v>
      </c>
      <c r="B11" s="16" t="s">
        <v>93</v>
      </c>
      <c r="C11" s="16" t="s">
        <v>94</v>
      </c>
      <c r="D11" s="16" t="s">
        <v>95</v>
      </c>
      <c r="E11" s="9" t="s">
        <v>96</v>
      </c>
      <c r="F11" s="10">
        <v>28</v>
      </c>
      <c r="G11" s="17">
        <v>225.09</v>
      </c>
      <c r="H11" s="18">
        <f t="shared" si="0"/>
        <v>6302.52</v>
      </c>
      <c r="I11" s="16"/>
      <c r="L11" s="25"/>
    </row>
    <row r="12" ht="18.75" customHeight="1" spans="1:12">
      <c r="A12" s="15" t="s">
        <v>305</v>
      </c>
      <c r="B12" s="16" t="s">
        <v>103</v>
      </c>
      <c r="C12" s="16" t="s">
        <v>306</v>
      </c>
      <c r="D12" s="16"/>
      <c r="E12" s="9" t="s">
        <v>96</v>
      </c>
      <c r="F12" s="10">
        <v>90</v>
      </c>
      <c r="G12" s="17">
        <v>300.05</v>
      </c>
      <c r="H12" s="18">
        <f t="shared" si="0"/>
        <v>27004.5</v>
      </c>
      <c r="I12" s="16"/>
      <c r="L12" s="25"/>
    </row>
    <row r="13" ht="18.75" customHeight="1" spans="1:12">
      <c r="A13" s="15" t="s">
        <v>307</v>
      </c>
      <c r="B13" s="16" t="s">
        <v>103</v>
      </c>
      <c r="C13" s="16" t="s">
        <v>104</v>
      </c>
      <c r="D13" s="16"/>
      <c r="E13" s="9" t="s">
        <v>96</v>
      </c>
      <c r="F13" s="10">
        <v>148</v>
      </c>
      <c r="G13" s="17">
        <v>290.02</v>
      </c>
      <c r="H13" s="18">
        <f t="shared" si="0"/>
        <v>42922.96</v>
      </c>
      <c r="I13" s="16"/>
      <c r="L13" s="25"/>
    </row>
    <row r="14" ht="18.75" customHeight="1" spans="1:12">
      <c r="A14" s="15" t="s">
        <v>308</v>
      </c>
      <c r="B14" s="16" t="s">
        <v>100</v>
      </c>
      <c r="C14" s="16" t="s">
        <v>174</v>
      </c>
      <c r="D14" s="16"/>
      <c r="E14" s="9" t="s">
        <v>96</v>
      </c>
      <c r="F14" s="10">
        <v>338</v>
      </c>
      <c r="G14" s="17">
        <v>142.52</v>
      </c>
      <c r="H14" s="18">
        <f t="shared" si="0"/>
        <v>48171.76</v>
      </c>
      <c r="I14" s="16"/>
      <c r="L14" s="25"/>
    </row>
    <row r="15" ht="18.75" customHeight="1" spans="1:12">
      <c r="A15" s="15" t="s">
        <v>309</v>
      </c>
      <c r="B15" s="16" t="s">
        <v>100</v>
      </c>
      <c r="C15" s="16" t="s">
        <v>98</v>
      </c>
      <c r="D15" s="16"/>
      <c r="E15" s="9" t="s">
        <v>96</v>
      </c>
      <c r="F15" s="10">
        <v>308</v>
      </c>
      <c r="G15" s="17">
        <v>132.78</v>
      </c>
      <c r="H15" s="18">
        <f t="shared" si="0"/>
        <v>40896.24</v>
      </c>
      <c r="I15" s="16"/>
      <c r="L15" s="25"/>
    </row>
    <row r="16" ht="18.75" customHeight="1" spans="1:12">
      <c r="A16" s="15" t="s">
        <v>310</v>
      </c>
      <c r="B16" s="16" t="s">
        <v>238</v>
      </c>
      <c r="C16" s="16" t="s">
        <v>189</v>
      </c>
      <c r="D16" s="16"/>
      <c r="E16" s="9" t="s">
        <v>96</v>
      </c>
      <c r="F16" s="10">
        <v>6</v>
      </c>
      <c r="G16" s="17">
        <v>431.29</v>
      </c>
      <c r="H16" s="18">
        <f t="shared" si="0"/>
        <v>2587.74</v>
      </c>
      <c r="I16" s="16"/>
      <c r="L16" s="25"/>
    </row>
    <row r="17" ht="18.75" customHeight="1" spans="1:12">
      <c r="A17" s="15" t="s">
        <v>311</v>
      </c>
      <c r="B17" s="16" t="s">
        <v>238</v>
      </c>
      <c r="C17" s="16" t="s">
        <v>179</v>
      </c>
      <c r="D17" s="16"/>
      <c r="E17" s="9" t="s">
        <v>96</v>
      </c>
      <c r="F17" s="10">
        <v>9</v>
      </c>
      <c r="G17" s="17">
        <v>91.72</v>
      </c>
      <c r="H17" s="18">
        <f t="shared" si="0"/>
        <v>825.48</v>
      </c>
      <c r="I17" s="16"/>
      <c r="L17" s="25"/>
    </row>
    <row r="18" ht="18.75" customHeight="1" spans="1:12">
      <c r="A18" s="15" t="s">
        <v>312</v>
      </c>
      <c r="B18" s="16" t="s">
        <v>238</v>
      </c>
      <c r="C18" s="16" t="s">
        <v>119</v>
      </c>
      <c r="D18" s="16"/>
      <c r="E18" s="9" t="s">
        <v>96</v>
      </c>
      <c r="F18" s="10">
        <v>7</v>
      </c>
      <c r="G18" s="17">
        <v>90.8</v>
      </c>
      <c r="H18" s="18">
        <f t="shared" si="0"/>
        <v>635.6</v>
      </c>
      <c r="I18" s="16"/>
      <c r="L18" s="25"/>
    </row>
    <row r="19" ht="18.75" customHeight="1" spans="1:12">
      <c r="A19" s="15" t="s">
        <v>313</v>
      </c>
      <c r="B19" s="16" t="s">
        <v>239</v>
      </c>
      <c r="C19" s="16" t="s">
        <v>314</v>
      </c>
      <c r="D19" s="16"/>
      <c r="E19" s="9" t="s">
        <v>96</v>
      </c>
      <c r="F19" s="10">
        <v>5</v>
      </c>
      <c r="G19" s="17">
        <v>461.53</v>
      </c>
      <c r="H19" s="18">
        <f t="shared" si="0"/>
        <v>2307.65</v>
      </c>
      <c r="I19" s="16"/>
      <c r="L19" s="25"/>
    </row>
    <row r="20" ht="18.75" customHeight="1" spans="1:12">
      <c r="A20" s="15" t="s">
        <v>315</v>
      </c>
      <c r="B20" s="16" t="s">
        <v>239</v>
      </c>
      <c r="C20" s="16" t="s">
        <v>316</v>
      </c>
      <c r="D20" s="16"/>
      <c r="E20" s="9" t="s">
        <v>96</v>
      </c>
      <c r="F20" s="10">
        <v>4</v>
      </c>
      <c r="G20" s="17">
        <v>447.64</v>
      </c>
      <c r="H20" s="18">
        <f t="shared" si="0"/>
        <v>1790.56</v>
      </c>
      <c r="I20" s="16"/>
      <c r="L20" s="25"/>
    </row>
    <row r="21" ht="18.75" customHeight="1" spans="1:12">
      <c r="A21" s="15" t="s">
        <v>317</v>
      </c>
      <c r="B21" s="16" t="s">
        <v>239</v>
      </c>
      <c r="C21" s="16" t="s">
        <v>318</v>
      </c>
      <c r="D21" s="16"/>
      <c r="E21" s="9" t="s">
        <v>96</v>
      </c>
      <c r="F21" s="10">
        <v>10</v>
      </c>
      <c r="G21" s="17">
        <v>94.07</v>
      </c>
      <c r="H21" s="18">
        <f t="shared" si="0"/>
        <v>940.7</v>
      </c>
      <c r="I21" s="16"/>
      <c r="L21" s="25"/>
    </row>
    <row r="22" ht="18.75" customHeight="1" spans="1:12">
      <c r="A22" s="15" t="s">
        <v>319</v>
      </c>
      <c r="B22" s="16" t="s">
        <v>239</v>
      </c>
      <c r="C22" s="16" t="s">
        <v>177</v>
      </c>
      <c r="D22" s="16"/>
      <c r="E22" s="9" t="s">
        <v>96</v>
      </c>
      <c r="F22" s="10">
        <v>5</v>
      </c>
      <c r="G22" s="17">
        <v>98.97</v>
      </c>
      <c r="H22" s="18">
        <f t="shared" si="0"/>
        <v>494.85</v>
      </c>
      <c r="I22" s="16"/>
      <c r="L22" s="25"/>
    </row>
    <row r="23" ht="18.75" customHeight="1" spans="1:12">
      <c r="A23" s="15" t="s">
        <v>320</v>
      </c>
      <c r="B23" s="16" t="s">
        <v>239</v>
      </c>
      <c r="C23" s="16" t="s">
        <v>178</v>
      </c>
      <c r="D23" s="16"/>
      <c r="E23" s="9" t="s">
        <v>96</v>
      </c>
      <c r="F23" s="10">
        <v>3</v>
      </c>
      <c r="G23" s="17">
        <v>98.97</v>
      </c>
      <c r="H23" s="18">
        <f t="shared" si="0"/>
        <v>296.91</v>
      </c>
      <c r="I23" s="16"/>
      <c r="L23" s="25"/>
    </row>
    <row r="24" ht="18.75" customHeight="1" spans="1:12">
      <c r="A24" s="15" t="s">
        <v>321</v>
      </c>
      <c r="B24" s="16" t="s">
        <v>241</v>
      </c>
      <c r="C24" s="16" t="s">
        <v>316</v>
      </c>
      <c r="D24" s="16"/>
      <c r="E24" s="9" t="s">
        <v>96</v>
      </c>
      <c r="F24" s="10">
        <v>8</v>
      </c>
      <c r="G24" s="17">
        <v>165.36</v>
      </c>
      <c r="H24" s="18">
        <f t="shared" si="0"/>
        <v>1322.88</v>
      </c>
      <c r="I24" s="16"/>
      <c r="L24" s="25"/>
    </row>
    <row r="25" ht="18.75" customHeight="1" spans="1:12">
      <c r="A25" s="15" t="s">
        <v>322</v>
      </c>
      <c r="B25" s="16" t="s">
        <v>241</v>
      </c>
      <c r="C25" s="16" t="s">
        <v>178</v>
      </c>
      <c r="D25" s="16"/>
      <c r="E25" s="9" t="s">
        <v>96</v>
      </c>
      <c r="F25" s="10">
        <v>5</v>
      </c>
      <c r="G25" s="17">
        <v>99.52</v>
      </c>
      <c r="H25" s="18">
        <f t="shared" si="0"/>
        <v>497.6</v>
      </c>
      <c r="I25" s="16"/>
      <c r="L25" s="25"/>
    </row>
    <row r="26" ht="18.75" customHeight="1" spans="1:12">
      <c r="A26" s="15" t="s">
        <v>323</v>
      </c>
      <c r="B26" s="16" t="s">
        <v>123</v>
      </c>
      <c r="C26" s="16" t="s">
        <v>263</v>
      </c>
      <c r="D26" s="16"/>
      <c r="E26" s="9" t="s">
        <v>96</v>
      </c>
      <c r="F26" s="10">
        <v>1</v>
      </c>
      <c r="G26" s="17">
        <v>841.2</v>
      </c>
      <c r="H26" s="18">
        <f t="shared" si="0"/>
        <v>841.2</v>
      </c>
      <c r="I26" s="16"/>
      <c r="L26" s="25"/>
    </row>
    <row r="27" ht="18.75" customHeight="1" spans="1:12">
      <c r="A27" s="15" t="s">
        <v>324</v>
      </c>
      <c r="B27" s="16" t="s">
        <v>123</v>
      </c>
      <c r="C27" s="16" t="s">
        <v>180</v>
      </c>
      <c r="D27" s="16"/>
      <c r="E27" s="9" t="s">
        <v>96</v>
      </c>
      <c r="F27" s="10">
        <v>10</v>
      </c>
      <c r="G27" s="17">
        <v>376.13</v>
      </c>
      <c r="H27" s="18">
        <f t="shared" si="0"/>
        <v>3761.3</v>
      </c>
      <c r="I27" s="16"/>
      <c r="L27" s="25"/>
    </row>
    <row r="28" ht="18.75" customHeight="1" spans="1:12">
      <c r="A28" s="15" t="s">
        <v>325</v>
      </c>
      <c r="B28" s="16" t="s">
        <v>123</v>
      </c>
      <c r="C28" s="16" t="s">
        <v>124</v>
      </c>
      <c r="D28" s="16"/>
      <c r="E28" s="9" t="s">
        <v>96</v>
      </c>
      <c r="F28" s="10">
        <v>18</v>
      </c>
      <c r="G28" s="17">
        <v>263.71</v>
      </c>
      <c r="H28" s="18">
        <f t="shared" si="0"/>
        <v>4746.78</v>
      </c>
      <c r="I28" s="16"/>
      <c r="L28" s="25"/>
    </row>
    <row r="29" ht="18.75" customHeight="1" spans="1:12">
      <c r="A29" s="15" t="s">
        <v>326</v>
      </c>
      <c r="B29" s="16" t="s">
        <v>122</v>
      </c>
      <c r="C29" s="16" t="s">
        <v>189</v>
      </c>
      <c r="D29" s="16"/>
      <c r="E29" s="9" t="s">
        <v>96</v>
      </c>
      <c r="F29" s="10">
        <v>27</v>
      </c>
      <c r="G29" s="17">
        <v>151.7</v>
      </c>
      <c r="H29" s="18">
        <f t="shared" si="0"/>
        <v>4095.9</v>
      </c>
      <c r="I29" s="16"/>
      <c r="L29" s="25"/>
    </row>
    <row r="30" ht="18.75" customHeight="1" spans="1:12">
      <c r="A30" s="15" t="s">
        <v>327</v>
      </c>
      <c r="B30" s="16" t="s">
        <v>122</v>
      </c>
      <c r="C30" s="16" t="s">
        <v>179</v>
      </c>
      <c r="D30" s="16"/>
      <c r="E30" s="9" t="s">
        <v>96</v>
      </c>
      <c r="F30" s="10">
        <v>22</v>
      </c>
      <c r="G30" s="17">
        <v>101.7</v>
      </c>
      <c r="H30" s="18">
        <f t="shared" si="0"/>
        <v>2237.4</v>
      </c>
      <c r="I30" s="16"/>
      <c r="L30" s="25"/>
    </row>
    <row r="31" ht="18.75" customHeight="1" spans="1:12">
      <c r="A31" s="15" t="s">
        <v>328</v>
      </c>
      <c r="B31" s="16" t="s">
        <v>122</v>
      </c>
      <c r="C31" s="16" t="s">
        <v>119</v>
      </c>
      <c r="D31" s="16"/>
      <c r="E31" s="9" t="s">
        <v>96</v>
      </c>
      <c r="F31" s="10">
        <v>8</v>
      </c>
      <c r="G31" s="17">
        <v>96.25</v>
      </c>
      <c r="H31" s="18">
        <f t="shared" si="0"/>
        <v>770</v>
      </c>
      <c r="I31" s="16"/>
      <c r="L31" s="25"/>
    </row>
    <row r="32" ht="18.75" customHeight="1" spans="1:12">
      <c r="A32" s="15" t="s">
        <v>329</v>
      </c>
      <c r="B32" s="16" t="s">
        <v>127</v>
      </c>
      <c r="C32" s="16" t="s">
        <v>174</v>
      </c>
      <c r="D32" s="16"/>
      <c r="E32" s="9" t="s">
        <v>96</v>
      </c>
      <c r="F32" s="10">
        <v>10</v>
      </c>
      <c r="G32" s="17">
        <v>959.44</v>
      </c>
      <c r="H32" s="18">
        <f t="shared" si="0"/>
        <v>9594.4</v>
      </c>
      <c r="I32" s="16" t="s">
        <v>330</v>
      </c>
      <c r="L32" s="25"/>
    </row>
    <row r="33" ht="18.75" customHeight="1" spans="1:12">
      <c r="A33" s="15" t="s">
        <v>331</v>
      </c>
      <c r="B33" s="16" t="s">
        <v>127</v>
      </c>
      <c r="C33" s="16" t="s">
        <v>98</v>
      </c>
      <c r="D33" s="16"/>
      <c r="E33" s="9" t="s">
        <v>96</v>
      </c>
      <c r="F33" s="10">
        <v>18</v>
      </c>
      <c r="G33" s="17">
        <v>771.19</v>
      </c>
      <c r="H33" s="18">
        <f t="shared" si="0"/>
        <v>13881.42</v>
      </c>
      <c r="I33" s="16" t="s">
        <v>330</v>
      </c>
      <c r="L33" s="25"/>
    </row>
    <row r="34" ht="18.75" customHeight="1" spans="1:12">
      <c r="A34" s="15" t="s">
        <v>332</v>
      </c>
      <c r="B34" s="16" t="s">
        <v>127</v>
      </c>
      <c r="C34" s="16" t="s">
        <v>102</v>
      </c>
      <c r="D34" s="16"/>
      <c r="E34" s="9" t="s">
        <v>96</v>
      </c>
      <c r="F34" s="10">
        <v>238</v>
      </c>
      <c r="G34" s="17">
        <v>360.55</v>
      </c>
      <c r="H34" s="18">
        <f t="shared" si="0"/>
        <v>85810.9</v>
      </c>
      <c r="I34" s="16" t="s">
        <v>330</v>
      </c>
      <c r="L34" s="25"/>
    </row>
    <row r="35" ht="18.75" customHeight="1" spans="1:12">
      <c r="A35" s="15" t="s">
        <v>333</v>
      </c>
      <c r="B35" s="16" t="s">
        <v>132</v>
      </c>
      <c r="C35" s="16"/>
      <c r="D35" s="16"/>
      <c r="E35" s="9" t="s">
        <v>23</v>
      </c>
      <c r="F35" s="10">
        <v>1169</v>
      </c>
      <c r="G35" s="17">
        <v>1.89</v>
      </c>
      <c r="H35" s="18">
        <f t="shared" si="0"/>
        <v>2209.41</v>
      </c>
      <c r="I35" s="16"/>
      <c r="K35" s="2">
        <v>1003</v>
      </c>
      <c r="L35" s="25"/>
    </row>
    <row r="36" ht="18.75" customHeight="1" spans="1:12">
      <c r="A36" s="15" t="s">
        <v>334</v>
      </c>
      <c r="B36" s="16" t="s">
        <v>133</v>
      </c>
      <c r="C36" s="16"/>
      <c r="D36" s="16"/>
      <c r="E36" s="9" t="s">
        <v>23</v>
      </c>
      <c r="F36" s="10">
        <v>1169</v>
      </c>
      <c r="G36" s="17">
        <v>6.04</v>
      </c>
      <c r="H36" s="18">
        <f t="shared" si="0"/>
        <v>7060.76</v>
      </c>
      <c r="I36" s="16"/>
      <c r="L36" s="25"/>
    </row>
    <row r="37" ht="18.75" customHeight="1" spans="1:14">
      <c r="A37" s="15" t="s">
        <v>335</v>
      </c>
      <c r="B37" s="16" t="s">
        <v>336</v>
      </c>
      <c r="C37" s="16" t="s">
        <v>337</v>
      </c>
      <c r="D37" s="16"/>
      <c r="E37" s="9" t="s">
        <v>96</v>
      </c>
      <c r="F37" s="10">
        <v>1</v>
      </c>
      <c r="G37" s="17">
        <v>118773.96</v>
      </c>
      <c r="H37" s="18">
        <f t="shared" ref="H37:H43" si="2">F37*G37</f>
        <v>118773.96</v>
      </c>
      <c r="I37" s="16"/>
      <c r="M37" s="26">
        <v>3</v>
      </c>
      <c r="N37" s="5">
        <v>6.46062992125984</v>
      </c>
    </row>
    <row r="38" ht="18.75" customHeight="1" spans="1:14">
      <c r="A38" s="15" t="s">
        <v>338</v>
      </c>
      <c r="B38" s="16" t="s">
        <v>336</v>
      </c>
      <c r="C38" s="16" t="s">
        <v>339</v>
      </c>
      <c r="D38" s="16"/>
      <c r="E38" s="9" t="s">
        <v>96</v>
      </c>
      <c r="F38" s="10">
        <v>2</v>
      </c>
      <c r="G38" s="17">
        <v>93703.96</v>
      </c>
      <c r="H38" s="18">
        <f t="shared" ref="H38" si="3">F38*G38</f>
        <v>187407.92</v>
      </c>
      <c r="I38" s="16"/>
      <c r="M38" s="26">
        <v>3</v>
      </c>
      <c r="N38" s="5">
        <v>6.46062992125984</v>
      </c>
    </row>
    <row r="39" ht="18.75" customHeight="1" spans="1:13">
      <c r="A39" s="15" t="s">
        <v>340</v>
      </c>
      <c r="B39" s="16" t="s">
        <v>135</v>
      </c>
      <c r="C39" s="16" t="s">
        <v>136</v>
      </c>
      <c r="D39" s="16"/>
      <c r="E39" s="9" t="s">
        <v>137</v>
      </c>
      <c r="F39" s="10">
        <v>2768</v>
      </c>
      <c r="G39" s="17">
        <f>0.04*7.85*4*5.5*1.35</f>
        <v>9.3258</v>
      </c>
      <c r="H39" s="18">
        <f t="shared" si="2"/>
        <v>25813.8144</v>
      </c>
      <c r="I39" s="16"/>
      <c r="M39" s="30"/>
    </row>
    <row r="40" ht="18.75" customHeight="1" spans="1:13">
      <c r="A40" s="15" t="s">
        <v>341</v>
      </c>
      <c r="B40" s="16" t="s">
        <v>138</v>
      </c>
      <c r="C40" s="16" t="s">
        <v>139</v>
      </c>
      <c r="D40" s="16"/>
      <c r="E40" s="9" t="s">
        <v>140</v>
      </c>
      <c r="F40" s="10">
        <v>6</v>
      </c>
      <c r="G40" s="17">
        <f>3.77*5.5*1.35</f>
        <v>27.99225</v>
      </c>
      <c r="H40" s="18">
        <f t="shared" si="2"/>
        <v>167.9535</v>
      </c>
      <c r="I40" s="16"/>
      <c r="M40" s="30"/>
    </row>
    <row r="41" ht="18.75" customHeight="1" spans="1:13">
      <c r="A41" s="15" t="s">
        <v>342</v>
      </c>
      <c r="B41" s="16" t="s">
        <v>134</v>
      </c>
      <c r="C41" s="16" t="s">
        <v>174</v>
      </c>
      <c r="D41" s="16" t="s">
        <v>91</v>
      </c>
      <c r="E41" s="9" t="s">
        <v>96</v>
      </c>
      <c r="F41" s="10">
        <v>70</v>
      </c>
      <c r="G41" s="17">
        <v>133.45</v>
      </c>
      <c r="H41" s="18">
        <f t="shared" si="2"/>
        <v>9341.5</v>
      </c>
      <c r="I41" s="16"/>
      <c r="M41" s="30"/>
    </row>
    <row r="42" ht="18.75" customHeight="1" spans="1:13">
      <c r="A42" s="15" t="s">
        <v>343</v>
      </c>
      <c r="B42" s="16" t="s">
        <v>134</v>
      </c>
      <c r="C42" s="16" t="s">
        <v>98</v>
      </c>
      <c r="D42" s="16" t="s">
        <v>91</v>
      </c>
      <c r="E42" s="9" t="s">
        <v>96</v>
      </c>
      <c r="F42" s="10">
        <v>256</v>
      </c>
      <c r="G42" s="17">
        <v>121.21</v>
      </c>
      <c r="H42" s="18">
        <f t="shared" si="2"/>
        <v>31029.76</v>
      </c>
      <c r="I42" s="16"/>
      <c r="M42" s="30"/>
    </row>
    <row r="43" ht="18" customHeight="1" spans="1:13">
      <c r="A43" s="15" t="s">
        <v>344</v>
      </c>
      <c r="B43" s="16" t="s">
        <v>134</v>
      </c>
      <c r="C43" s="16" t="s">
        <v>102</v>
      </c>
      <c r="D43" s="16" t="s">
        <v>91</v>
      </c>
      <c r="E43" s="9" t="s">
        <v>96</v>
      </c>
      <c r="F43" s="10">
        <v>1264</v>
      </c>
      <c r="G43" s="17">
        <v>84.87</v>
      </c>
      <c r="H43" s="18">
        <f t="shared" si="2"/>
        <v>107275.68</v>
      </c>
      <c r="I43" s="16"/>
      <c r="M43" s="30"/>
    </row>
    <row r="44" ht="18.75" customHeight="1" spans="1:12">
      <c r="A44" s="15" t="s">
        <v>345</v>
      </c>
      <c r="B44" s="16" t="s">
        <v>346</v>
      </c>
      <c r="C44" s="16"/>
      <c r="D44" s="16"/>
      <c r="E44" s="9" t="s">
        <v>137</v>
      </c>
      <c r="F44" s="10">
        <v>36</v>
      </c>
      <c r="G44" s="17">
        <v>312.6</v>
      </c>
      <c r="H44" s="18">
        <f t="shared" si="0"/>
        <v>11253.6</v>
      </c>
      <c r="I44" s="16"/>
      <c r="K44" s="2" t="s">
        <v>347</v>
      </c>
      <c r="L44" s="25"/>
    </row>
    <row r="45" ht="18.75" customHeight="1" spans="1:12">
      <c r="A45" s="15" t="s">
        <v>348</v>
      </c>
      <c r="B45" s="16" t="s">
        <v>256</v>
      </c>
      <c r="C45" s="16" t="s">
        <v>174</v>
      </c>
      <c r="D45" s="16"/>
      <c r="E45" s="9" t="s">
        <v>202</v>
      </c>
      <c r="F45" s="10">
        <v>1</v>
      </c>
      <c r="G45" s="17">
        <v>17461.52</v>
      </c>
      <c r="H45" s="18">
        <f t="shared" si="0"/>
        <v>17461.52</v>
      </c>
      <c r="I45" s="16"/>
      <c r="L45" s="25"/>
    </row>
    <row r="46" ht="18.75" customHeight="1" spans="1:12">
      <c r="A46" s="15" t="s">
        <v>349</v>
      </c>
      <c r="B46" s="16" t="s">
        <v>145</v>
      </c>
      <c r="C46" s="16" t="s">
        <v>146</v>
      </c>
      <c r="D46" s="16" t="s">
        <v>147</v>
      </c>
      <c r="E46" s="9" t="s">
        <v>148</v>
      </c>
      <c r="F46" s="10">
        <v>1264</v>
      </c>
      <c r="G46" s="17">
        <v>327.12</v>
      </c>
      <c r="H46" s="18">
        <f t="shared" si="0"/>
        <v>413479.68</v>
      </c>
      <c r="I46" s="16" t="s">
        <v>350</v>
      </c>
      <c r="L46" s="25"/>
    </row>
    <row r="47" ht="18.75" customHeight="1" spans="1:12">
      <c r="A47" s="15" t="s">
        <v>351</v>
      </c>
      <c r="B47" s="16" t="s">
        <v>154</v>
      </c>
      <c r="C47" s="16" t="s">
        <v>155</v>
      </c>
      <c r="D47" s="16"/>
      <c r="E47" s="9" t="s">
        <v>96</v>
      </c>
      <c r="F47" s="10">
        <v>2528</v>
      </c>
      <c r="G47" s="17">
        <v>100.39</v>
      </c>
      <c r="H47" s="18">
        <f t="shared" si="0"/>
        <v>253785.92</v>
      </c>
      <c r="I47" s="16"/>
      <c r="L47" s="25"/>
    </row>
    <row r="48" ht="18.75" customHeight="1" spans="1:12">
      <c r="A48" s="15" t="s">
        <v>352</v>
      </c>
      <c r="B48" s="16" t="s">
        <v>247</v>
      </c>
      <c r="C48" s="16" t="s">
        <v>155</v>
      </c>
      <c r="D48" s="16"/>
      <c r="E48" s="9" t="s">
        <v>137</v>
      </c>
      <c r="F48" s="10">
        <v>3792</v>
      </c>
      <c r="G48" s="17">
        <v>49.43</v>
      </c>
      <c r="H48" s="18">
        <f t="shared" ref="H48:H53" si="4">F48*G48</f>
        <v>187438.56</v>
      </c>
      <c r="I48" s="16"/>
      <c r="K48" s="2" t="s">
        <v>353</v>
      </c>
      <c r="L48" s="25"/>
    </row>
    <row r="49" ht="18.75" customHeight="1" spans="1:12">
      <c r="A49" s="15" t="s">
        <v>354</v>
      </c>
      <c r="B49" s="16" t="s">
        <v>355</v>
      </c>
      <c r="C49" s="16" t="s">
        <v>356</v>
      </c>
      <c r="D49" s="16"/>
      <c r="E49" s="9" t="s">
        <v>96</v>
      </c>
      <c r="F49" s="10">
        <v>1264</v>
      </c>
      <c r="G49" s="17">
        <v>5.5</v>
      </c>
      <c r="H49" s="18">
        <f t="shared" si="4"/>
        <v>6952</v>
      </c>
      <c r="I49" s="16"/>
      <c r="L49" s="25"/>
    </row>
    <row r="50" ht="18.75" customHeight="1" spans="1:12">
      <c r="A50" s="15" t="s">
        <v>357</v>
      </c>
      <c r="B50" s="16" t="s">
        <v>158</v>
      </c>
      <c r="C50" s="16" t="s">
        <v>155</v>
      </c>
      <c r="D50" s="16"/>
      <c r="E50" s="9" t="s">
        <v>96</v>
      </c>
      <c r="F50" s="10">
        <v>6320</v>
      </c>
      <c r="G50" s="17">
        <v>4.2</v>
      </c>
      <c r="H50" s="18">
        <f t="shared" si="4"/>
        <v>26544</v>
      </c>
      <c r="I50" s="16"/>
      <c r="L50" s="25"/>
    </row>
    <row r="51" ht="18.75" customHeight="1" spans="1:12">
      <c r="A51" s="15" t="s">
        <v>358</v>
      </c>
      <c r="B51" s="16" t="s">
        <v>159</v>
      </c>
      <c r="C51" s="16" t="s">
        <v>155</v>
      </c>
      <c r="D51" s="16"/>
      <c r="E51" s="9" t="s">
        <v>96</v>
      </c>
      <c r="F51" s="10">
        <v>2528</v>
      </c>
      <c r="G51" s="17">
        <v>3.85</v>
      </c>
      <c r="H51" s="18">
        <f t="shared" si="4"/>
        <v>9732.8</v>
      </c>
      <c r="I51" s="16"/>
      <c r="L51" s="25"/>
    </row>
    <row r="52" ht="18.75" customHeight="1" spans="1:12">
      <c r="A52" s="15" t="s">
        <v>359</v>
      </c>
      <c r="B52" s="16" t="s">
        <v>233</v>
      </c>
      <c r="C52" s="16" t="s">
        <v>102</v>
      </c>
      <c r="D52" s="16" t="s">
        <v>147</v>
      </c>
      <c r="E52" s="9" t="s">
        <v>96</v>
      </c>
      <c r="F52" s="10">
        <v>1264</v>
      </c>
      <c r="G52" s="17">
        <v>20.15</v>
      </c>
      <c r="H52" s="18">
        <f t="shared" si="4"/>
        <v>25469.6</v>
      </c>
      <c r="I52" s="16"/>
      <c r="L52" s="25"/>
    </row>
    <row r="53" ht="18.75" customHeight="1" spans="1:12">
      <c r="A53" s="15" t="s">
        <v>360</v>
      </c>
      <c r="B53" s="16" t="s">
        <v>361</v>
      </c>
      <c r="C53" s="16" t="s">
        <v>362</v>
      </c>
      <c r="D53" s="16"/>
      <c r="E53" s="9" t="s">
        <v>363</v>
      </c>
      <c r="F53" s="10">
        <f>1169*0.9</f>
        <v>1052.1</v>
      </c>
      <c r="G53" s="17">
        <v>149.04</v>
      </c>
      <c r="H53" s="18">
        <f t="shared" si="4"/>
        <v>156804.984</v>
      </c>
      <c r="I53" s="16"/>
      <c r="K53" s="2">
        <v>2</v>
      </c>
      <c r="L53" s="25"/>
    </row>
    <row r="54" ht="18.75" customHeight="1" spans="1:12">
      <c r="A54" s="15" t="s">
        <v>364</v>
      </c>
      <c r="B54" s="16" t="s">
        <v>163</v>
      </c>
      <c r="C54" s="16"/>
      <c r="D54" s="16"/>
      <c r="E54" s="9" t="s">
        <v>164</v>
      </c>
      <c r="F54" s="10">
        <f>1169*(0.9*1.9)</f>
        <v>1998.99</v>
      </c>
      <c r="G54" s="17">
        <v>15.39</v>
      </c>
      <c r="H54" s="18">
        <f t="shared" ref="H54:H58" si="5">F54*G54</f>
        <v>30764.4561</v>
      </c>
      <c r="I54" s="16"/>
      <c r="L54" s="25"/>
    </row>
    <row r="55" ht="18.75" customHeight="1" spans="1:12">
      <c r="A55" s="15" t="s">
        <v>365</v>
      </c>
      <c r="B55" s="16" t="s">
        <v>165</v>
      </c>
      <c r="C55" s="16"/>
      <c r="D55" s="16"/>
      <c r="E55" s="9" t="s">
        <v>164</v>
      </c>
      <c r="F55" s="10">
        <f>1169*(0.9*1.7)</f>
        <v>1788.57</v>
      </c>
      <c r="G55" s="17">
        <v>27.54</v>
      </c>
      <c r="H55" s="18">
        <f t="shared" si="5"/>
        <v>49257.2178</v>
      </c>
      <c r="I55" s="16"/>
      <c r="L55" s="25"/>
    </row>
    <row r="56" ht="18.75" customHeight="1" spans="1:12">
      <c r="A56" s="15" t="s">
        <v>366</v>
      </c>
      <c r="B56" s="16" t="s">
        <v>166</v>
      </c>
      <c r="C56" s="16"/>
      <c r="D56" s="16"/>
      <c r="E56" s="9" t="s">
        <v>164</v>
      </c>
      <c r="F56" s="10">
        <f>1169*(0.9*0.15)</f>
        <v>157.815</v>
      </c>
      <c r="G56" s="17">
        <v>30.63</v>
      </c>
      <c r="H56" s="18">
        <f t="shared" si="5"/>
        <v>4833.87345</v>
      </c>
      <c r="I56" s="16"/>
      <c r="L56" s="25"/>
    </row>
    <row r="57" ht="18.75" customHeight="1" spans="1:12">
      <c r="A57" s="15" t="s">
        <v>367</v>
      </c>
      <c r="B57" s="16" t="s">
        <v>167</v>
      </c>
      <c r="C57" s="16"/>
      <c r="D57" s="16"/>
      <c r="E57" s="9" t="s">
        <v>164</v>
      </c>
      <c r="F57" s="10">
        <f>1169*(0.9*0.15)</f>
        <v>157.815</v>
      </c>
      <c r="G57" s="17">
        <v>214.7</v>
      </c>
      <c r="H57" s="18">
        <f t="shared" si="5"/>
        <v>33882.8805</v>
      </c>
      <c r="I57" s="16"/>
      <c r="L57" s="25"/>
    </row>
    <row r="58" ht="18.75" hidden="1" customHeight="1" spans="1:12">
      <c r="A58" s="15" t="s">
        <v>368</v>
      </c>
      <c r="B58" s="16" t="s">
        <v>369</v>
      </c>
      <c r="C58" s="16"/>
      <c r="D58" s="16"/>
      <c r="E58" s="9" t="s">
        <v>164</v>
      </c>
      <c r="F58" s="10">
        <f>1169*(0.9*0.3)*0</f>
        <v>0</v>
      </c>
      <c r="G58" s="17">
        <v>215.73</v>
      </c>
      <c r="H58" s="18">
        <f t="shared" si="5"/>
        <v>0</v>
      </c>
      <c r="I58" s="16"/>
      <c r="L58" s="25"/>
    </row>
    <row r="59" ht="18.75" customHeight="1" spans="1:12">
      <c r="A59" s="15"/>
      <c r="B59" s="16" t="s">
        <v>168</v>
      </c>
      <c r="C59" s="16"/>
      <c r="D59" s="16"/>
      <c r="E59" s="9" t="s">
        <v>169</v>
      </c>
      <c r="F59" s="10"/>
      <c r="G59" s="17"/>
      <c r="H59" s="18">
        <f>SUM(H5:H58)</f>
        <v>2765617.92975</v>
      </c>
      <c r="I59" s="16"/>
      <c r="L59" s="25"/>
    </row>
    <row r="60" ht="18.75" customHeight="1" spans="1:10">
      <c r="A60" s="11" t="s">
        <v>25</v>
      </c>
      <c r="B60" s="12" t="s">
        <v>370</v>
      </c>
      <c r="C60" s="13"/>
      <c r="D60" s="13"/>
      <c r="E60" s="13"/>
      <c r="F60" s="14"/>
      <c r="G60" s="13"/>
      <c r="H60" s="13"/>
      <c r="I60" s="23"/>
      <c r="J60" s="24"/>
    </row>
    <row r="61" ht="18.75" customHeight="1" spans="1:15">
      <c r="A61" s="15" t="s">
        <v>371</v>
      </c>
      <c r="B61" s="16" t="s">
        <v>84</v>
      </c>
      <c r="C61" s="16" t="s">
        <v>259</v>
      </c>
      <c r="D61" s="16" t="s">
        <v>86</v>
      </c>
      <c r="E61" s="9" t="s">
        <v>23</v>
      </c>
      <c r="F61" s="10">
        <v>250</v>
      </c>
      <c r="G61" s="17">
        <v>167.58</v>
      </c>
      <c r="H61" s="18">
        <f t="shared" ref="H61:H63" si="6">F61*G61</f>
        <v>41895</v>
      </c>
      <c r="I61" s="16"/>
      <c r="K61" s="3"/>
      <c r="L61" s="25"/>
      <c r="M61" s="26">
        <v>370</v>
      </c>
      <c r="N61" s="27">
        <v>555</v>
      </c>
      <c r="O61" s="3"/>
    </row>
    <row r="62" ht="18.75" customHeight="1" spans="1:15">
      <c r="A62" s="15" t="s">
        <v>372</v>
      </c>
      <c r="B62" s="16" t="s">
        <v>84</v>
      </c>
      <c r="C62" s="16" t="s">
        <v>171</v>
      </c>
      <c r="D62" s="16" t="s">
        <v>86</v>
      </c>
      <c r="E62" s="9" t="s">
        <v>23</v>
      </c>
      <c r="F62" s="19"/>
      <c r="G62" s="17">
        <v>78.32</v>
      </c>
      <c r="H62" s="18">
        <f t="shared" si="6"/>
        <v>0</v>
      </c>
      <c r="I62" s="16"/>
      <c r="K62" s="3"/>
      <c r="L62" s="25"/>
      <c r="M62" s="28">
        <v>463</v>
      </c>
      <c r="N62" s="27">
        <v>694.5</v>
      </c>
      <c r="O62" s="3"/>
    </row>
    <row r="63" ht="18.75" customHeight="1" spans="1:15">
      <c r="A63" s="15" t="s">
        <v>373</v>
      </c>
      <c r="B63" s="16" t="s">
        <v>84</v>
      </c>
      <c r="C63" s="16" t="s">
        <v>85</v>
      </c>
      <c r="D63" s="16" t="s">
        <v>86</v>
      </c>
      <c r="E63" s="9" t="s">
        <v>23</v>
      </c>
      <c r="F63" s="20">
        <v>159</v>
      </c>
      <c r="G63" s="17">
        <v>67.71</v>
      </c>
      <c r="H63" s="18">
        <f t="shared" si="6"/>
        <v>10765.89</v>
      </c>
      <c r="I63" s="16"/>
      <c r="K63" s="3"/>
      <c r="L63" s="25"/>
      <c r="M63" s="3">
        <v>145</v>
      </c>
      <c r="N63" s="27">
        <v>217.5</v>
      </c>
      <c r="O63" s="3"/>
    </row>
    <row r="64" ht="18.75" customHeight="1" spans="1:15">
      <c r="A64" s="15" t="s">
        <v>374</v>
      </c>
      <c r="B64" s="16" t="s">
        <v>84</v>
      </c>
      <c r="C64" s="16" t="s">
        <v>87</v>
      </c>
      <c r="D64" s="16" t="s">
        <v>86</v>
      </c>
      <c r="E64" s="9" t="s">
        <v>23</v>
      </c>
      <c r="F64" s="20">
        <v>70</v>
      </c>
      <c r="G64" s="17">
        <v>39.37</v>
      </c>
      <c r="H64" s="18">
        <f t="shared" ref="H64:H67" si="7">F64*G64</f>
        <v>2755.9</v>
      </c>
      <c r="I64" s="16"/>
      <c r="K64" s="3"/>
      <c r="L64" s="25"/>
      <c r="M64" s="3">
        <v>145</v>
      </c>
      <c r="N64" s="27">
        <v>217.5</v>
      </c>
      <c r="O64" s="3"/>
    </row>
    <row r="65" ht="18.75" customHeight="1" spans="1:15">
      <c r="A65" s="15" t="s">
        <v>375</v>
      </c>
      <c r="B65" s="16" t="s">
        <v>89</v>
      </c>
      <c r="C65" s="16" t="s">
        <v>299</v>
      </c>
      <c r="D65" s="16" t="s">
        <v>91</v>
      </c>
      <c r="E65" s="9" t="s">
        <v>23</v>
      </c>
      <c r="F65" s="10">
        <v>10</v>
      </c>
      <c r="G65" s="17">
        <v>160.1</v>
      </c>
      <c r="H65" s="18">
        <f t="shared" si="7"/>
        <v>1601</v>
      </c>
      <c r="I65" s="16"/>
      <c r="K65" s="29"/>
      <c r="L65" s="29"/>
      <c r="M65" s="26">
        <v>2413</v>
      </c>
      <c r="N65" s="27">
        <v>3619.5</v>
      </c>
      <c r="O65" s="29"/>
    </row>
    <row r="66" ht="18.75" customHeight="1" spans="1:15">
      <c r="A66" s="15" t="s">
        <v>376</v>
      </c>
      <c r="B66" s="16" t="s">
        <v>89</v>
      </c>
      <c r="C66" s="16" t="s">
        <v>301</v>
      </c>
      <c r="D66" s="16" t="s">
        <v>91</v>
      </c>
      <c r="E66" s="9" t="s">
        <v>23</v>
      </c>
      <c r="F66" s="10">
        <v>437</v>
      </c>
      <c r="G66" s="17">
        <v>131.63</v>
      </c>
      <c r="H66" s="18">
        <f t="shared" si="7"/>
        <v>57522.31</v>
      </c>
      <c r="I66" s="16"/>
      <c r="K66" s="29"/>
      <c r="L66" s="29"/>
      <c r="M66" s="26">
        <v>38</v>
      </c>
      <c r="N66" s="27">
        <v>57</v>
      </c>
      <c r="O66" s="29"/>
    </row>
    <row r="67" ht="18.75" customHeight="1" spans="1:15">
      <c r="A67" s="15" t="s">
        <v>377</v>
      </c>
      <c r="B67" s="16" t="s">
        <v>89</v>
      </c>
      <c r="C67" s="16" t="s">
        <v>378</v>
      </c>
      <c r="D67" s="16" t="s">
        <v>91</v>
      </c>
      <c r="E67" s="9" t="s">
        <v>23</v>
      </c>
      <c r="F67" s="10">
        <v>609</v>
      </c>
      <c r="G67" s="17">
        <v>69.95</v>
      </c>
      <c r="H67" s="18">
        <f t="shared" si="7"/>
        <v>42599.55</v>
      </c>
      <c r="I67" s="16"/>
      <c r="K67" s="29"/>
      <c r="L67" s="29"/>
      <c r="M67" s="26">
        <v>38</v>
      </c>
      <c r="N67" s="27">
        <v>57</v>
      </c>
      <c r="O67" s="29"/>
    </row>
    <row r="68" ht="18.75" customHeight="1" spans="1:15">
      <c r="A68" s="15" t="s">
        <v>379</v>
      </c>
      <c r="B68" s="16" t="s">
        <v>89</v>
      </c>
      <c r="C68" s="16" t="s">
        <v>380</v>
      </c>
      <c r="D68" s="16" t="s">
        <v>91</v>
      </c>
      <c r="E68" s="9" t="s">
        <v>23</v>
      </c>
      <c r="F68" s="10">
        <v>2067</v>
      </c>
      <c r="G68" s="17">
        <v>50.23</v>
      </c>
      <c r="H68" s="18">
        <f t="shared" ref="H68:H100" si="8">F68*G68</f>
        <v>103825.41</v>
      </c>
      <c r="I68" s="16"/>
      <c r="K68" s="29">
        <f>SUM(F63:F68)</f>
        <v>3352</v>
      </c>
      <c r="L68" s="29"/>
      <c r="M68" s="26">
        <v>120</v>
      </c>
      <c r="N68" s="5">
        <v>258.425196850394</v>
      </c>
      <c r="O68" s="29"/>
    </row>
    <row r="69" ht="18.75" customHeight="1" spans="1:12">
      <c r="A69" s="15" t="s">
        <v>381</v>
      </c>
      <c r="B69" s="16" t="s">
        <v>93</v>
      </c>
      <c r="C69" s="16" t="s">
        <v>94</v>
      </c>
      <c r="D69" s="16" t="s">
        <v>95</v>
      </c>
      <c r="E69" s="9" t="s">
        <v>96</v>
      </c>
      <c r="F69" s="10">
        <v>18</v>
      </c>
      <c r="G69" s="17">
        <v>225.09</v>
      </c>
      <c r="H69" s="18">
        <f t="shared" si="8"/>
        <v>4051.62</v>
      </c>
      <c r="I69" s="16"/>
      <c r="L69" s="25"/>
    </row>
    <row r="70" ht="18.75" customHeight="1" spans="1:12">
      <c r="A70" s="15" t="s">
        <v>382</v>
      </c>
      <c r="B70" s="16" t="s">
        <v>103</v>
      </c>
      <c r="C70" s="16" t="s">
        <v>175</v>
      </c>
      <c r="D70" s="16"/>
      <c r="E70" s="9" t="s">
        <v>96</v>
      </c>
      <c r="F70" s="10">
        <v>1</v>
      </c>
      <c r="G70" s="17">
        <v>320.53</v>
      </c>
      <c r="H70" s="18">
        <f t="shared" si="8"/>
        <v>320.53</v>
      </c>
      <c r="I70" s="16"/>
      <c r="L70" s="25"/>
    </row>
    <row r="71" ht="18.75" customHeight="1" spans="1:12">
      <c r="A71" s="15" t="s">
        <v>383</v>
      </c>
      <c r="B71" s="16" t="s">
        <v>103</v>
      </c>
      <c r="C71" s="16" t="s">
        <v>188</v>
      </c>
      <c r="D71" s="16"/>
      <c r="E71" s="9" t="s">
        <v>96</v>
      </c>
      <c r="F71" s="10">
        <v>1</v>
      </c>
      <c r="G71" s="17">
        <v>320.53</v>
      </c>
      <c r="H71" s="18">
        <f t="shared" ref="H71" si="9">F71*G71</f>
        <v>320.53</v>
      </c>
      <c r="I71" s="16"/>
      <c r="L71" s="25"/>
    </row>
    <row r="72" ht="18.75" customHeight="1" spans="1:12">
      <c r="A72" s="15" t="s">
        <v>384</v>
      </c>
      <c r="B72" s="16" t="s">
        <v>103</v>
      </c>
      <c r="C72" s="16" t="s">
        <v>385</v>
      </c>
      <c r="D72" s="16"/>
      <c r="E72" s="9" t="s">
        <v>96</v>
      </c>
      <c r="F72" s="10">
        <v>46</v>
      </c>
      <c r="G72" s="17">
        <v>287.83</v>
      </c>
      <c r="H72" s="18">
        <f t="shared" si="8"/>
        <v>13240.18</v>
      </c>
      <c r="I72" s="16"/>
      <c r="L72" s="25"/>
    </row>
    <row r="73" ht="18.75" customHeight="1" spans="1:12">
      <c r="A73" s="15" t="s">
        <v>386</v>
      </c>
      <c r="B73" s="16" t="s">
        <v>103</v>
      </c>
      <c r="C73" s="16" t="s">
        <v>254</v>
      </c>
      <c r="D73" s="16"/>
      <c r="E73" s="9" t="s">
        <v>96</v>
      </c>
      <c r="F73" s="10">
        <v>88</v>
      </c>
      <c r="G73" s="17">
        <v>235.3</v>
      </c>
      <c r="H73" s="18">
        <f t="shared" ref="H73:H74" si="10">F73*G73</f>
        <v>20706.4</v>
      </c>
      <c r="I73" s="16"/>
      <c r="L73" s="25"/>
    </row>
    <row r="74" ht="18.75" customHeight="1" spans="1:12">
      <c r="A74" s="15" t="s">
        <v>387</v>
      </c>
      <c r="B74" s="16" t="s">
        <v>388</v>
      </c>
      <c r="C74" s="16" t="s">
        <v>389</v>
      </c>
      <c r="D74" s="16"/>
      <c r="E74" s="9" t="s">
        <v>96</v>
      </c>
      <c r="F74" s="10">
        <v>2</v>
      </c>
      <c r="G74" s="17">
        <v>320.53</v>
      </c>
      <c r="H74" s="18">
        <f t="shared" si="10"/>
        <v>641.06</v>
      </c>
      <c r="I74" s="16"/>
      <c r="L74" s="25"/>
    </row>
    <row r="75" ht="18.75" customHeight="1" spans="1:12">
      <c r="A75" s="15" t="s">
        <v>390</v>
      </c>
      <c r="B75" s="16" t="s">
        <v>388</v>
      </c>
      <c r="C75" s="16" t="s">
        <v>110</v>
      </c>
      <c r="D75" s="16"/>
      <c r="E75" s="9" t="s">
        <v>96</v>
      </c>
      <c r="F75" s="10">
        <v>1</v>
      </c>
      <c r="G75" s="17">
        <v>287.83</v>
      </c>
      <c r="H75" s="18">
        <f t="shared" ref="H75" si="11">F75*G75</f>
        <v>287.83</v>
      </c>
      <c r="I75" s="16"/>
      <c r="L75" s="25"/>
    </row>
    <row r="76" ht="18.75" customHeight="1" spans="1:12">
      <c r="A76" s="15" t="s">
        <v>391</v>
      </c>
      <c r="B76" s="16" t="s">
        <v>100</v>
      </c>
      <c r="C76" s="16" t="s">
        <v>174</v>
      </c>
      <c r="D76" s="16"/>
      <c r="E76" s="9" t="s">
        <v>96</v>
      </c>
      <c r="F76" s="10">
        <v>2</v>
      </c>
      <c r="G76" s="17">
        <v>155.44</v>
      </c>
      <c r="H76" s="18">
        <f t="shared" si="8"/>
        <v>310.88</v>
      </c>
      <c r="I76" s="16"/>
      <c r="L76" s="25"/>
    </row>
    <row r="77" ht="18.75" customHeight="1" spans="1:12">
      <c r="A77" s="15" t="s">
        <v>392</v>
      </c>
      <c r="B77" s="16" t="s">
        <v>100</v>
      </c>
      <c r="C77" s="16" t="s">
        <v>98</v>
      </c>
      <c r="D77" s="16"/>
      <c r="E77" s="9" t="s">
        <v>96</v>
      </c>
      <c r="F77" s="10">
        <v>113</v>
      </c>
      <c r="G77" s="17">
        <v>132.78</v>
      </c>
      <c r="H77" s="18">
        <f t="shared" si="8"/>
        <v>15004.14</v>
      </c>
      <c r="I77" s="16"/>
      <c r="L77" s="25"/>
    </row>
    <row r="78" ht="18.75" customHeight="1" spans="1:12">
      <c r="A78" s="15" t="s">
        <v>393</v>
      </c>
      <c r="B78" s="16" t="s">
        <v>100</v>
      </c>
      <c r="C78" s="16" t="s">
        <v>101</v>
      </c>
      <c r="D78" s="16"/>
      <c r="E78" s="9" t="s">
        <v>96</v>
      </c>
      <c r="F78" s="10">
        <v>32</v>
      </c>
      <c r="G78" s="17">
        <v>68.16</v>
      </c>
      <c r="H78" s="18">
        <f t="shared" ref="H78:H79" si="12">F78*G78</f>
        <v>2181.12</v>
      </c>
      <c r="I78" s="16"/>
      <c r="L78" s="25"/>
    </row>
    <row r="79" ht="18.75" customHeight="1" spans="1:12">
      <c r="A79" s="15" t="s">
        <v>394</v>
      </c>
      <c r="B79" s="16" t="s">
        <v>100</v>
      </c>
      <c r="C79" s="16" t="s">
        <v>181</v>
      </c>
      <c r="D79" s="16"/>
      <c r="E79" s="9" t="s">
        <v>96</v>
      </c>
      <c r="F79" s="10">
        <v>268</v>
      </c>
      <c r="G79" s="17">
        <v>57.26</v>
      </c>
      <c r="H79" s="18">
        <f t="shared" si="12"/>
        <v>15345.68</v>
      </c>
      <c r="I79" s="16"/>
      <c r="L79" s="25"/>
    </row>
    <row r="80" ht="18.75" customHeight="1" spans="1:12">
      <c r="A80" s="15" t="s">
        <v>395</v>
      </c>
      <c r="B80" s="16" t="s">
        <v>238</v>
      </c>
      <c r="C80" s="16" t="s">
        <v>189</v>
      </c>
      <c r="D80" s="16"/>
      <c r="E80" s="9" t="s">
        <v>96</v>
      </c>
      <c r="F80" s="10"/>
      <c r="G80" s="17">
        <v>431.29</v>
      </c>
      <c r="H80" s="18">
        <f t="shared" si="8"/>
        <v>0</v>
      </c>
      <c r="I80" s="16"/>
      <c r="L80" s="25"/>
    </row>
    <row r="81" ht="18.75" customHeight="1" spans="1:12">
      <c r="A81" s="15" t="s">
        <v>396</v>
      </c>
      <c r="B81" s="16" t="s">
        <v>238</v>
      </c>
      <c r="C81" s="16" t="s">
        <v>179</v>
      </c>
      <c r="D81" s="16"/>
      <c r="E81" s="9" t="s">
        <v>96</v>
      </c>
      <c r="F81" s="10">
        <v>2</v>
      </c>
      <c r="G81" s="17">
        <v>91.72</v>
      </c>
      <c r="H81" s="18">
        <f t="shared" si="8"/>
        <v>183.44</v>
      </c>
      <c r="I81" s="16"/>
      <c r="L81" s="25"/>
    </row>
    <row r="82" ht="18.75" customHeight="1" spans="1:12">
      <c r="A82" s="15" t="s">
        <v>397</v>
      </c>
      <c r="B82" s="16" t="s">
        <v>238</v>
      </c>
      <c r="C82" s="16" t="s">
        <v>119</v>
      </c>
      <c r="D82" s="16"/>
      <c r="E82" s="9" t="s">
        <v>96</v>
      </c>
      <c r="F82" s="10">
        <v>4</v>
      </c>
      <c r="G82" s="17">
        <v>90.8</v>
      </c>
      <c r="H82" s="18">
        <f t="shared" si="8"/>
        <v>363.2</v>
      </c>
      <c r="I82" s="16"/>
      <c r="L82" s="25"/>
    </row>
    <row r="83" ht="18.75" customHeight="1" spans="1:12">
      <c r="A83" s="15" t="s">
        <v>398</v>
      </c>
      <c r="B83" s="16" t="s">
        <v>238</v>
      </c>
      <c r="C83" s="16" t="s">
        <v>120</v>
      </c>
      <c r="D83" s="16"/>
      <c r="E83" s="9" t="s">
        <v>96</v>
      </c>
      <c r="F83" s="10">
        <v>2</v>
      </c>
      <c r="G83" s="17">
        <v>83.94</v>
      </c>
      <c r="H83" s="18">
        <f t="shared" ref="H83" si="13">F83*G83</f>
        <v>167.88</v>
      </c>
      <c r="I83" s="16"/>
      <c r="L83" s="25"/>
    </row>
    <row r="84" ht="18.75" customHeight="1" spans="1:12">
      <c r="A84" s="15" t="s">
        <v>399</v>
      </c>
      <c r="B84" s="16" t="s">
        <v>239</v>
      </c>
      <c r="C84" s="16" t="s">
        <v>178</v>
      </c>
      <c r="D84" s="16"/>
      <c r="E84" s="9" t="s">
        <v>96</v>
      </c>
      <c r="F84" s="10">
        <v>2</v>
      </c>
      <c r="G84" s="17">
        <v>98.97</v>
      </c>
      <c r="H84" s="18">
        <f t="shared" si="8"/>
        <v>197.94</v>
      </c>
      <c r="I84" s="16"/>
      <c r="L84" s="25"/>
    </row>
    <row r="85" ht="18.75" customHeight="1" spans="1:12">
      <c r="A85" s="15" t="s">
        <v>400</v>
      </c>
      <c r="B85" s="16" t="s">
        <v>239</v>
      </c>
      <c r="C85" s="16" t="s">
        <v>117</v>
      </c>
      <c r="D85" s="16"/>
      <c r="E85" s="9" t="s">
        <v>96</v>
      </c>
      <c r="F85" s="10">
        <v>7</v>
      </c>
      <c r="G85" s="17">
        <v>90.97</v>
      </c>
      <c r="H85" s="18">
        <f t="shared" si="8"/>
        <v>636.79</v>
      </c>
      <c r="I85" s="16"/>
      <c r="L85" s="25"/>
    </row>
    <row r="86" ht="18.75" customHeight="1" spans="1:12">
      <c r="A86" s="15" t="s">
        <v>401</v>
      </c>
      <c r="B86" s="16" t="s">
        <v>239</v>
      </c>
      <c r="C86" s="16" t="s">
        <v>112</v>
      </c>
      <c r="D86" s="16"/>
      <c r="E86" s="9" t="s">
        <v>96</v>
      </c>
      <c r="F86" s="10">
        <v>1</v>
      </c>
      <c r="G86" s="17">
        <v>85.5</v>
      </c>
      <c r="H86" s="18">
        <f t="shared" ref="H86:H87" si="14">F86*G86</f>
        <v>85.5</v>
      </c>
      <c r="I86" s="16"/>
      <c r="L86" s="25"/>
    </row>
    <row r="87" ht="18.75" customHeight="1" spans="1:12">
      <c r="A87" s="15" t="s">
        <v>402</v>
      </c>
      <c r="B87" s="16" t="s">
        <v>239</v>
      </c>
      <c r="C87" s="16" t="s">
        <v>113</v>
      </c>
      <c r="D87" s="16"/>
      <c r="E87" s="9" t="s">
        <v>96</v>
      </c>
      <c r="F87" s="10">
        <v>1</v>
      </c>
      <c r="G87" s="17">
        <v>94.07</v>
      </c>
      <c r="H87" s="18">
        <f t="shared" si="14"/>
        <v>94.07</v>
      </c>
      <c r="I87" s="16"/>
      <c r="L87" s="25"/>
    </row>
    <row r="88" ht="18.75" customHeight="1" spans="1:12">
      <c r="A88" s="15" t="s">
        <v>403</v>
      </c>
      <c r="B88" s="16" t="s">
        <v>241</v>
      </c>
      <c r="C88" s="16" t="s">
        <v>178</v>
      </c>
      <c r="D88" s="16"/>
      <c r="E88" s="9" t="s">
        <v>96</v>
      </c>
      <c r="F88" s="10">
        <v>2</v>
      </c>
      <c r="G88" s="17">
        <v>99.52</v>
      </c>
      <c r="H88" s="18">
        <f t="shared" si="8"/>
        <v>199.04</v>
      </c>
      <c r="I88" s="16"/>
      <c r="L88" s="25"/>
    </row>
    <row r="89" ht="18.75" customHeight="1" spans="1:12">
      <c r="A89" s="15" t="s">
        <v>404</v>
      </c>
      <c r="B89" s="16" t="s">
        <v>241</v>
      </c>
      <c r="C89" s="16" t="s">
        <v>117</v>
      </c>
      <c r="D89" s="16"/>
      <c r="E89" s="9" t="s">
        <v>96</v>
      </c>
      <c r="F89" s="10">
        <v>2</v>
      </c>
      <c r="G89" s="17">
        <v>75.2</v>
      </c>
      <c r="H89" s="18">
        <f t="shared" ref="H89" si="15">F89*G89</f>
        <v>150.4</v>
      </c>
      <c r="I89" s="16"/>
      <c r="L89" s="25"/>
    </row>
    <row r="90" ht="18.75" customHeight="1" spans="1:12">
      <c r="A90" s="15" t="s">
        <v>405</v>
      </c>
      <c r="B90" s="16" t="s">
        <v>123</v>
      </c>
      <c r="C90" s="16" t="s">
        <v>180</v>
      </c>
      <c r="D90" s="16"/>
      <c r="E90" s="9" t="s">
        <v>96</v>
      </c>
      <c r="F90" s="10">
        <v>3</v>
      </c>
      <c r="G90" s="17">
        <v>376.13</v>
      </c>
      <c r="H90" s="18">
        <f t="shared" si="8"/>
        <v>1128.39</v>
      </c>
      <c r="I90" s="16"/>
      <c r="L90" s="25"/>
    </row>
    <row r="91" ht="18.75" customHeight="1" spans="1:12">
      <c r="A91" s="15" t="s">
        <v>406</v>
      </c>
      <c r="B91" s="16" t="s">
        <v>123</v>
      </c>
      <c r="C91" s="16" t="s">
        <v>124</v>
      </c>
      <c r="D91" s="16"/>
      <c r="E91" s="9" t="s">
        <v>96</v>
      </c>
      <c r="F91" s="10">
        <v>5</v>
      </c>
      <c r="G91" s="17">
        <v>263.71</v>
      </c>
      <c r="H91" s="18">
        <f t="shared" si="8"/>
        <v>1318.55</v>
      </c>
      <c r="I91" s="16"/>
      <c r="L91" s="25"/>
    </row>
    <row r="92" ht="18.75" customHeight="1" spans="1:12">
      <c r="A92" s="15" t="s">
        <v>407</v>
      </c>
      <c r="B92" s="16" t="s">
        <v>123</v>
      </c>
      <c r="C92" s="16" t="s">
        <v>125</v>
      </c>
      <c r="D92" s="16"/>
      <c r="E92" s="9" t="s">
        <v>96</v>
      </c>
      <c r="F92" s="10">
        <v>11</v>
      </c>
      <c r="G92" s="17">
        <v>182.55</v>
      </c>
      <c r="H92" s="18">
        <f t="shared" ref="H92" si="16">F92*G92</f>
        <v>2008.05</v>
      </c>
      <c r="I92" s="16"/>
      <c r="L92" s="25"/>
    </row>
    <row r="93" ht="18.75" customHeight="1" spans="1:12">
      <c r="A93" s="15" t="s">
        <v>408</v>
      </c>
      <c r="B93" s="16" t="s">
        <v>122</v>
      </c>
      <c r="C93" s="16" t="s">
        <v>179</v>
      </c>
      <c r="D93" s="16"/>
      <c r="E93" s="9" t="s">
        <v>96</v>
      </c>
      <c r="F93" s="10">
        <v>13</v>
      </c>
      <c r="G93" s="17">
        <v>101.7</v>
      </c>
      <c r="H93" s="18">
        <f t="shared" si="8"/>
        <v>1322.1</v>
      </c>
      <c r="I93" s="16"/>
      <c r="L93" s="25"/>
    </row>
    <row r="94" ht="18.75" customHeight="1" spans="1:12">
      <c r="A94" s="15" t="s">
        <v>409</v>
      </c>
      <c r="B94" s="16" t="s">
        <v>122</v>
      </c>
      <c r="C94" s="16" t="s">
        <v>119</v>
      </c>
      <c r="D94" s="16"/>
      <c r="E94" s="9" t="s">
        <v>96</v>
      </c>
      <c r="F94" s="10">
        <v>8</v>
      </c>
      <c r="G94" s="17">
        <v>96.25</v>
      </c>
      <c r="H94" s="18">
        <f t="shared" si="8"/>
        <v>770</v>
      </c>
      <c r="I94" s="16"/>
      <c r="L94" s="25"/>
    </row>
    <row r="95" ht="18.75" customHeight="1" spans="1:12">
      <c r="A95" s="15" t="s">
        <v>410</v>
      </c>
      <c r="B95" s="16" t="s">
        <v>122</v>
      </c>
      <c r="C95" s="16" t="s">
        <v>120</v>
      </c>
      <c r="D95" s="16"/>
      <c r="E95" s="9" t="s">
        <v>96</v>
      </c>
      <c r="F95" s="10">
        <v>4</v>
      </c>
      <c r="G95" s="17">
        <v>94.07</v>
      </c>
      <c r="H95" s="18">
        <f t="shared" ref="H95" si="17">F95*G95</f>
        <v>376.28</v>
      </c>
      <c r="I95" s="16"/>
      <c r="L95" s="25"/>
    </row>
    <row r="96" ht="18.75" customHeight="1" spans="1:12">
      <c r="A96" s="15" t="s">
        <v>411</v>
      </c>
      <c r="B96" s="16" t="s">
        <v>127</v>
      </c>
      <c r="C96" s="16" t="s">
        <v>98</v>
      </c>
      <c r="D96" s="16"/>
      <c r="E96" s="9" t="s">
        <v>96</v>
      </c>
      <c r="F96" s="10">
        <v>5</v>
      </c>
      <c r="G96" s="17">
        <v>771.19</v>
      </c>
      <c r="H96" s="18">
        <f t="shared" si="8"/>
        <v>3855.95</v>
      </c>
      <c r="I96" s="16" t="s">
        <v>330</v>
      </c>
      <c r="L96" s="25"/>
    </row>
    <row r="97" ht="18.75" customHeight="1" spans="1:12">
      <c r="A97" s="15" t="s">
        <v>412</v>
      </c>
      <c r="B97" s="16" t="s">
        <v>127</v>
      </c>
      <c r="C97" s="16" t="s">
        <v>101</v>
      </c>
      <c r="D97" s="16"/>
      <c r="E97" s="9" t="s">
        <v>96</v>
      </c>
      <c r="F97" s="10">
        <v>13</v>
      </c>
      <c r="G97" s="17">
        <v>450.68</v>
      </c>
      <c r="H97" s="18">
        <f t="shared" ref="H97" si="18">F97*G97</f>
        <v>5858.84</v>
      </c>
      <c r="I97" s="16" t="s">
        <v>330</v>
      </c>
      <c r="L97" s="25"/>
    </row>
    <row r="98" ht="18.75" customHeight="1" spans="1:12">
      <c r="A98" s="15" t="s">
        <v>413</v>
      </c>
      <c r="B98" s="16" t="s">
        <v>127</v>
      </c>
      <c r="C98" s="16" t="s">
        <v>102</v>
      </c>
      <c r="D98" s="16"/>
      <c r="E98" s="9" t="s">
        <v>96</v>
      </c>
      <c r="F98" s="10">
        <v>134</v>
      </c>
      <c r="G98" s="17">
        <v>360.55</v>
      </c>
      <c r="H98" s="18">
        <f t="shared" si="8"/>
        <v>48313.7</v>
      </c>
      <c r="I98" s="16" t="s">
        <v>330</v>
      </c>
      <c r="L98" s="25"/>
    </row>
    <row r="99" ht="18.75" customHeight="1" spans="1:12">
      <c r="A99" s="15" t="s">
        <v>414</v>
      </c>
      <c r="B99" s="16" t="s">
        <v>132</v>
      </c>
      <c r="C99" s="16"/>
      <c r="D99" s="16"/>
      <c r="E99" s="9" t="s">
        <v>23</v>
      </c>
      <c r="F99" s="10">
        <v>479</v>
      </c>
      <c r="G99" s="17">
        <v>1.89</v>
      </c>
      <c r="H99" s="18">
        <f t="shared" si="8"/>
        <v>905.31</v>
      </c>
      <c r="I99" s="16"/>
      <c r="K99" s="2">
        <v>1003</v>
      </c>
      <c r="L99" s="25"/>
    </row>
    <row r="100" ht="18.75" customHeight="1" spans="1:12">
      <c r="A100" s="15" t="s">
        <v>415</v>
      </c>
      <c r="B100" s="16" t="s">
        <v>133</v>
      </c>
      <c r="C100" s="16"/>
      <c r="D100" s="16"/>
      <c r="E100" s="9" t="s">
        <v>23</v>
      </c>
      <c r="F100" s="10">
        <v>479</v>
      </c>
      <c r="G100" s="17">
        <v>6.04</v>
      </c>
      <c r="H100" s="18">
        <f t="shared" si="8"/>
        <v>2893.16</v>
      </c>
      <c r="I100" s="16"/>
      <c r="L100" s="25"/>
    </row>
    <row r="101" ht="18.75" customHeight="1" spans="1:14">
      <c r="A101" s="15" t="s">
        <v>416</v>
      </c>
      <c r="B101" s="16" t="s">
        <v>336</v>
      </c>
      <c r="C101" s="16" t="s">
        <v>417</v>
      </c>
      <c r="D101" s="16"/>
      <c r="E101" s="9" t="s">
        <v>96</v>
      </c>
      <c r="F101" s="10">
        <v>2</v>
      </c>
      <c r="G101" s="17">
        <v>28244.08</v>
      </c>
      <c r="H101" s="18">
        <f t="shared" ref="H101:H108" si="19">F101*G101</f>
        <v>56488.16</v>
      </c>
      <c r="I101" s="16"/>
      <c r="M101" s="26">
        <v>3</v>
      </c>
      <c r="N101" s="5">
        <v>6.46062992125984</v>
      </c>
    </row>
    <row r="102" ht="18.75" customHeight="1" spans="1:13">
      <c r="A102" s="15" t="s">
        <v>418</v>
      </c>
      <c r="B102" s="16" t="s">
        <v>135</v>
      </c>
      <c r="C102" s="16" t="s">
        <v>136</v>
      </c>
      <c r="D102" s="16"/>
      <c r="E102" s="9" t="s">
        <v>137</v>
      </c>
      <c r="F102" s="10">
        <v>1203</v>
      </c>
      <c r="G102" s="17">
        <f>0.04*7.85*4*5.5*1.35</f>
        <v>9.3258</v>
      </c>
      <c r="H102" s="18">
        <f t="shared" si="19"/>
        <v>11218.9374</v>
      </c>
      <c r="I102" s="16"/>
      <c r="M102" s="30"/>
    </row>
    <row r="103" ht="18.75" customHeight="1" spans="1:13">
      <c r="A103" s="15" t="s">
        <v>419</v>
      </c>
      <c r="B103" s="16" t="s">
        <v>138</v>
      </c>
      <c r="C103" s="16" t="s">
        <v>139</v>
      </c>
      <c r="D103" s="16"/>
      <c r="E103" s="9" t="s">
        <v>140</v>
      </c>
      <c r="F103" s="10">
        <v>4</v>
      </c>
      <c r="G103" s="17">
        <f>3.77*5.5*1.35</f>
        <v>27.99225</v>
      </c>
      <c r="H103" s="18">
        <f t="shared" si="19"/>
        <v>111.969</v>
      </c>
      <c r="I103" s="16"/>
      <c r="M103" s="30"/>
    </row>
    <row r="104" ht="18.75" customHeight="1" spans="1:13">
      <c r="A104" s="15" t="s">
        <v>420</v>
      </c>
      <c r="B104" s="16" t="s">
        <v>134</v>
      </c>
      <c r="C104" s="16" t="s">
        <v>98</v>
      </c>
      <c r="D104" s="16" t="s">
        <v>91</v>
      </c>
      <c r="E104" s="9" t="s">
        <v>96</v>
      </c>
      <c r="F104" s="10">
        <v>68</v>
      </c>
      <c r="G104" s="17">
        <v>121.21</v>
      </c>
      <c r="H104" s="18">
        <f t="shared" si="19"/>
        <v>8242.28</v>
      </c>
      <c r="I104" s="16"/>
      <c r="M104" s="30"/>
    </row>
    <row r="105" ht="18" customHeight="1" spans="1:13">
      <c r="A105" s="15" t="s">
        <v>421</v>
      </c>
      <c r="B105" s="16" t="s">
        <v>134</v>
      </c>
      <c r="C105" s="16" t="s">
        <v>101</v>
      </c>
      <c r="D105" s="16" t="s">
        <v>91</v>
      </c>
      <c r="E105" s="9" t="s">
        <v>96</v>
      </c>
      <c r="F105" s="10">
        <v>122</v>
      </c>
      <c r="G105" s="17">
        <v>109</v>
      </c>
      <c r="H105" s="18">
        <f t="shared" si="19"/>
        <v>13298</v>
      </c>
      <c r="I105" s="16"/>
      <c r="M105" s="30"/>
    </row>
    <row r="106" ht="18" customHeight="1" spans="1:13">
      <c r="A106" s="15" t="s">
        <v>422</v>
      </c>
      <c r="B106" s="16" t="s">
        <v>134</v>
      </c>
      <c r="C106" s="16" t="s">
        <v>181</v>
      </c>
      <c r="D106" s="16" t="s">
        <v>91</v>
      </c>
      <c r="E106" s="9" t="s">
        <v>96</v>
      </c>
      <c r="F106" s="10">
        <v>591</v>
      </c>
      <c r="G106" s="17">
        <v>54.55</v>
      </c>
      <c r="H106" s="18">
        <f t="shared" ref="H106" si="20">F106*G106</f>
        <v>32239.05</v>
      </c>
      <c r="I106" s="16"/>
      <c r="M106" s="30"/>
    </row>
    <row r="107" ht="18.75" customHeight="1" spans="1:12">
      <c r="A107" s="15" t="s">
        <v>423</v>
      </c>
      <c r="B107" s="16" t="s">
        <v>346</v>
      </c>
      <c r="C107" s="16"/>
      <c r="D107" s="16"/>
      <c r="E107" s="9" t="s">
        <v>137</v>
      </c>
      <c r="F107" s="10">
        <v>24</v>
      </c>
      <c r="G107" s="17">
        <v>312.6</v>
      </c>
      <c r="H107" s="18">
        <f t="shared" si="19"/>
        <v>7502.4</v>
      </c>
      <c r="I107" s="16"/>
      <c r="K107" s="2" t="s">
        <v>347</v>
      </c>
      <c r="L107" s="25"/>
    </row>
    <row r="108" ht="18.75" customHeight="1" spans="1:12">
      <c r="A108" s="15" t="s">
        <v>424</v>
      </c>
      <c r="B108" s="16" t="s">
        <v>145</v>
      </c>
      <c r="C108" s="16" t="s">
        <v>146</v>
      </c>
      <c r="D108" s="16" t="s">
        <v>147</v>
      </c>
      <c r="E108" s="9" t="s">
        <v>148</v>
      </c>
      <c r="F108" s="10">
        <v>689</v>
      </c>
      <c r="G108" s="17">
        <v>327.12</v>
      </c>
      <c r="H108" s="18">
        <f t="shared" si="19"/>
        <v>225385.68</v>
      </c>
      <c r="I108" s="16" t="s">
        <v>350</v>
      </c>
      <c r="L108" s="25"/>
    </row>
    <row r="109" ht="18.75" customHeight="1" spans="1:12">
      <c r="A109" s="15" t="s">
        <v>425</v>
      </c>
      <c r="B109" s="16" t="s">
        <v>154</v>
      </c>
      <c r="C109" s="16" t="s">
        <v>155</v>
      </c>
      <c r="D109" s="16"/>
      <c r="E109" s="9" t="s">
        <v>96</v>
      </c>
      <c r="F109" s="10">
        <v>1378</v>
      </c>
      <c r="G109" s="17">
        <v>100.39</v>
      </c>
      <c r="H109" s="18">
        <f t="shared" ref="H109:H115" si="21">F109*G109</f>
        <v>138337.42</v>
      </c>
      <c r="I109" s="16"/>
      <c r="L109" s="25"/>
    </row>
    <row r="110" ht="18.75" customHeight="1" spans="1:12">
      <c r="A110" s="15" t="s">
        <v>426</v>
      </c>
      <c r="B110" s="16" t="s">
        <v>247</v>
      </c>
      <c r="C110" s="16" t="s">
        <v>155</v>
      </c>
      <c r="D110" s="16"/>
      <c r="E110" s="9" t="s">
        <v>137</v>
      </c>
      <c r="F110" s="10">
        <v>4134</v>
      </c>
      <c r="G110" s="17">
        <v>49.43</v>
      </c>
      <c r="H110" s="18">
        <f t="shared" si="21"/>
        <v>204343.62</v>
      </c>
      <c r="I110" s="16"/>
      <c r="K110" s="2" t="s">
        <v>353</v>
      </c>
      <c r="L110" s="25"/>
    </row>
    <row r="111" ht="18.75" customHeight="1" spans="1:12">
      <c r="A111" s="15" t="s">
        <v>427</v>
      </c>
      <c r="B111" s="16" t="s">
        <v>355</v>
      </c>
      <c r="C111" s="16" t="s">
        <v>356</v>
      </c>
      <c r="D111" s="16"/>
      <c r="E111" s="9" t="s">
        <v>96</v>
      </c>
      <c r="F111" s="10">
        <v>689</v>
      </c>
      <c r="G111" s="17">
        <v>5.5</v>
      </c>
      <c r="H111" s="18">
        <f t="shared" si="21"/>
        <v>3789.5</v>
      </c>
      <c r="I111" s="16"/>
      <c r="L111" s="25"/>
    </row>
    <row r="112" ht="18.75" customHeight="1" spans="1:12">
      <c r="A112" s="15" t="s">
        <v>428</v>
      </c>
      <c r="B112" s="16" t="s">
        <v>158</v>
      </c>
      <c r="C112" s="16" t="s">
        <v>155</v>
      </c>
      <c r="D112" s="16"/>
      <c r="E112" s="9" t="s">
        <v>96</v>
      </c>
      <c r="F112" s="10">
        <v>3445</v>
      </c>
      <c r="G112" s="17">
        <v>4.2</v>
      </c>
      <c r="H112" s="18">
        <f t="shared" si="21"/>
        <v>14469</v>
      </c>
      <c r="I112" s="16"/>
      <c r="L112" s="25"/>
    </row>
    <row r="113" ht="18.75" customHeight="1" spans="1:12">
      <c r="A113" s="15" t="s">
        <v>429</v>
      </c>
      <c r="B113" s="16" t="s">
        <v>159</v>
      </c>
      <c r="C113" s="16" t="s">
        <v>155</v>
      </c>
      <c r="D113" s="16"/>
      <c r="E113" s="9" t="s">
        <v>96</v>
      </c>
      <c r="F113" s="10">
        <v>1378</v>
      </c>
      <c r="G113" s="17">
        <v>3.85</v>
      </c>
      <c r="H113" s="18">
        <f t="shared" si="21"/>
        <v>5305.3</v>
      </c>
      <c r="I113" s="16"/>
      <c r="L113" s="25"/>
    </row>
    <row r="114" ht="18.75" customHeight="1" spans="1:12">
      <c r="A114" s="15" t="s">
        <v>430</v>
      </c>
      <c r="B114" s="16" t="s">
        <v>233</v>
      </c>
      <c r="C114" s="16" t="s">
        <v>102</v>
      </c>
      <c r="D114" s="16" t="s">
        <v>147</v>
      </c>
      <c r="E114" s="9" t="s">
        <v>96</v>
      </c>
      <c r="F114" s="10">
        <v>689</v>
      </c>
      <c r="G114" s="17">
        <v>20.15</v>
      </c>
      <c r="H114" s="18">
        <f t="shared" si="21"/>
        <v>13883.35</v>
      </c>
      <c r="I114" s="16"/>
      <c r="L114" s="25"/>
    </row>
    <row r="115" ht="18.75" customHeight="1" spans="1:12">
      <c r="A115" s="15" t="s">
        <v>431</v>
      </c>
      <c r="B115" s="16" t="s">
        <v>361</v>
      </c>
      <c r="C115" s="16" t="s">
        <v>362</v>
      </c>
      <c r="D115" s="16"/>
      <c r="E115" s="9" t="s">
        <v>363</v>
      </c>
      <c r="F115" s="10">
        <f>479*0.9</f>
        <v>431.1</v>
      </c>
      <c r="G115" s="17">
        <v>149.04</v>
      </c>
      <c r="H115" s="18">
        <f t="shared" si="21"/>
        <v>64251.144</v>
      </c>
      <c r="I115" s="16"/>
      <c r="K115" s="2">
        <v>2</v>
      </c>
      <c r="L115" s="25"/>
    </row>
    <row r="116" ht="18.75" customHeight="1" spans="1:12">
      <c r="A116" s="15" t="s">
        <v>432</v>
      </c>
      <c r="B116" s="16" t="s">
        <v>163</v>
      </c>
      <c r="C116" s="16"/>
      <c r="D116" s="16"/>
      <c r="E116" s="9" t="s">
        <v>164</v>
      </c>
      <c r="F116" s="10">
        <f>479*(0.9*1.9)</f>
        <v>819.09</v>
      </c>
      <c r="G116" s="17">
        <v>15.39</v>
      </c>
      <c r="H116" s="18">
        <f t="shared" ref="H116:H120" si="22">F116*G116</f>
        <v>12605.7951</v>
      </c>
      <c r="I116" s="16"/>
      <c r="L116" s="25"/>
    </row>
    <row r="117" ht="18.75" customHeight="1" spans="1:12">
      <c r="A117" s="15" t="s">
        <v>433</v>
      </c>
      <c r="B117" s="16" t="s">
        <v>165</v>
      </c>
      <c r="C117" s="16"/>
      <c r="D117" s="16"/>
      <c r="E117" s="9" t="s">
        <v>164</v>
      </c>
      <c r="F117" s="10">
        <f>479*(0.9*1.7)</f>
        <v>732.87</v>
      </c>
      <c r="G117" s="17">
        <v>27.54</v>
      </c>
      <c r="H117" s="18">
        <f t="shared" si="22"/>
        <v>20183.2398</v>
      </c>
      <c r="I117" s="16"/>
      <c r="L117" s="25"/>
    </row>
    <row r="118" ht="18.75" customHeight="1" spans="1:12">
      <c r="A118" s="15" t="s">
        <v>434</v>
      </c>
      <c r="B118" s="16" t="s">
        <v>166</v>
      </c>
      <c r="C118" s="16"/>
      <c r="D118" s="16"/>
      <c r="E118" s="9" t="s">
        <v>164</v>
      </c>
      <c r="F118" s="10">
        <f>479*(0.9*0.15)</f>
        <v>64.665</v>
      </c>
      <c r="G118" s="17">
        <v>30.63</v>
      </c>
      <c r="H118" s="18">
        <f t="shared" si="22"/>
        <v>1980.68895</v>
      </c>
      <c r="I118" s="16"/>
      <c r="L118" s="25"/>
    </row>
    <row r="119" ht="18.75" customHeight="1" spans="1:12">
      <c r="A119" s="15" t="s">
        <v>435</v>
      </c>
      <c r="B119" s="16" t="s">
        <v>167</v>
      </c>
      <c r="C119" s="16"/>
      <c r="D119" s="16"/>
      <c r="E119" s="9" t="s">
        <v>164</v>
      </c>
      <c r="F119" s="10">
        <f>479*(0.9*0.15)</f>
        <v>64.665</v>
      </c>
      <c r="G119" s="17">
        <v>214.7</v>
      </c>
      <c r="H119" s="18">
        <f t="shared" si="22"/>
        <v>13883.5755</v>
      </c>
      <c r="I119" s="16"/>
      <c r="L119" s="25"/>
    </row>
    <row r="120" ht="18.75" hidden="1" customHeight="1" spans="1:12">
      <c r="A120" s="15" t="s">
        <v>436</v>
      </c>
      <c r="B120" s="16" t="s">
        <v>369</v>
      </c>
      <c r="C120" s="16"/>
      <c r="D120" s="16"/>
      <c r="E120" s="9" t="s">
        <v>164</v>
      </c>
      <c r="F120" s="10">
        <f>479*(0.9*0.3)*0</f>
        <v>0</v>
      </c>
      <c r="G120" s="17">
        <v>215.73</v>
      </c>
      <c r="H120" s="18">
        <f t="shared" si="22"/>
        <v>0</v>
      </c>
      <c r="I120" s="16"/>
      <c r="L120" s="25"/>
    </row>
    <row r="121" ht="18.75" customHeight="1" spans="1:9">
      <c r="A121" s="15"/>
      <c r="B121" s="16" t="s">
        <v>168</v>
      </c>
      <c r="C121" s="16"/>
      <c r="D121" s="16"/>
      <c r="E121" s="9" t="s">
        <v>169</v>
      </c>
      <c r="F121" s="10"/>
      <c r="G121" s="31"/>
      <c r="H121" s="18">
        <f>SUM(H61:H120)</f>
        <v>1251722.72975</v>
      </c>
      <c r="I121" s="16"/>
    </row>
    <row r="122" ht="18.75" customHeight="1" spans="1:10">
      <c r="A122" s="11" t="s">
        <v>26</v>
      </c>
      <c r="B122" s="12" t="s">
        <v>437</v>
      </c>
      <c r="C122" s="13"/>
      <c r="D122" s="13"/>
      <c r="E122" s="13"/>
      <c r="F122" s="14"/>
      <c r="G122" s="13"/>
      <c r="H122" s="13"/>
      <c r="I122" s="23"/>
      <c r="J122" s="24"/>
    </row>
    <row r="123" ht="18.75" customHeight="1" spans="1:15">
      <c r="A123" s="15" t="s">
        <v>438</v>
      </c>
      <c r="B123" s="16" t="s">
        <v>84</v>
      </c>
      <c r="C123" s="16" t="s">
        <v>439</v>
      </c>
      <c r="D123" s="16" t="s">
        <v>86</v>
      </c>
      <c r="E123" s="9" t="s">
        <v>23</v>
      </c>
      <c r="F123" s="10">
        <v>14</v>
      </c>
      <c r="G123" s="17">
        <v>353.21</v>
      </c>
      <c r="H123" s="18">
        <f t="shared" ref="H123:H128" si="23">F123*G123</f>
        <v>4944.94</v>
      </c>
      <c r="I123" s="16"/>
      <c r="K123" s="3"/>
      <c r="L123" s="25"/>
      <c r="M123" s="26">
        <v>370</v>
      </c>
      <c r="N123" s="27">
        <v>555</v>
      </c>
      <c r="O123" s="3"/>
    </row>
    <row r="124" ht="18.75" customHeight="1" spans="1:15">
      <c r="A124" s="15" t="s">
        <v>440</v>
      </c>
      <c r="B124" s="16" t="s">
        <v>84</v>
      </c>
      <c r="C124" s="16" t="s">
        <v>441</v>
      </c>
      <c r="D124" s="16" t="s">
        <v>86</v>
      </c>
      <c r="E124" s="9" t="s">
        <v>23</v>
      </c>
      <c r="F124" s="10">
        <v>27</v>
      </c>
      <c r="G124" s="17">
        <v>279.64</v>
      </c>
      <c r="H124" s="18">
        <f t="shared" ref="H124:H126" si="24">F124*G124</f>
        <v>7550.28</v>
      </c>
      <c r="I124" s="16"/>
      <c r="K124" s="3"/>
      <c r="L124" s="25"/>
      <c r="M124" s="26">
        <v>370</v>
      </c>
      <c r="N124" s="27">
        <v>555</v>
      </c>
      <c r="O124" s="3"/>
    </row>
    <row r="125" ht="18.75" customHeight="1" spans="1:15">
      <c r="A125" s="15" t="s">
        <v>442</v>
      </c>
      <c r="B125" s="16" t="s">
        <v>84</v>
      </c>
      <c r="C125" s="16" t="s">
        <v>443</v>
      </c>
      <c r="D125" s="16" t="s">
        <v>86</v>
      </c>
      <c r="E125" s="9" t="s">
        <v>23</v>
      </c>
      <c r="F125" s="10">
        <v>92</v>
      </c>
      <c r="G125" s="17">
        <v>229.35</v>
      </c>
      <c r="H125" s="18">
        <f t="shared" si="24"/>
        <v>21100.2</v>
      </c>
      <c r="I125" s="16"/>
      <c r="K125" s="3"/>
      <c r="L125" s="25"/>
      <c r="M125" s="26">
        <v>370</v>
      </c>
      <c r="N125" s="27">
        <v>555</v>
      </c>
      <c r="O125" s="3"/>
    </row>
    <row r="126" ht="18.75" customHeight="1" spans="1:15">
      <c r="A126" s="15" t="s">
        <v>444</v>
      </c>
      <c r="B126" s="16" t="s">
        <v>84</v>
      </c>
      <c r="C126" s="16" t="s">
        <v>259</v>
      </c>
      <c r="D126" s="16" t="s">
        <v>86</v>
      </c>
      <c r="E126" s="9" t="s">
        <v>23</v>
      </c>
      <c r="F126" s="10">
        <v>286</v>
      </c>
      <c r="G126" s="17">
        <v>167.58</v>
      </c>
      <c r="H126" s="18">
        <f t="shared" si="24"/>
        <v>47927.88</v>
      </c>
      <c r="I126" s="16"/>
      <c r="K126" s="3"/>
      <c r="L126" s="25"/>
      <c r="M126" s="26">
        <v>370</v>
      </c>
      <c r="N126" s="27">
        <v>555</v>
      </c>
      <c r="O126" s="3"/>
    </row>
    <row r="127" ht="18.75" customHeight="1" spans="1:15">
      <c r="A127" s="15" t="s">
        <v>445</v>
      </c>
      <c r="B127" s="16" t="s">
        <v>84</v>
      </c>
      <c r="C127" s="16" t="s">
        <v>171</v>
      </c>
      <c r="D127" s="16" t="s">
        <v>86</v>
      </c>
      <c r="E127" s="9" t="s">
        <v>23</v>
      </c>
      <c r="F127" s="19">
        <v>650</v>
      </c>
      <c r="G127" s="17">
        <v>78.32</v>
      </c>
      <c r="H127" s="18">
        <f t="shared" si="23"/>
        <v>50908</v>
      </c>
      <c r="I127" s="16"/>
      <c r="K127" s="3"/>
      <c r="L127" s="25"/>
      <c r="M127" s="28">
        <v>463</v>
      </c>
      <c r="N127" s="27">
        <v>694.5</v>
      </c>
      <c r="O127" s="3"/>
    </row>
    <row r="128" ht="18.75" customHeight="1" spans="1:15">
      <c r="A128" s="15" t="s">
        <v>446</v>
      </c>
      <c r="B128" s="16" t="s">
        <v>84</v>
      </c>
      <c r="C128" s="16" t="s">
        <v>85</v>
      </c>
      <c r="D128" s="16" t="s">
        <v>86</v>
      </c>
      <c r="E128" s="9" t="s">
        <v>23</v>
      </c>
      <c r="F128" s="20">
        <v>291</v>
      </c>
      <c r="G128" s="17">
        <v>67.71</v>
      </c>
      <c r="H128" s="18">
        <f t="shared" si="23"/>
        <v>19703.61</v>
      </c>
      <c r="I128" s="16"/>
      <c r="K128" s="3"/>
      <c r="L128" s="25"/>
      <c r="M128" s="3">
        <v>145</v>
      </c>
      <c r="N128" s="27">
        <v>217.5</v>
      </c>
      <c r="O128" s="3"/>
    </row>
    <row r="129" ht="18.75" customHeight="1" spans="1:15">
      <c r="A129" s="15" t="s">
        <v>447</v>
      </c>
      <c r="B129" s="16" t="s">
        <v>84</v>
      </c>
      <c r="C129" s="16" t="s">
        <v>87</v>
      </c>
      <c r="D129" s="16" t="s">
        <v>86</v>
      </c>
      <c r="E129" s="9" t="s">
        <v>23</v>
      </c>
      <c r="F129" s="10">
        <v>65</v>
      </c>
      <c r="G129" s="17">
        <v>39.37</v>
      </c>
      <c r="H129" s="18">
        <f t="shared" ref="H129:H131" si="25">F129*G129</f>
        <v>2559.05</v>
      </c>
      <c r="I129" s="16"/>
      <c r="K129" s="3"/>
      <c r="L129" s="25"/>
      <c r="M129" s="3">
        <v>145</v>
      </c>
      <c r="N129" s="27">
        <v>217.5</v>
      </c>
      <c r="O129" s="3"/>
    </row>
    <row r="130" ht="18.75" customHeight="1" spans="1:15">
      <c r="A130" s="15" t="s">
        <v>448</v>
      </c>
      <c r="B130" s="16" t="s">
        <v>89</v>
      </c>
      <c r="C130" s="16" t="s">
        <v>299</v>
      </c>
      <c r="D130" s="16" t="s">
        <v>91</v>
      </c>
      <c r="E130" s="9" t="s">
        <v>23</v>
      </c>
      <c r="F130" s="10">
        <v>1382</v>
      </c>
      <c r="G130" s="17">
        <v>160.1</v>
      </c>
      <c r="H130" s="18">
        <f t="shared" si="25"/>
        <v>221258.2</v>
      </c>
      <c r="I130" s="16"/>
      <c r="K130" s="29"/>
      <c r="L130" s="29"/>
      <c r="M130" s="26">
        <v>2413</v>
      </c>
      <c r="N130" s="27">
        <v>3619.5</v>
      </c>
      <c r="O130" s="29"/>
    </row>
    <row r="131" ht="18.75" customHeight="1" spans="1:15">
      <c r="A131" s="15" t="s">
        <v>449</v>
      </c>
      <c r="B131" s="16" t="s">
        <v>89</v>
      </c>
      <c r="C131" s="16" t="s">
        <v>301</v>
      </c>
      <c r="D131" s="16" t="s">
        <v>91</v>
      </c>
      <c r="E131" s="9" t="s">
        <v>23</v>
      </c>
      <c r="F131" s="10">
        <v>3235</v>
      </c>
      <c r="G131" s="17">
        <v>131.63</v>
      </c>
      <c r="H131" s="18">
        <f t="shared" si="25"/>
        <v>425823.05</v>
      </c>
      <c r="I131" s="16"/>
      <c r="K131" s="29"/>
      <c r="L131" s="29"/>
      <c r="M131" s="26">
        <v>38</v>
      </c>
      <c r="N131" s="27">
        <v>57</v>
      </c>
      <c r="O131" s="29"/>
    </row>
    <row r="132" ht="18.75" customHeight="1" spans="1:15">
      <c r="A132" s="15" t="s">
        <v>450</v>
      </c>
      <c r="B132" s="16" t="s">
        <v>89</v>
      </c>
      <c r="C132" s="16" t="s">
        <v>378</v>
      </c>
      <c r="D132" s="16" t="s">
        <v>91</v>
      </c>
      <c r="E132" s="9" t="s">
        <v>23</v>
      </c>
      <c r="F132" s="10">
        <v>322</v>
      </c>
      <c r="G132" s="17">
        <v>69.95</v>
      </c>
      <c r="H132" s="18">
        <f t="shared" ref="H132:H173" si="26">F132*G132</f>
        <v>22523.9</v>
      </c>
      <c r="I132" s="16"/>
      <c r="K132" s="29">
        <f>SUM(F128:F132)</f>
        <v>5295</v>
      </c>
      <c r="L132" s="29"/>
      <c r="M132" s="26">
        <v>120</v>
      </c>
      <c r="N132" s="5">
        <v>258.425196850394</v>
      </c>
      <c r="O132" s="29"/>
    </row>
    <row r="133" ht="18.75" customHeight="1" spans="1:15">
      <c r="A133" s="15" t="s">
        <v>451</v>
      </c>
      <c r="B133" s="16" t="s">
        <v>89</v>
      </c>
      <c r="C133" s="16" t="s">
        <v>380</v>
      </c>
      <c r="D133" s="16" t="s">
        <v>91</v>
      </c>
      <c r="E133" s="9" t="s">
        <v>23</v>
      </c>
      <c r="F133" s="10">
        <v>9111</v>
      </c>
      <c r="G133" s="17">
        <v>50.23</v>
      </c>
      <c r="H133" s="18">
        <f t="shared" ref="H133" si="27">F133*G133</f>
        <v>457645.53</v>
      </c>
      <c r="I133" s="16"/>
      <c r="K133" s="29">
        <f>SUM(F129:F133)</f>
        <v>14115</v>
      </c>
      <c r="L133" s="29"/>
      <c r="M133" s="26">
        <v>120</v>
      </c>
      <c r="N133" s="5">
        <v>258.425196850394</v>
      </c>
      <c r="O133" s="29"/>
    </row>
    <row r="134" ht="18.75" customHeight="1" spans="1:12">
      <c r="A134" s="15" t="s">
        <v>452</v>
      </c>
      <c r="B134" s="16" t="s">
        <v>93</v>
      </c>
      <c r="C134" s="16" t="s">
        <v>276</v>
      </c>
      <c r="D134" s="16" t="s">
        <v>95</v>
      </c>
      <c r="E134" s="9" t="s">
        <v>96</v>
      </c>
      <c r="F134" s="10">
        <v>5</v>
      </c>
      <c r="G134" s="17">
        <v>260.5</v>
      </c>
      <c r="H134" s="18">
        <f t="shared" si="26"/>
        <v>1302.5</v>
      </c>
      <c r="I134" s="16"/>
      <c r="L134" s="25"/>
    </row>
    <row r="135" ht="18.75" customHeight="1" spans="1:12">
      <c r="A135" s="15" t="s">
        <v>453</v>
      </c>
      <c r="B135" s="16" t="s">
        <v>93</v>
      </c>
      <c r="C135" s="16" t="s">
        <v>454</v>
      </c>
      <c r="D135" s="16" t="s">
        <v>95</v>
      </c>
      <c r="E135" s="9" t="s">
        <v>96</v>
      </c>
      <c r="F135" s="10">
        <v>20</v>
      </c>
      <c r="G135" s="17">
        <v>240.55</v>
      </c>
      <c r="H135" s="18">
        <f t="shared" ref="H135:H139" si="28">F135*G135</f>
        <v>4811</v>
      </c>
      <c r="I135" s="16"/>
      <c r="L135" s="25"/>
    </row>
    <row r="136" ht="18.75" customHeight="1" spans="1:12">
      <c r="A136" s="15" t="s">
        <v>455</v>
      </c>
      <c r="B136" s="16" t="s">
        <v>93</v>
      </c>
      <c r="C136" s="16" t="s">
        <v>94</v>
      </c>
      <c r="D136" s="16" t="s">
        <v>95</v>
      </c>
      <c r="E136" s="9" t="s">
        <v>96</v>
      </c>
      <c r="F136" s="10">
        <v>31</v>
      </c>
      <c r="G136" s="17">
        <v>225.09</v>
      </c>
      <c r="H136" s="18">
        <f t="shared" si="28"/>
        <v>6977.79</v>
      </c>
      <c r="I136" s="16"/>
      <c r="L136" s="25"/>
    </row>
    <row r="137" ht="18.75" customHeight="1" spans="1:12">
      <c r="A137" s="15" t="s">
        <v>456</v>
      </c>
      <c r="B137" s="16" t="s">
        <v>93</v>
      </c>
      <c r="C137" s="16" t="s">
        <v>98</v>
      </c>
      <c r="D137" s="16" t="s">
        <v>95</v>
      </c>
      <c r="E137" s="9" t="s">
        <v>96</v>
      </c>
      <c r="F137" s="10">
        <v>5</v>
      </c>
      <c r="G137" s="17">
        <v>113.8</v>
      </c>
      <c r="H137" s="18">
        <f t="shared" si="28"/>
        <v>569</v>
      </c>
      <c r="I137" s="16"/>
      <c r="L137" s="25"/>
    </row>
    <row r="138" ht="18.75" customHeight="1" spans="1:12">
      <c r="A138" s="15" t="s">
        <v>457</v>
      </c>
      <c r="B138" s="16" t="s">
        <v>100</v>
      </c>
      <c r="C138" s="16" t="s">
        <v>174</v>
      </c>
      <c r="D138" s="16"/>
      <c r="E138" s="9" t="s">
        <v>96</v>
      </c>
      <c r="F138" s="10">
        <v>846</v>
      </c>
      <c r="G138" s="17">
        <v>155.4</v>
      </c>
      <c r="H138" s="18">
        <f t="shared" si="28"/>
        <v>131468.4</v>
      </c>
      <c r="I138" s="16"/>
      <c r="L138" s="25"/>
    </row>
    <row r="139" ht="18.75" customHeight="1" spans="1:12">
      <c r="A139" s="15" t="s">
        <v>458</v>
      </c>
      <c r="B139" s="16" t="s">
        <v>100</v>
      </c>
      <c r="C139" s="16" t="s">
        <v>98</v>
      </c>
      <c r="D139" s="16"/>
      <c r="E139" s="9" t="s">
        <v>96</v>
      </c>
      <c r="F139" s="10">
        <v>1320</v>
      </c>
      <c r="G139" s="17">
        <v>132.78</v>
      </c>
      <c r="H139" s="18">
        <f t="shared" si="28"/>
        <v>175269.6</v>
      </c>
      <c r="I139" s="16"/>
      <c r="L139" s="25"/>
    </row>
    <row r="140" ht="18.75" customHeight="1" spans="1:12">
      <c r="A140" s="15" t="s">
        <v>459</v>
      </c>
      <c r="B140" s="16" t="s">
        <v>100</v>
      </c>
      <c r="C140" s="16" t="s">
        <v>101</v>
      </c>
      <c r="D140" s="16"/>
      <c r="E140" s="9" t="s">
        <v>96</v>
      </c>
      <c r="F140" s="10">
        <v>258</v>
      </c>
      <c r="G140" s="17">
        <v>68.16</v>
      </c>
      <c r="H140" s="18">
        <f t="shared" ref="H140:H141" si="29">F140*G140</f>
        <v>17585.28</v>
      </c>
      <c r="I140" s="16"/>
      <c r="L140" s="25"/>
    </row>
    <row r="141" ht="18.75" customHeight="1" spans="1:12">
      <c r="A141" s="15" t="s">
        <v>460</v>
      </c>
      <c r="B141" s="16" t="s">
        <v>100</v>
      </c>
      <c r="C141" s="16" t="s">
        <v>181</v>
      </c>
      <c r="D141" s="16"/>
      <c r="E141" s="9" t="s">
        <v>96</v>
      </c>
      <c r="F141" s="10">
        <v>440</v>
      </c>
      <c r="G141" s="17">
        <v>57.26</v>
      </c>
      <c r="H141" s="18">
        <f t="shared" si="29"/>
        <v>25194.4</v>
      </c>
      <c r="I141" s="16"/>
      <c r="L141" s="25"/>
    </row>
    <row r="142" ht="18.75" customHeight="1" spans="1:12">
      <c r="A142" s="15" t="s">
        <v>461</v>
      </c>
      <c r="B142" s="16" t="s">
        <v>238</v>
      </c>
      <c r="C142" s="16" t="s">
        <v>204</v>
      </c>
      <c r="D142" s="16"/>
      <c r="E142" s="9" t="s">
        <v>96</v>
      </c>
      <c r="F142" s="10">
        <v>3</v>
      </c>
      <c r="G142" s="17">
        <v>468.5</v>
      </c>
      <c r="H142" s="18">
        <f t="shared" si="26"/>
        <v>1405.5</v>
      </c>
      <c r="I142" s="16"/>
      <c r="L142" s="25"/>
    </row>
    <row r="143" ht="18.75" customHeight="1" spans="1:12">
      <c r="A143" s="15" t="s">
        <v>462</v>
      </c>
      <c r="B143" s="16" t="s">
        <v>238</v>
      </c>
      <c r="C143" s="16" t="s">
        <v>189</v>
      </c>
      <c r="D143" s="16"/>
      <c r="E143" s="9" t="s">
        <v>96</v>
      </c>
      <c r="F143" s="10">
        <v>3</v>
      </c>
      <c r="G143" s="17">
        <v>431.29</v>
      </c>
      <c r="H143" s="18">
        <f t="shared" ref="H143" si="30">F143*G143</f>
        <v>1293.87</v>
      </c>
      <c r="I143" s="16"/>
      <c r="L143" s="25"/>
    </row>
    <row r="144" ht="18.75" customHeight="1" spans="1:12">
      <c r="A144" s="15" t="s">
        <v>463</v>
      </c>
      <c r="B144" s="16" t="s">
        <v>238</v>
      </c>
      <c r="C144" s="16" t="s">
        <v>179</v>
      </c>
      <c r="D144" s="16"/>
      <c r="E144" s="9" t="s">
        <v>96</v>
      </c>
      <c r="F144" s="10">
        <v>8</v>
      </c>
      <c r="G144" s="17">
        <v>91.72</v>
      </c>
      <c r="H144" s="18">
        <f t="shared" si="26"/>
        <v>733.76</v>
      </c>
      <c r="I144" s="16"/>
      <c r="L144" s="25"/>
    </row>
    <row r="145" ht="18.75" customHeight="1" spans="1:12">
      <c r="A145" s="15" t="s">
        <v>464</v>
      </c>
      <c r="B145" s="16" t="s">
        <v>238</v>
      </c>
      <c r="C145" s="16" t="s">
        <v>119</v>
      </c>
      <c r="D145" s="16"/>
      <c r="E145" s="9" t="s">
        <v>96</v>
      </c>
      <c r="F145" s="10">
        <v>4</v>
      </c>
      <c r="G145" s="17">
        <v>90.8</v>
      </c>
      <c r="H145" s="18">
        <f t="shared" si="26"/>
        <v>363.2</v>
      </c>
      <c r="I145" s="16"/>
      <c r="L145" s="25"/>
    </row>
    <row r="146" ht="18.75" customHeight="1" spans="1:12">
      <c r="A146" s="15" t="s">
        <v>465</v>
      </c>
      <c r="B146" s="16" t="s">
        <v>239</v>
      </c>
      <c r="C146" s="16" t="s">
        <v>466</v>
      </c>
      <c r="D146" s="16"/>
      <c r="E146" s="9" t="s">
        <v>96</v>
      </c>
      <c r="F146" s="10">
        <v>4</v>
      </c>
      <c r="G146" s="17">
        <v>946.69</v>
      </c>
      <c r="H146" s="18">
        <f t="shared" si="26"/>
        <v>3786.76</v>
      </c>
      <c r="I146" s="16"/>
      <c r="L146" s="25"/>
    </row>
    <row r="147" ht="18.75" customHeight="1" spans="1:12">
      <c r="A147" s="15" t="s">
        <v>467</v>
      </c>
      <c r="B147" s="16" t="s">
        <v>239</v>
      </c>
      <c r="C147" s="16" t="s">
        <v>468</v>
      </c>
      <c r="D147" s="16"/>
      <c r="E147" s="9" t="s">
        <v>96</v>
      </c>
      <c r="F147" s="10">
        <v>3</v>
      </c>
      <c r="G147" s="17">
        <v>910.2</v>
      </c>
      <c r="H147" s="18">
        <f t="shared" ref="H147:H150" si="31">F147*G147</f>
        <v>2730.6</v>
      </c>
      <c r="I147" s="16"/>
      <c r="L147" s="25"/>
    </row>
    <row r="148" ht="18.75" customHeight="1" spans="1:12">
      <c r="A148" s="15" t="s">
        <v>469</v>
      </c>
      <c r="B148" s="16" t="s">
        <v>239</v>
      </c>
      <c r="C148" s="16" t="s">
        <v>470</v>
      </c>
      <c r="D148" s="16"/>
      <c r="E148" s="9" t="s">
        <v>96</v>
      </c>
      <c r="F148" s="10">
        <v>5</v>
      </c>
      <c r="G148" s="17">
        <v>900.2</v>
      </c>
      <c r="H148" s="18">
        <f t="shared" si="31"/>
        <v>4501</v>
      </c>
      <c r="I148" s="16"/>
      <c r="L148" s="25"/>
    </row>
    <row r="149" ht="18.75" customHeight="1" spans="1:12">
      <c r="A149" s="15" t="s">
        <v>471</v>
      </c>
      <c r="B149" s="16" t="s">
        <v>239</v>
      </c>
      <c r="C149" s="16" t="s">
        <v>472</v>
      </c>
      <c r="D149" s="16"/>
      <c r="E149" s="9" t="s">
        <v>96</v>
      </c>
      <c r="F149" s="10">
        <v>4</v>
      </c>
      <c r="G149" s="17">
        <v>890.2</v>
      </c>
      <c r="H149" s="18">
        <f t="shared" si="31"/>
        <v>3560.8</v>
      </c>
      <c r="I149" s="16"/>
      <c r="L149" s="25"/>
    </row>
    <row r="150" ht="18.75" customHeight="1" spans="1:12">
      <c r="A150" s="15" t="s">
        <v>473</v>
      </c>
      <c r="B150" s="16" t="s">
        <v>239</v>
      </c>
      <c r="C150" s="16" t="s">
        <v>474</v>
      </c>
      <c r="D150" s="16"/>
      <c r="E150" s="9" t="s">
        <v>96</v>
      </c>
      <c r="F150" s="10">
        <v>3</v>
      </c>
      <c r="G150" s="17">
        <v>461.53</v>
      </c>
      <c r="H150" s="18">
        <f t="shared" si="31"/>
        <v>1384.59</v>
      </c>
      <c r="I150" s="16"/>
      <c r="L150" s="25"/>
    </row>
    <row r="151" ht="18.75" customHeight="1" spans="1:12">
      <c r="A151" s="15" t="s">
        <v>475</v>
      </c>
      <c r="B151" s="16" t="s">
        <v>239</v>
      </c>
      <c r="C151" s="16" t="s">
        <v>476</v>
      </c>
      <c r="D151" s="16"/>
      <c r="E151" s="9" t="s">
        <v>96</v>
      </c>
      <c r="F151" s="10">
        <v>5</v>
      </c>
      <c r="G151" s="17">
        <v>447.64</v>
      </c>
      <c r="H151" s="18">
        <f t="shared" si="26"/>
        <v>2238.2</v>
      </c>
      <c r="I151" s="16"/>
      <c r="L151" s="25"/>
    </row>
    <row r="152" ht="18.75" customHeight="1" spans="1:12">
      <c r="A152" s="15" t="s">
        <v>477</v>
      </c>
      <c r="B152" s="16" t="s">
        <v>239</v>
      </c>
      <c r="C152" s="16" t="s">
        <v>478</v>
      </c>
      <c r="D152" s="16"/>
      <c r="E152" s="9" t="s">
        <v>96</v>
      </c>
      <c r="F152" s="10">
        <v>5</v>
      </c>
      <c r="G152" s="17">
        <v>436.74</v>
      </c>
      <c r="H152" s="18">
        <f t="shared" si="26"/>
        <v>2183.7</v>
      </c>
      <c r="I152" s="16"/>
      <c r="L152" s="25"/>
    </row>
    <row r="153" ht="18.75" customHeight="1" spans="1:12">
      <c r="A153" s="15" t="s">
        <v>479</v>
      </c>
      <c r="B153" s="16" t="s">
        <v>239</v>
      </c>
      <c r="C153" s="16" t="s">
        <v>480</v>
      </c>
      <c r="D153" s="16"/>
      <c r="E153" s="9" t="s">
        <v>96</v>
      </c>
      <c r="F153" s="10">
        <v>7</v>
      </c>
      <c r="G153" s="17">
        <v>98.97</v>
      </c>
      <c r="H153" s="18">
        <f t="shared" si="26"/>
        <v>692.79</v>
      </c>
      <c r="I153" s="16"/>
      <c r="L153" s="25"/>
    </row>
    <row r="154" ht="18.75" customHeight="1" spans="1:12">
      <c r="A154" s="15" t="s">
        <v>481</v>
      </c>
      <c r="B154" s="16" t="s">
        <v>239</v>
      </c>
      <c r="C154" s="16" t="s">
        <v>178</v>
      </c>
      <c r="D154" s="16"/>
      <c r="E154" s="9" t="s">
        <v>96</v>
      </c>
      <c r="F154" s="10">
        <v>6</v>
      </c>
      <c r="G154" s="17">
        <v>98.97</v>
      </c>
      <c r="H154" s="18">
        <f t="shared" si="26"/>
        <v>593.82</v>
      </c>
      <c r="I154" s="16"/>
      <c r="L154" s="25"/>
    </row>
    <row r="155" ht="18.75" customHeight="1" spans="1:12">
      <c r="A155" s="15" t="s">
        <v>482</v>
      </c>
      <c r="B155" s="16" t="s">
        <v>239</v>
      </c>
      <c r="C155" s="16" t="s">
        <v>117</v>
      </c>
      <c r="D155" s="16"/>
      <c r="E155" s="9" t="s">
        <v>96</v>
      </c>
      <c r="F155" s="10">
        <v>3</v>
      </c>
      <c r="G155" s="17">
        <v>98.97</v>
      </c>
      <c r="H155" s="18">
        <f t="shared" ref="H155" si="32">F155*G155</f>
        <v>296.91</v>
      </c>
      <c r="I155" s="16"/>
      <c r="L155" s="25"/>
    </row>
    <row r="156" ht="18.75" customHeight="1" spans="1:12">
      <c r="A156" s="15" t="s">
        <v>483</v>
      </c>
      <c r="B156" s="16" t="s">
        <v>239</v>
      </c>
      <c r="C156" s="16" t="s">
        <v>112</v>
      </c>
      <c r="D156" s="16"/>
      <c r="E156" s="9" t="s">
        <v>96</v>
      </c>
      <c r="F156" s="10">
        <v>6</v>
      </c>
      <c r="G156" s="17">
        <v>94.07</v>
      </c>
      <c r="H156" s="18">
        <f t="shared" ref="H156" si="33">F156*G156</f>
        <v>564.42</v>
      </c>
      <c r="I156" s="16"/>
      <c r="L156" s="25"/>
    </row>
    <row r="157" ht="18" customHeight="1" spans="1:12">
      <c r="A157" s="15" t="s">
        <v>484</v>
      </c>
      <c r="B157" s="16" t="s">
        <v>241</v>
      </c>
      <c r="C157" s="16" t="s">
        <v>485</v>
      </c>
      <c r="D157" s="16"/>
      <c r="E157" s="9" t="s">
        <v>96</v>
      </c>
      <c r="F157" s="10">
        <v>4</v>
      </c>
      <c r="G157" s="17">
        <v>412.12</v>
      </c>
      <c r="H157" s="18">
        <f t="shared" si="26"/>
        <v>1648.48</v>
      </c>
      <c r="I157" s="16"/>
      <c r="L157" s="25"/>
    </row>
    <row r="158" ht="18" customHeight="1" spans="1:12">
      <c r="A158" s="15" t="s">
        <v>486</v>
      </c>
      <c r="B158" s="16" t="s">
        <v>241</v>
      </c>
      <c r="C158" s="16" t="s">
        <v>487</v>
      </c>
      <c r="D158" s="16"/>
      <c r="E158" s="9" t="s">
        <v>96</v>
      </c>
      <c r="F158" s="10">
        <v>6</v>
      </c>
      <c r="G158" s="17">
        <v>380.22</v>
      </c>
      <c r="H158" s="18">
        <f t="shared" ref="H158:H159" si="34">F158*G158</f>
        <v>2281.32</v>
      </c>
      <c r="I158" s="16"/>
      <c r="L158" s="25"/>
    </row>
    <row r="159" ht="18" customHeight="1" spans="1:12">
      <c r="A159" s="15" t="s">
        <v>488</v>
      </c>
      <c r="B159" s="16" t="s">
        <v>241</v>
      </c>
      <c r="C159" s="16" t="s">
        <v>476</v>
      </c>
      <c r="D159" s="16"/>
      <c r="E159" s="9" t="s">
        <v>96</v>
      </c>
      <c r="F159" s="10">
        <v>6</v>
      </c>
      <c r="G159" s="17">
        <v>165.36</v>
      </c>
      <c r="H159" s="18">
        <f t="shared" si="34"/>
        <v>992.16</v>
      </c>
      <c r="I159" s="16"/>
      <c r="L159" s="25"/>
    </row>
    <row r="160" ht="18.75" customHeight="1" spans="1:12">
      <c r="A160" s="15" t="s">
        <v>489</v>
      </c>
      <c r="B160" s="16" t="s">
        <v>241</v>
      </c>
      <c r="C160" s="16" t="s">
        <v>178</v>
      </c>
      <c r="D160" s="16"/>
      <c r="E160" s="9" t="s">
        <v>96</v>
      </c>
      <c r="F160" s="10">
        <v>3</v>
      </c>
      <c r="G160" s="17">
        <v>99.52</v>
      </c>
      <c r="H160" s="18">
        <f t="shared" si="26"/>
        <v>298.56</v>
      </c>
      <c r="I160" s="16"/>
      <c r="L160" s="25"/>
    </row>
    <row r="161" ht="18.75" customHeight="1" spans="1:12">
      <c r="A161" s="15" t="s">
        <v>490</v>
      </c>
      <c r="B161" s="16" t="s">
        <v>241</v>
      </c>
      <c r="C161" s="16" t="s">
        <v>117</v>
      </c>
      <c r="D161" s="16"/>
      <c r="E161" s="9" t="s">
        <v>96</v>
      </c>
      <c r="F161" s="10">
        <v>3</v>
      </c>
      <c r="G161" s="17">
        <v>99.52</v>
      </c>
      <c r="H161" s="18">
        <f t="shared" ref="H161" si="35">F161*G161</f>
        <v>298.56</v>
      </c>
      <c r="I161" s="16"/>
      <c r="L161" s="25"/>
    </row>
    <row r="162" ht="18.75" customHeight="1" spans="1:12">
      <c r="A162" s="15" t="s">
        <v>491</v>
      </c>
      <c r="B162" s="16" t="s">
        <v>123</v>
      </c>
      <c r="C162" s="16" t="s">
        <v>263</v>
      </c>
      <c r="D162" s="16"/>
      <c r="E162" s="9"/>
      <c r="F162" s="10">
        <v>2</v>
      </c>
      <c r="G162" s="17">
        <v>841.2</v>
      </c>
      <c r="H162" s="18">
        <f t="shared" si="26"/>
        <v>1682.4</v>
      </c>
      <c r="I162" s="16"/>
      <c r="L162" s="25"/>
    </row>
    <row r="163" ht="18.75" customHeight="1" spans="1:12">
      <c r="A163" s="15" t="s">
        <v>492</v>
      </c>
      <c r="B163" s="16" t="s">
        <v>123</v>
      </c>
      <c r="C163" s="16" t="s">
        <v>180</v>
      </c>
      <c r="D163" s="16"/>
      <c r="E163" s="9" t="s">
        <v>96</v>
      </c>
      <c r="F163" s="10">
        <v>12</v>
      </c>
      <c r="G163" s="17">
        <v>376.13</v>
      </c>
      <c r="H163" s="18">
        <f t="shared" si="26"/>
        <v>4513.56</v>
      </c>
      <c r="I163" s="16"/>
      <c r="L163" s="25"/>
    </row>
    <row r="164" ht="18.75" customHeight="1" spans="1:12">
      <c r="A164" s="15" t="s">
        <v>493</v>
      </c>
      <c r="B164" s="16" t="s">
        <v>123</v>
      </c>
      <c r="C164" s="16" t="s">
        <v>124</v>
      </c>
      <c r="D164" s="16"/>
      <c r="E164" s="9" t="s">
        <v>96</v>
      </c>
      <c r="F164" s="10">
        <v>32</v>
      </c>
      <c r="G164" s="17">
        <v>263.71</v>
      </c>
      <c r="H164" s="18">
        <f t="shared" si="26"/>
        <v>8438.72</v>
      </c>
      <c r="I164" s="16"/>
      <c r="L164" s="25"/>
    </row>
    <row r="165" ht="18.75" customHeight="1" spans="1:12">
      <c r="A165" s="15" t="s">
        <v>494</v>
      </c>
      <c r="B165" s="16" t="s">
        <v>123</v>
      </c>
      <c r="C165" s="16" t="s">
        <v>125</v>
      </c>
      <c r="D165" s="16"/>
      <c r="E165" s="9" t="s">
        <v>96</v>
      </c>
      <c r="F165" s="10">
        <v>9</v>
      </c>
      <c r="G165" s="17">
        <v>182.55</v>
      </c>
      <c r="H165" s="18">
        <f t="shared" ref="H165" si="36">F165*G165</f>
        <v>1642.95</v>
      </c>
      <c r="I165" s="16"/>
      <c r="L165" s="25"/>
    </row>
    <row r="166" ht="18.75" customHeight="1" spans="1:12">
      <c r="A166" s="15" t="s">
        <v>495</v>
      </c>
      <c r="B166" s="16" t="s">
        <v>122</v>
      </c>
      <c r="C166" s="16" t="s">
        <v>204</v>
      </c>
      <c r="D166" s="16"/>
      <c r="E166" s="9" t="s">
        <v>96</v>
      </c>
      <c r="F166" s="10">
        <v>4</v>
      </c>
      <c r="G166" s="17">
        <v>220.2</v>
      </c>
      <c r="H166" s="18">
        <f t="shared" si="26"/>
        <v>880.8</v>
      </c>
      <c r="I166" s="16"/>
      <c r="L166" s="25"/>
    </row>
    <row r="167" ht="18.75" customHeight="1" spans="1:12">
      <c r="A167" s="15" t="s">
        <v>496</v>
      </c>
      <c r="B167" s="16" t="s">
        <v>122</v>
      </c>
      <c r="C167" s="16" t="s">
        <v>189</v>
      </c>
      <c r="D167" s="16"/>
      <c r="E167" s="9" t="s">
        <v>96</v>
      </c>
      <c r="F167" s="10">
        <v>15</v>
      </c>
      <c r="G167" s="17">
        <v>183.3</v>
      </c>
      <c r="H167" s="18">
        <f t="shared" ref="H167" si="37">F167*G167</f>
        <v>2749.5</v>
      </c>
      <c r="I167" s="16"/>
      <c r="L167" s="25"/>
    </row>
    <row r="168" ht="18.75" customHeight="1" spans="1:12">
      <c r="A168" s="15" t="s">
        <v>497</v>
      </c>
      <c r="B168" s="16" t="s">
        <v>122</v>
      </c>
      <c r="C168" s="16" t="s">
        <v>179</v>
      </c>
      <c r="D168" s="16"/>
      <c r="E168" s="9" t="s">
        <v>96</v>
      </c>
      <c r="F168" s="10">
        <v>33</v>
      </c>
      <c r="G168" s="17">
        <v>101.7</v>
      </c>
      <c r="H168" s="18">
        <f t="shared" si="26"/>
        <v>3356.1</v>
      </c>
      <c r="I168" s="16"/>
      <c r="L168" s="25"/>
    </row>
    <row r="169" ht="18.75" customHeight="1" spans="1:12">
      <c r="A169" s="15" t="s">
        <v>498</v>
      </c>
      <c r="B169" s="16" t="s">
        <v>122</v>
      </c>
      <c r="C169" s="16" t="s">
        <v>119</v>
      </c>
      <c r="D169" s="16"/>
      <c r="E169" s="9" t="s">
        <v>96</v>
      </c>
      <c r="F169" s="10">
        <v>15</v>
      </c>
      <c r="G169" s="17">
        <v>96.25</v>
      </c>
      <c r="H169" s="18">
        <f t="shared" si="26"/>
        <v>1443.75</v>
      </c>
      <c r="I169" s="16"/>
      <c r="L169" s="25"/>
    </row>
    <row r="170" ht="18.75" customHeight="1" spans="1:12">
      <c r="A170" s="15" t="s">
        <v>499</v>
      </c>
      <c r="B170" s="16" t="s">
        <v>122</v>
      </c>
      <c r="C170" s="16" t="s">
        <v>120</v>
      </c>
      <c r="D170" s="16"/>
      <c r="E170" s="9" t="s">
        <v>96</v>
      </c>
      <c r="F170" s="10">
        <v>4</v>
      </c>
      <c r="G170" s="17">
        <v>94.07</v>
      </c>
      <c r="H170" s="18">
        <f t="shared" ref="H170" si="38">F170*G170</f>
        <v>376.28</v>
      </c>
      <c r="I170" s="16"/>
      <c r="L170" s="25"/>
    </row>
    <row r="171" ht="20.25" customHeight="1" spans="1:12">
      <c r="A171" s="15" t="s">
        <v>500</v>
      </c>
      <c r="B171" s="16" t="s">
        <v>127</v>
      </c>
      <c r="C171" s="16" t="s">
        <v>174</v>
      </c>
      <c r="D171" s="16"/>
      <c r="E171" s="9" t="s">
        <v>96</v>
      </c>
      <c r="F171" s="10">
        <v>12</v>
      </c>
      <c r="G171" s="17">
        <v>959.44</v>
      </c>
      <c r="H171" s="18">
        <f t="shared" si="26"/>
        <v>11513.28</v>
      </c>
      <c r="I171" s="16" t="s">
        <v>330</v>
      </c>
      <c r="L171" s="25"/>
    </row>
    <row r="172" ht="18.75" customHeight="1" spans="1:12">
      <c r="A172" s="15" t="s">
        <v>501</v>
      </c>
      <c r="B172" s="16" t="s">
        <v>127</v>
      </c>
      <c r="C172" s="16" t="s">
        <v>98</v>
      </c>
      <c r="D172" s="16"/>
      <c r="E172" s="9" t="s">
        <v>96</v>
      </c>
      <c r="F172" s="10">
        <v>34</v>
      </c>
      <c r="G172" s="17">
        <v>771.19</v>
      </c>
      <c r="H172" s="18">
        <f t="shared" si="26"/>
        <v>26220.46</v>
      </c>
      <c r="I172" s="16" t="s">
        <v>330</v>
      </c>
      <c r="L172" s="25"/>
    </row>
    <row r="173" ht="18.75" customHeight="1" spans="1:12">
      <c r="A173" s="15" t="s">
        <v>502</v>
      </c>
      <c r="B173" s="16" t="s">
        <v>127</v>
      </c>
      <c r="C173" s="16" t="s">
        <v>101</v>
      </c>
      <c r="D173" s="16"/>
      <c r="E173" s="9" t="s">
        <v>96</v>
      </c>
      <c r="F173" s="10">
        <v>5</v>
      </c>
      <c r="G173" s="17">
        <v>450.68</v>
      </c>
      <c r="H173" s="18">
        <f t="shared" si="26"/>
        <v>2253.4</v>
      </c>
      <c r="I173" s="16" t="s">
        <v>330</v>
      </c>
      <c r="L173" s="25"/>
    </row>
    <row r="174" ht="18.75" customHeight="1" spans="1:12">
      <c r="A174" s="15" t="s">
        <v>503</v>
      </c>
      <c r="B174" s="16" t="s">
        <v>127</v>
      </c>
      <c r="C174" s="16" t="s">
        <v>102</v>
      </c>
      <c r="D174" s="16"/>
      <c r="E174" s="9" t="s">
        <v>96</v>
      </c>
      <c r="F174" s="10">
        <v>440</v>
      </c>
      <c r="G174" s="17">
        <v>360.55</v>
      </c>
      <c r="H174" s="18">
        <f t="shared" ref="H174:H176" si="39">F174*G174</f>
        <v>158642</v>
      </c>
      <c r="I174" s="16" t="s">
        <v>330</v>
      </c>
      <c r="L174" s="25"/>
    </row>
    <row r="175" ht="18.75" customHeight="1" spans="1:12">
      <c r="A175" s="15" t="s">
        <v>504</v>
      </c>
      <c r="B175" s="16" t="s">
        <v>132</v>
      </c>
      <c r="C175" s="16"/>
      <c r="D175" s="16"/>
      <c r="E175" s="9" t="s">
        <v>23</v>
      </c>
      <c r="F175" s="10">
        <v>1425</v>
      </c>
      <c r="G175" s="17">
        <v>1.89</v>
      </c>
      <c r="H175" s="18">
        <f t="shared" si="39"/>
        <v>2693.25</v>
      </c>
      <c r="I175" s="16"/>
      <c r="K175" s="2">
        <v>1003</v>
      </c>
      <c r="L175" s="25"/>
    </row>
    <row r="176" ht="18.75" customHeight="1" spans="1:12">
      <c r="A176" s="15" t="s">
        <v>505</v>
      </c>
      <c r="B176" s="16" t="s">
        <v>133</v>
      </c>
      <c r="C176" s="16"/>
      <c r="D176" s="16"/>
      <c r="E176" s="9" t="s">
        <v>23</v>
      </c>
      <c r="F176" s="10">
        <v>1425</v>
      </c>
      <c r="G176" s="17">
        <v>6.04</v>
      </c>
      <c r="H176" s="18">
        <f t="shared" si="39"/>
        <v>8607</v>
      </c>
      <c r="I176" s="16"/>
      <c r="L176" s="25"/>
    </row>
    <row r="177" ht="18.75" customHeight="1" spans="1:14">
      <c r="A177" s="15" t="s">
        <v>506</v>
      </c>
      <c r="B177" s="16" t="s">
        <v>336</v>
      </c>
      <c r="C177" s="16" t="s">
        <v>507</v>
      </c>
      <c r="D177" s="16"/>
      <c r="E177" s="9" t="s">
        <v>96</v>
      </c>
      <c r="F177" s="10">
        <v>2</v>
      </c>
      <c r="G177" s="17">
        <v>42500.6</v>
      </c>
      <c r="H177" s="18">
        <f t="shared" ref="H177:H185" si="40">F177*G177</f>
        <v>85001.2</v>
      </c>
      <c r="I177" s="16"/>
      <c r="M177" s="26">
        <v>3</v>
      </c>
      <c r="N177" s="5">
        <v>6.46062992125984</v>
      </c>
    </row>
    <row r="178" ht="18.75" customHeight="1" spans="1:14">
      <c r="A178" s="15" t="s">
        <v>508</v>
      </c>
      <c r="B178" s="16" t="s">
        <v>336</v>
      </c>
      <c r="C178" s="16" t="s">
        <v>509</v>
      </c>
      <c r="D178" s="16"/>
      <c r="E178" s="9" t="s">
        <v>96</v>
      </c>
      <c r="F178" s="10">
        <v>3</v>
      </c>
      <c r="G178" s="17">
        <v>33600.5</v>
      </c>
      <c r="H178" s="18">
        <f t="shared" si="40"/>
        <v>100801.5</v>
      </c>
      <c r="I178" s="16"/>
      <c r="M178" s="26">
        <v>3</v>
      </c>
      <c r="N178" s="5">
        <v>6.46062992125984</v>
      </c>
    </row>
    <row r="179" ht="18.75" customHeight="1" spans="1:13">
      <c r="A179" s="15" t="s">
        <v>510</v>
      </c>
      <c r="B179" s="16" t="s">
        <v>135</v>
      </c>
      <c r="C179" s="16" t="s">
        <v>136</v>
      </c>
      <c r="D179" s="16"/>
      <c r="E179" s="9" t="s">
        <v>137</v>
      </c>
      <c r="F179" s="10">
        <v>4939</v>
      </c>
      <c r="G179" s="17">
        <f>0.04*7.85*4*5.5*1.35</f>
        <v>9.3258</v>
      </c>
      <c r="H179" s="18">
        <f t="shared" si="40"/>
        <v>46060.1262</v>
      </c>
      <c r="I179" s="16"/>
      <c r="M179" s="30"/>
    </row>
    <row r="180" ht="18.75" customHeight="1" spans="1:13">
      <c r="A180" s="15" t="s">
        <v>511</v>
      </c>
      <c r="B180" s="16" t="s">
        <v>138</v>
      </c>
      <c r="C180" s="16" t="s">
        <v>139</v>
      </c>
      <c r="D180" s="16"/>
      <c r="E180" s="9" t="s">
        <v>140</v>
      </c>
      <c r="F180" s="10">
        <v>5</v>
      </c>
      <c r="G180" s="17">
        <f>3.77*5.5*1.35</f>
        <v>27.99225</v>
      </c>
      <c r="H180" s="18">
        <f t="shared" si="40"/>
        <v>139.96125</v>
      </c>
      <c r="I180" s="16"/>
      <c r="M180" s="30"/>
    </row>
    <row r="181" ht="18.75" customHeight="1" spans="1:13">
      <c r="A181" s="15" t="s">
        <v>512</v>
      </c>
      <c r="B181" s="16" t="s">
        <v>134</v>
      </c>
      <c r="C181" s="16" t="s">
        <v>174</v>
      </c>
      <c r="D181" s="16" t="s">
        <v>91</v>
      </c>
      <c r="E181" s="9" t="s">
        <v>96</v>
      </c>
      <c r="F181" s="10">
        <v>231</v>
      </c>
      <c r="G181" s="17">
        <v>133.45</v>
      </c>
      <c r="H181" s="18">
        <f t="shared" si="40"/>
        <v>30826.95</v>
      </c>
      <c r="I181" s="16"/>
      <c r="M181" s="30"/>
    </row>
    <row r="182" ht="18.75" customHeight="1" spans="1:13">
      <c r="A182" s="15" t="s">
        <v>513</v>
      </c>
      <c r="B182" s="16" t="s">
        <v>134</v>
      </c>
      <c r="C182" s="16" t="s">
        <v>98</v>
      </c>
      <c r="D182" s="16" t="s">
        <v>91</v>
      </c>
      <c r="E182" s="9" t="s">
        <v>96</v>
      </c>
      <c r="F182" s="10">
        <v>500</v>
      </c>
      <c r="G182" s="17">
        <v>121.21</v>
      </c>
      <c r="H182" s="18">
        <f t="shared" si="40"/>
        <v>60605</v>
      </c>
      <c r="I182" s="16"/>
      <c r="M182" s="30"/>
    </row>
    <row r="183" ht="18" customHeight="1" spans="1:13">
      <c r="A183" s="15" t="s">
        <v>514</v>
      </c>
      <c r="B183" s="16" t="s">
        <v>134</v>
      </c>
      <c r="C183" s="16" t="s">
        <v>101</v>
      </c>
      <c r="D183" s="16" t="s">
        <v>91</v>
      </c>
      <c r="E183" s="9" t="s">
        <v>96</v>
      </c>
      <c r="F183" s="10">
        <v>65</v>
      </c>
      <c r="G183" s="17">
        <v>109</v>
      </c>
      <c r="H183" s="18">
        <f t="shared" si="40"/>
        <v>7085</v>
      </c>
      <c r="I183" s="16"/>
      <c r="M183" s="30"/>
    </row>
    <row r="184" ht="18.75" customHeight="1" spans="1:12">
      <c r="A184" s="15" t="s">
        <v>515</v>
      </c>
      <c r="B184" s="16" t="s">
        <v>346</v>
      </c>
      <c r="C184" s="16"/>
      <c r="D184" s="16"/>
      <c r="E184" s="9" t="s">
        <v>137</v>
      </c>
      <c r="F184" s="10">
        <v>264</v>
      </c>
      <c r="G184" s="17">
        <v>312.6</v>
      </c>
      <c r="H184" s="18">
        <f t="shared" si="40"/>
        <v>82526.4</v>
      </c>
      <c r="I184" s="16"/>
      <c r="K184" s="2" t="s">
        <v>347</v>
      </c>
      <c r="L184" s="25"/>
    </row>
    <row r="185" ht="18.75" customHeight="1" spans="1:12">
      <c r="A185" s="15" t="s">
        <v>516</v>
      </c>
      <c r="B185" s="16" t="s">
        <v>145</v>
      </c>
      <c r="C185" s="16" t="s">
        <v>146</v>
      </c>
      <c r="D185" s="16" t="s">
        <v>147</v>
      </c>
      <c r="E185" s="9" t="s">
        <v>148</v>
      </c>
      <c r="F185" s="10">
        <v>3037</v>
      </c>
      <c r="G185" s="17">
        <v>327.12</v>
      </c>
      <c r="H185" s="18">
        <f t="shared" si="40"/>
        <v>993463.44</v>
      </c>
      <c r="I185" s="16" t="s">
        <v>350</v>
      </c>
      <c r="L185" s="25"/>
    </row>
    <row r="186" ht="18.75" customHeight="1" spans="1:12">
      <c r="A186" s="15" t="s">
        <v>517</v>
      </c>
      <c r="B186" s="16" t="s">
        <v>154</v>
      </c>
      <c r="C186" s="16" t="s">
        <v>155</v>
      </c>
      <c r="D186" s="16"/>
      <c r="E186" s="9" t="s">
        <v>96</v>
      </c>
      <c r="F186" s="10">
        <v>6074</v>
      </c>
      <c r="G186" s="17">
        <v>100.39</v>
      </c>
      <c r="H186" s="18">
        <f t="shared" ref="H186:H192" si="41">F186*G186</f>
        <v>609768.86</v>
      </c>
      <c r="I186" s="16"/>
      <c r="L186" s="25"/>
    </row>
    <row r="187" ht="18.75" customHeight="1" spans="1:12">
      <c r="A187" s="15" t="s">
        <v>518</v>
      </c>
      <c r="B187" s="16" t="s">
        <v>247</v>
      </c>
      <c r="C187" s="16" t="s">
        <v>155</v>
      </c>
      <c r="D187" s="16"/>
      <c r="E187" s="9" t="s">
        <v>137</v>
      </c>
      <c r="F187" s="10">
        <v>18222</v>
      </c>
      <c r="G187" s="17">
        <v>49.43</v>
      </c>
      <c r="H187" s="18">
        <f t="shared" si="41"/>
        <v>900713.46</v>
      </c>
      <c r="I187" s="16"/>
      <c r="K187" s="2" t="s">
        <v>353</v>
      </c>
      <c r="L187" s="25"/>
    </row>
    <row r="188" ht="18.75" customHeight="1" spans="1:12">
      <c r="A188" s="15" t="s">
        <v>519</v>
      </c>
      <c r="B188" s="16" t="s">
        <v>355</v>
      </c>
      <c r="C188" s="16" t="s">
        <v>356</v>
      </c>
      <c r="D188" s="16"/>
      <c r="E188" s="9" t="s">
        <v>96</v>
      </c>
      <c r="F188" s="10">
        <v>3037</v>
      </c>
      <c r="G188" s="17">
        <v>5.5</v>
      </c>
      <c r="H188" s="18">
        <f t="shared" si="41"/>
        <v>16703.5</v>
      </c>
      <c r="I188" s="16"/>
      <c r="L188" s="25"/>
    </row>
    <row r="189" ht="18.75" customHeight="1" spans="1:12">
      <c r="A189" s="15" t="s">
        <v>520</v>
      </c>
      <c r="B189" s="16" t="s">
        <v>158</v>
      </c>
      <c r="C189" s="16" t="s">
        <v>155</v>
      </c>
      <c r="D189" s="16"/>
      <c r="E189" s="9" t="s">
        <v>137</v>
      </c>
      <c r="F189" s="10">
        <v>15185</v>
      </c>
      <c r="G189" s="17">
        <v>4.2</v>
      </c>
      <c r="H189" s="18">
        <f t="shared" si="41"/>
        <v>63777</v>
      </c>
      <c r="I189" s="16"/>
      <c r="L189" s="25"/>
    </row>
    <row r="190" ht="18.75" customHeight="1" spans="1:12">
      <c r="A190" s="15" t="s">
        <v>521</v>
      </c>
      <c r="B190" s="16" t="s">
        <v>159</v>
      </c>
      <c r="C190" s="16" t="s">
        <v>155</v>
      </c>
      <c r="D190" s="16"/>
      <c r="E190" s="9" t="s">
        <v>137</v>
      </c>
      <c r="F190" s="10">
        <v>6074</v>
      </c>
      <c r="G190" s="17">
        <v>3.85</v>
      </c>
      <c r="H190" s="18">
        <f t="shared" si="41"/>
        <v>23384.9</v>
      </c>
      <c r="I190" s="16"/>
      <c r="L190" s="25"/>
    </row>
    <row r="191" ht="18.75" customHeight="1" spans="1:12">
      <c r="A191" s="15" t="s">
        <v>522</v>
      </c>
      <c r="B191" s="16" t="s">
        <v>233</v>
      </c>
      <c r="C191" s="16" t="s">
        <v>102</v>
      </c>
      <c r="D191" s="16" t="s">
        <v>147</v>
      </c>
      <c r="E191" s="9" t="s">
        <v>137</v>
      </c>
      <c r="F191" s="10">
        <v>3037</v>
      </c>
      <c r="G191" s="17">
        <v>20.15</v>
      </c>
      <c r="H191" s="18">
        <f t="shared" si="41"/>
        <v>61195.55</v>
      </c>
      <c r="I191" s="16"/>
      <c r="L191" s="25"/>
    </row>
    <row r="192" ht="18.75" customHeight="1" spans="1:12">
      <c r="A192" s="15" t="s">
        <v>523</v>
      </c>
      <c r="B192" s="16" t="s">
        <v>361</v>
      </c>
      <c r="C192" s="16" t="s">
        <v>362</v>
      </c>
      <c r="D192" s="16"/>
      <c r="E192" s="9" t="s">
        <v>363</v>
      </c>
      <c r="F192" s="10">
        <f>1425*1</f>
        <v>1425</v>
      </c>
      <c r="G192" s="17">
        <v>149.04</v>
      </c>
      <c r="H192" s="18">
        <f t="shared" si="41"/>
        <v>212382</v>
      </c>
      <c r="I192" s="16"/>
      <c r="K192" s="2">
        <v>2</v>
      </c>
      <c r="L192" s="25"/>
    </row>
    <row r="193" ht="18.75" customHeight="1" spans="1:12">
      <c r="A193" s="15" t="s">
        <v>524</v>
      </c>
      <c r="B193" s="16" t="s">
        <v>163</v>
      </c>
      <c r="C193" s="16"/>
      <c r="D193" s="16"/>
      <c r="E193" s="9" t="s">
        <v>164</v>
      </c>
      <c r="F193" s="10">
        <f>1425*(0.9*1.9)</f>
        <v>2436.75</v>
      </c>
      <c r="G193" s="17">
        <v>15.39</v>
      </c>
      <c r="H193" s="18">
        <f t="shared" ref="H193:H197" si="42">F193*G193</f>
        <v>37501.5825</v>
      </c>
      <c r="I193" s="16"/>
      <c r="L193" s="25"/>
    </row>
    <row r="194" ht="18.75" customHeight="1" spans="1:12">
      <c r="A194" s="15" t="s">
        <v>525</v>
      </c>
      <c r="B194" s="16" t="s">
        <v>165</v>
      </c>
      <c r="C194" s="16"/>
      <c r="D194" s="16"/>
      <c r="E194" s="9" t="s">
        <v>164</v>
      </c>
      <c r="F194" s="10">
        <f>1425*(0.9*1.7)</f>
        <v>2180.25</v>
      </c>
      <c r="G194" s="17">
        <v>27.54</v>
      </c>
      <c r="H194" s="18">
        <f t="shared" si="42"/>
        <v>60044.085</v>
      </c>
      <c r="I194" s="16"/>
      <c r="L194" s="25"/>
    </row>
    <row r="195" ht="18.75" customHeight="1" spans="1:12">
      <c r="A195" s="15" t="s">
        <v>526</v>
      </c>
      <c r="B195" s="16" t="s">
        <v>166</v>
      </c>
      <c r="C195" s="16"/>
      <c r="D195" s="16"/>
      <c r="E195" s="9" t="s">
        <v>164</v>
      </c>
      <c r="F195" s="10">
        <f>1425*(0.9*0.15)</f>
        <v>192.375</v>
      </c>
      <c r="G195" s="17">
        <v>30.63</v>
      </c>
      <c r="H195" s="18">
        <f t="shared" si="42"/>
        <v>5892.44625</v>
      </c>
      <c r="I195" s="16"/>
      <c r="L195" s="25"/>
    </row>
    <row r="196" ht="18.75" customHeight="1" spans="1:12">
      <c r="A196" s="15" t="s">
        <v>527</v>
      </c>
      <c r="B196" s="16" t="s">
        <v>167</v>
      </c>
      <c r="C196" s="16"/>
      <c r="D196" s="16"/>
      <c r="E196" s="9" t="s">
        <v>164</v>
      </c>
      <c r="F196" s="10">
        <f>1425*(0.9*0.15)</f>
        <v>192.375</v>
      </c>
      <c r="G196" s="17">
        <v>214.7</v>
      </c>
      <c r="H196" s="18">
        <f t="shared" si="42"/>
        <v>41302.9125</v>
      </c>
      <c r="I196" s="16"/>
      <c r="L196" s="25"/>
    </row>
    <row r="197" ht="18.75" hidden="1" customHeight="1" spans="1:12">
      <c r="A197" s="15" t="s">
        <v>528</v>
      </c>
      <c r="B197" s="16" t="s">
        <v>369</v>
      </c>
      <c r="C197" s="16"/>
      <c r="D197" s="16"/>
      <c r="E197" s="9" t="s">
        <v>164</v>
      </c>
      <c r="F197" s="10">
        <f>1425*(0.9*0.3)*0</f>
        <v>0</v>
      </c>
      <c r="G197" s="17">
        <v>215.73</v>
      </c>
      <c r="H197" s="18">
        <f t="shared" si="42"/>
        <v>0</v>
      </c>
      <c r="I197" s="16"/>
      <c r="L197" s="25"/>
    </row>
    <row r="198" ht="18.75" customHeight="1" spans="1:10">
      <c r="A198" s="15"/>
      <c r="B198" s="16" t="s">
        <v>168</v>
      </c>
      <c r="C198" s="16"/>
      <c r="D198" s="16"/>
      <c r="E198" s="9" t="s">
        <v>169</v>
      </c>
      <c r="F198" s="10"/>
      <c r="G198" s="31"/>
      <c r="H198" s="18">
        <f>SUM(H123:H197)</f>
        <v>5351160.9337</v>
      </c>
      <c r="I198" s="16"/>
      <c r="J198" s="24"/>
    </row>
    <row r="199" ht="18.75" customHeight="1" spans="1:10">
      <c r="A199" s="11" t="s">
        <v>27</v>
      </c>
      <c r="B199" s="12" t="s">
        <v>529</v>
      </c>
      <c r="C199" s="13"/>
      <c r="D199" s="13"/>
      <c r="E199" s="13"/>
      <c r="F199" s="14"/>
      <c r="G199" s="13"/>
      <c r="H199" s="13"/>
      <c r="I199" s="23"/>
      <c r="J199" s="24"/>
    </row>
    <row r="200" ht="18.75" customHeight="1" spans="1:15">
      <c r="A200" s="15" t="s">
        <v>530</v>
      </c>
      <c r="B200" s="16" t="s">
        <v>84</v>
      </c>
      <c r="C200" s="16" t="s">
        <v>259</v>
      </c>
      <c r="D200" s="16" t="s">
        <v>86</v>
      </c>
      <c r="E200" s="9" t="s">
        <v>23</v>
      </c>
      <c r="F200" s="10">
        <v>1342</v>
      </c>
      <c r="G200" s="17">
        <v>167.58</v>
      </c>
      <c r="H200" s="18">
        <f t="shared" ref="H200:H204" si="43">F200*G200</f>
        <v>224892.36</v>
      </c>
      <c r="I200" s="16"/>
      <c r="K200" s="3"/>
      <c r="L200" s="25"/>
      <c r="M200" s="26">
        <v>370</v>
      </c>
      <c r="N200" s="27">
        <v>555</v>
      </c>
      <c r="O200" s="3"/>
    </row>
    <row r="201" ht="18.75" customHeight="1" spans="1:15">
      <c r="A201" s="15" t="s">
        <v>531</v>
      </c>
      <c r="B201" s="16" t="s">
        <v>84</v>
      </c>
      <c r="C201" s="16" t="s">
        <v>171</v>
      </c>
      <c r="D201" s="16" t="s">
        <v>86</v>
      </c>
      <c r="E201" s="9" t="s">
        <v>23</v>
      </c>
      <c r="F201" s="19">
        <v>613</v>
      </c>
      <c r="G201" s="17">
        <v>78.32</v>
      </c>
      <c r="H201" s="18">
        <f t="shared" si="43"/>
        <v>48010.16</v>
      </c>
      <c r="I201" s="16"/>
      <c r="K201" s="3"/>
      <c r="L201" s="25"/>
      <c r="M201" s="28">
        <v>463</v>
      </c>
      <c r="N201" s="27">
        <v>694.5</v>
      </c>
      <c r="O201" s="3"/>
    </row>
    <row r="202" ht="18.75" customHeight="1" spans="1:15">
      <c r="A202" s="15" t="s">
        <v>532</v>
      </c>
      <c r="B202" s="16" t="s">
        <v>84</v>
      </c>
      <c r="C202" s="16" t="s">
        <v>85</v>
      </c>
      <c r="D202" s="16" t="s">
        <v>86</v>
      </c>
      <c r="E202" s="9" t="s">
        <v>23</v>
      </c>
      <c r="F202" s="20">
        <v>268</v>
      </c>
      <c r="G202" s="17">
        <v>67.71</v>
      </c>
      <c r="H202" s="18">
        <f t="shared" si="43"/>
        <v>18146.28</v>
      </c>
      <c r="I202" s="16"/>
      <c r="K202" s="3"/>
      <c r="L202" s="25"/>
      <c r="M202" s="3">
        <v>145</v>
      </c>
      <c r="N202" s="27">
        <v>217.5</v>
      </c>
      <c r="O202" s="3"/>
    </row>
    <row r="203" ht="18.75" customHeight="1" spans="1:15">
      <c r="A203" s="15" t="s">
        <v>533</v>
      </c>
      <c r="B203" s="16" t="s">
        <v>89</v>
      </c>
      <c r="C203" s="16" t="s">
        <v>299</v>
      </c>
      <c r="D203" s="16" t="s">
        <v>91</v>
      </c>
      <c r="E203" s="9" t="s">
        <v>23</v>
      </c>
      <c r="F203" s="10">
        <v>583</v>
      </c>
      <c r="G203" s="17">
        <v>160.1</v>
      </c>
      <c r="H203" s="18">
        <f t="shared" si="43"/>
        <v>93338.3</v>
      </c>
      <c r="I203" s="16"/>
      <c r="K203" s="29"/>
      <c r="L203" s="29"/>
      <c r="M203" s="26">
        <v>2413</v>
      </c>
      <c r="N203" s="27">
        <v>3619.5</v>
      </c>
      <c r="O203" s="29"/>
    </row>
    <row r="204" ht="18.75" customHeight="1" spans="1:15">
      <c r="A204" s="15" t="s">
        <v>534</v>
      </c>
      <c r="B204" s="16" t="s">
        <v>89</v>
      </c>
      <c r="C204" s="16" t="s">
        <v>301</v>
      </c>
      <c r="D204" s="16" t="s">
        <v>91</v>
      </c>
      <c r="E204" s="9" t="s">
        <v>23</v>
      </c>
      <c r="F204" s="10">
        <v>1851</v>
      </c>
      <c r="G204" s="17">
        <v>131.63</v>
      </c>
      <c r="H204" s="18">
        <f t="shared" si="43"/>
        <v>243647.13</v>
      </c>
      <c r="I204" s="16"/>
      <c r="K204" s="29"/>
      <c r="L204" s="29"/>
      <c r="M204" s="26">
        <v>38</v>
      </c>
      <c r="N204" s="27">
        <v>57</v>
      </c>
      <c r="O204" s="29"/>
    </row>
    <row r="205" ht="18.75" customHeight="1" spans="1:15">
      <c r="A205" s="15" t="s">
        <v>535</v>
      </c>
      <c r="B205" s="16" t="s">
        <v>89</v>
      </c>
      <c r="C205" s="16" t="s">
        <v>536</v>
      </c>
      <c r="D205" s="16" t="s">
        <v>91</v>
      </c>
      <c r="E205" s="9" t="s">
        <v>23</v>
      </c>
      <c r="F205" s="10">
        <v>3318</v>
      </c>
      <c r="G205" s="17">
        <v>55.67</v>
      </c>
      <c r="H205" s="18">
        <f t="shared" ref="H205:H238" si="44">F205*G205</f>
        <v>184713.06</v>
      </c>
      <c r="I205" s="16"/>
      <c r="K205" s="29">
        <f>SUM(F202:F205)</f>
        <v>6020</v>
      </c>
      <c r="L205" s="29"/>
      <c r="M205" s="26">
        <v>120</v>
      </c>
      <c r="N205" s="5">
        <v>258.425196850394</v>
      </c>
      <c r="O205" s="29"/>
    </row>
    <row r="206" ht="18.75" customHeight="1" spans="1:12">
      <c r="A206" s="15" t="s">
        <v>537</v>
      </c>
      <c r="B206" s="16" t="s">
        <v>93</v>
      </c>
      <c r="C206" s="16" t="s">
        <v>276</v>
      </c>
      <c r="D206" s="16" t="s">
        <v>95</v>
      </c>
      <c r="E206" s="9" t="s">
        <v>96</v>
      </c>
      <c r="F206" s="10">
        <v>3</v>
      </c>
      <c r="G206" s="17">
        <v>260.5</v>
      </c>
      <c r="H206" s="18">
        <f t="shared" si="44"/>
        <v>781.5</v>
      </c>
      <c r="I206" s="16"/>
      <c r="L206" s="25"/>
    </row>
    <row r="207" ht="18.75" customHeight="1" spans="1:12">
      <c r="A207" s="15" t="s">
        <v>538</v>
      </c>
      <c r="B207" s="16" t="s">
        <v>93</v>
      </c>
      <c r="C207" s="16" t="s">
        <v>94</v>
      </c>
      <c r="D207" s="16" t="s">
        <v>95</v>
      </c>
      <c r="E207" s="9" t="s">
        <v>96</v>
      </c>
      <c r="F207" s="10">
        <v>7</v>
      </c>
      <c r="G207" s="17">
        <v>225.09</v>
      </c>
      <c r="H207" s="18">
        <f t="shared" si="44"/>
        <v>1575.63</v>
      </c>
      <c r="I207" s="16"/>
      <c r="L207" s="25"/>
    </row>
    <row r="208" ht="18.75" customHeight="1" spans="1:12">
      <c r="A208" s="15" t="s">
        <v>539</v>
      </c>
      <c r="B208" s="16" t="s">
        <v>93</v>
      </c>
      <c r="C208" s="16" t="s">
        <v>98</v>
      </c>
      <c r="D208" s="16" t="s">
        <v>95</v>
      </c>
      <c r="E208" s="9" t="s">
        <v>96</v>
      </c>
      <c r="F208" s="10">
        <v>26</v>
      </c>
      <c r="G208" s="17">
        <v>113.8</v>
      </c>
      <c r="H208" s="18">
        <f t="shared" si="44"/>
        <v>2958.8</v>
      </c>
      <c r="I208" s="16"/>
      <c r="L208" s="25"/>
    </row>
    <row r="209" ht="18.75" customHeight="1" spans="1:12">
      <c r="A209" s="15" t="s">
        <v>540</v>
      </c>
      <c r="B209" s="16" t="s">
        <v>103</v>
      </c>
      <c r="C209" s="16" t="s">
        <v>306</v>
      </c>
      <c r="D209" s="16"/>
      <c r="E209" s="9" t="s">
        <v>96</v>
      </c>
      <c r="F209" s="10">
        <v>28</v>
      </c>
      <c r="G209" s="17">
        <v>300.05</v>
      </c>
      <c r="H209" s="18">
        <f t="shared" si="44"/>
        <v>8401.4</v>
      </c>
      <c r="I209" s="16"/>
      <c r="L209" s="25"/>
    </row>
    <row r="210" ht="18.75" customHeight="1" spans="1:12">
      <c r="A210" s="15" t="s">
        <v>541</v>
      </c>
      <c r="B210" s="16" t="s">
        <v>103</v>
      </c>
      <c r="C210" s="16" t="s">
        <v>104</v>
      </c>
      <c r="D210" s="16"/>
      <c r="E210" s="9" t="s">
        <v>96</v>
      </c>
      <c r="F210" s="10">
        <v>176</v>
      </c>
      <c r="G210" s="17">
        <v>290.02</v>
      </c>
      <c r="H210" s="18">
        <f t="shared" si="44"/>
        <v>51043.52</v>
      </c>
      <c r="I210" s="16"/>
      <c r="L210" s="25"/>
    </row>
    <row r="211" ht="18.75" customHeight="1" spans="1:12">
      <c r="A211" s="15" t="s">
        <v>542</v>
      </c>
      <c r="B211" s="16" t="s">
        <v>543</v>
      </c>
      <c r="C211" s="16" t="s">
        <v>98</v>
      </c>
      <c r="D211" s="16"/>
      <c r="E211" s="9" t="s">
        <v>96</v>
      </c>
      <c r="F211" s="10">
        <v>25</v>
      </c>
      <c r="G211" s="17">
        <v>85</v>
      </c>
      <c r="H211" s="18">
        <f t="shared" ref="H211" si="45">F211*G211</f>
        <v>2125</v>
      </c>
      <c r="I211" s="16"/>
      <c r="L211" s="25"/>
    </row>
    <row r="212" ht="18.75" customHeight="1" spans="1:12">
      <c r="A212" s="15" t="s">
        <v>544</v>
      </c>
      <c r="B212" s="16" t="s">
        <v>543</v>
      </c>
      <c r="C212" s="16" t="s">
        <v>102</v>
      </c>
      <c r="D212" s="16"/>
      <c r="E212" s="9" t="s">
        <v>96</v>
      </c>
      <c r="F212" s="10">
        <v>208</v>
      </c>
      <c r="G212" s="17">
        <v>45</v>
      </c>
      <c r="H212" s="18">
        <f t="shared" ref="H212" si="46">F212*G212</f>
        <v>9360</v>
      </c>
      <c r="I212" s="16"/>
      <c r="L212" s="25"/>
    </row>
    <row r="213" ht="18.75" customHeight="1" spans="1:12">
      <c r="A213" s="15" t="s">
        <v>545</v>
      </c>
      <c r="B213" s="16" t="s">
        <v>100</v>
      </c>
      <c r="C213" s="16" t="s">
        <v>174</v>
      </c>
      <c r="D213" s="16"/>
      <c r="E213" s="9" t="s">
        <v>96</v>
      </c>
      <c r="F213" s="10">
        <v>100</v>
      </c>
      <c r="G213" s="17">
        <v>142.52</v>
      </c>
      <c r="H213" s="18">
        <f t="shared" si="44"/>
        <v>14252</v>
      </c>
      <c r="I213" s="16"/>
      <c r="L213" s="25"/>
    </row>
    <row r="214" ht="18.75" customHeight="1" spans="1:12">
      <c r="A214" s="15" t="s">
        <v>546</v>
      </c>
      <c r="B214" s="16" t="s">
        <v>100</v>
      </c>
      <c r="C214" s="16" t="s">
        <v>98</v>
      </c>
      <c r="D214" s="16"/>
      <c r="E214" s="9" t="s">
        <v>96</v>
      </c>
      <c r="F214" s="10">
        <v>228</v>
      </c>
      <c r="G214" s="17">
        <v>132.78</v>
      </c>
      <c r="H214" s="18">
        <f t="shared" si="44"/>
        <v>30273.84</v>
      </c>
      <c r="I214" s="16"/>
      <c r="L214" s="25"/>
    </row>
    <row r="215" ht="18.75" customHeight="1" spans="1:12">
      <c r="A215" s="15" t="s">
        <v>547</v>
      </c>
      <c r="B215" s="16" t="s">
        <v>100</v>
      </c>
      <c r="C215" s="16" t="s">
        <v>102</v>
      </c>
      <c r="D215" s="16"/>
      <c r="E215" s="9" t="s">
        <v>96</v>
      </c>
      <c r="F215" s="10">
        <v>408</v>
      </c>
      <c r="G215" s="17">
        <v>57.26</v>
      </c>
      <c r="H215" s="18">
        <f t="shared" si="44"/>
        <v>23362.08</v>
      </c>
      <c r="I215" s="16"/>
      <c r="L215" s="25"/>
    </row>
    <row r="216" ht="18.75" customHeight="1" spans="1:12">
      <c r="A216" s="15" t="s">
        <v>548</v>
      </c>
      <c r="B216" s="16" t="s">
        <v>238</v>
      </c>
      <c r="C216" s="16" t="s">
        <v>189</v>
      </c>
      <c r="D216" s="16"/>
      <c r="E216" s="9" t="s">
        <v>96</v>
      </c>
      <c r="F216" s="10">
        <v>13</v>
      </c>
      <c r="G216" s="17">
        <v>431.29</v>
      </c>
      <c r="H216" s="18">
        <f t="shared" si="44"/>
        <v>5606.77</v>
      </c>
      <c r="I216" s="16"/>
      <c r="L216" s="25"/>
    </row>
    <row r="217" ht="18.75" customHeight="1" spans="1:12">
      <c r="A217" s="15" t="s">
        <v>549</v>
      </c>
      <c r="B217" s="16" t="s">
        <v>238</v>
      </c>
      <c r="C217" s="16" t="s">
        <v>179</v>
      </c>
      <c r="D217" s="16"/>
      <c r="E217" s="9" t="s">
        <v>96</v>
      </c>
      <c r="F217" s="10">
        <v>5</v>
      </c>
      <c r="G217" s="17">
        <v>91.72</v>
      </c>
      <c r="H217" s="18">
        <f t="shared" si="44"/>
        <v>458.6</v>
      </c>
      <c r="I217" s="16"/>
      <c r="L217" s="25"/>
    </row>
    <row r="218" ht="18.75" customHeight="1" spans="1:12">
      <c r="A218" s="15" t="s">
        <v>550</v>
      </c>
      <c r="B218" s="16" t="s">
        <v>238</v>
      </c>
      <c r="C218" s="16" t="s">
        <v>119</v>
      </c>
      <c r="D218" s="16"/>
      <c r="E218" s="9" t="s">
        <v>96</v>
      </c>
      <c r="F218" s="10">
        <v>4</v>
      </c>
      <c r="G218" s="17">
        <v>90.8</v>
      </c>
      <c r="H218" s="18">
        <f t="shared" si="44"/>
        <v>363.2</v>
      </c>
      <c r="I218" s="16"/>
      <c r="L218" s="25"/>
    </row>
    <row r="219" ht="18.75" customHeight="1" spans="1:12">
      <c r="A219" s="15" t="s">
        <v>551</v>
      </c>
      <c r="B219" s="16" t="s">
        <v>239</v>
      </c>
      <c r="C219" s="16" t="s">
        <v>314</v>
      </c>
      <c r="D219" s="16"/>
      <c r="E219" s="9" t="s">
        <v>96</v>
      </c>
      <c r="F219" s="10">
        <v>3</v>
      </c>
      <c r="G219" s="17">
        <v>461.53</v>
      </c>
      <c r="H219" s="18">
        <f t="shared" si="44"/>
        <v>1384.59</v>
      </c>
      <c r="I219" s="16"/>
      <c r="L219" s="25"/>
    </row>
    <row r="220" ht="18.75" customHeight="1" spans="1:12">
      <c r="A220" s="15" t="s">
        <v>552</v>
      </c>
      <c r="B220" s="16" t="s">
        <v>239</v>
      </c>
      <c r="C220" s="16" t="s">
        <v>316</v>
      </c>
      <c r="D220" s="16"/>
      <c r="E220" s="9" t="s">
        <v>96</v>
      </c>
      <c r="F220" s="10">
        <v>4</v>
      </c>
      <c r="G220" s="17">
        <v>447.64</v>
      </c>
      <c r="H220" s="18">
        <f t="shared" si="44"/>
        <v>1790.56</v>
      </c>
      <c r="I220" s="16"/>
      <c r="L220" s="25"/>
    </row>
    <row r="221" ht="18.75" customHeight="1" spans="1:12">
      <c r="A221" s="15" t="s">
        <v>553</v>
      </c>
      <c r="B221" s="16" t="s">
        <v>239</v>
      </c>
      <c r="C221" s="16" t="s">
        <v>318</v>
      </c>
      <c r="D221" s="16"/>
      <c r="E221" s="9" t="s">
        <v>96</v>
      </c>
      <c r="F221" s="10">
        <v>14</v>
      </c>
      <c r="G221" s="17">
        <v>94.07</v>
      </c>
      <c r="H221" s="18">
        <f t="shared" si="44"/>
        <v>1316.98</v>
      </c>
      <c r="I221" s="16"/>
      <c r="L221" s="25"/>
    </row>
    <row r="222" ht="18.75" customHeight="1" spans="1:12">
      <c r="A222" s="15" t="s">
        <v>554</v>
      </c>
      <c r="B222" s="16" t="s">
        <v>239</v>
      </c>
      <c r="C222" s="16" t="s">
        <v>178</v>
      </c>
      <c r="D222" s="16"/>
      <c r="E222" s="9" t="s">
        <v>96</v>
      </c>
      <c r="F222" s="10">
        <v>4</v>
      </c>
      <c r="G222" s="17">
        <v>98.97</v>
      </c>
      <c r="H222" s="18">
        <f t="shared" si="44"/>
        <v>395.88</v>
      </c>
      <c r="I222" s="16"/>
      <c r="L222" s="25"/>
    </row>
    <row r="223" ht="18.75" customHeight="1" spans="1:12">
      <c r="A223" s="15" t="s">
        <v>555</v>
      </c>
      <c r="B223" s="16" t="s">
        <v>241</v>
      </c>
      <c r="C223" s="16" t="s">
        <v>316</v>
      </c>
      <c r="D223" s="16"/>
      <c r="E223" s="9" t="s">
        <v>96</v>
      </c>
      <c r="F223" s="10">
        <v>7</v>
      </c>
      <c r="G223" s="17">
        <v>165.36</v>
      </c>
      <c r="H223" s="18">
        <f t="shared" si="44"/>
        <v>1157.52</v>
      </c>
      <c r="I223" s="16"/>
      <c r="L223" s="25"/>
    </row>
    <row r="224" ht="18.75" customHeight="1" spans="1:12">
      <c r="A224" s="15" t="s">
        <v>556</v>
      </c>
      <c r="B224" s="16" t="s">
        <v>241</v>
      </c>
      <c r="C224" s="16" t="s">
        <v>318</v>
      </c>
      <c r="D224" s="16"/>
      <c r="E224" s="9" t="s">
        <v>96</v>
      </c>
      <c r="F224" s="10">
        <v>2</v>
      </c>
      <c r="G224" s="17">
        <v>165.36</v>
      </c>
      <c r="H224" s="18">
        <f t="shared" ref="H224" si="47">F224*G224</f>
        <v>330.72</v>
      </c>
      <c r="I224" s="16"/>
      <c r="L224" s="25"/>
    </row>
    <row r="225" ht="18.75" customHeight="1" spans="1:12">
      <c r="A225" s="15" t="s">
        <v>557</v>
      </c>
      <c r="B225" s="16" t="s">
        <v>241</v>
      </c>
      <c r="C225" s="16" t="s">
        <v>178</v>
      </c>
      <c r="D225" s="16"/>
      <c r="E225" s="9" t="s">
        <v>96</v>
      </c>
      <c r="F225" s="10">
        <v>2</v>
      </c>
      <c r="G225" s="17">
        <v>99.52</v>
      </c>
      <c r="H225" s="18">
        <f t="shared" si="44"/>
        <v>199.04</v>
      </c>
      <c r="I225" s="16"/>
      <c r="L225" s="25"/>
    </row>
    <row r="226" ht="18.75" customHeight="1" spans="1:12">
      <c r="A226" s="15" t="s">
        <v>558</v>
      </c>
      <c r="B226" s="16" t="s">
        <v>123</v>
      </c>
      <c r="C226" s="16" t="s">
        <v>263</v>
      </c>
      <c r="D226" s="16"/>
      <c r="E226" s="9" t="s">
        <v>96</v>
      </c>
      <c r="F226" s="10">
        <v>4</v>
      </c>
      <c r="G226" s="17">
        <v>841.2</v>
      </c>
      <c r="H226" s="18">
        <f t="shared" si="44"/>
        <v>3364.8</v>
      </c>
      <c r="I226" s="16"/>
      <c r="L226" s="25"/>
    </row>
    <row r="227" ht="18.75" customHeight="1" spans="1:12">
      <c r="A227" s="15" t="s">
        <v>559</v>
      </c>
      <c r="B227" s="16" t="s">
        <v>123</v>
      </c>
      <c r="C227" s="16" t="s">
        <v>180</v>
      </c>
      <c r="D227" s="16"/>
      <c r="E227" s="9" t="s">
        <v>96</v>
      </c>
      <c r="F227" s="10">
        <v>15</v>
      </c>
      <c r="G227" s="17">
        <v>376.13</v>
      </c>
      <c r="H227" s="18">
        <f t="shared" si="44"/>
        <v>5641.95</v>
      </c>
      <c r="I227" s="16"/>
      <c r="L227" s="25"/>
    </row>
    <row r="228" ht="18.75" customHeight="1" spans="1:12">
      <c r="A228" s="15" t="s">
        <v>560</v>
      </c>
      <c r="B228" s="16" t="s">
        <v>123</v>
      </c>
      <c r="C228" s="16" t="s">
        <v>124</v>
      </c>
      <c r="D228" s="16"/>
      <c r="E228" s="9" t="s">
        <v>96</v>
      </c>
      <c r="F228" s="10">
        <v>25</v>
      </c>
      <c r="G228" s="17">
        <v>263.71</v>
      </c>
      <c r="H228" s="18">
        <f t="shared" si="44"/>
        <v>6592.75</v>
      </c>
      <c r="I228" s="16"/>
      <c r="L228" s="25"/>
    </row>
    <row r="229" ht="18.75" customHeight="1" spans="1:12">
      <c r="A229" s="15" t="s">
        <v>561</v>
      </c>
      <c r="B229" s="16" t="s">
        <v>122</v>
      </c>
      <c r="C229" s="16" t="s">
        <v>189</v>
      </c>
      <c r="D229" s="16"/>
      <c r="E229" s="9" t="s">
        <v>96</v>
      </c>
      <c r="F229" s="10">
        <v>112</v>
      </c>
      <c r="G229" s="17">
        <v>151.7</v>
      </c>
      <c r="H229" s="18">
        <f t="shared" si="44"/>
        <v>16990.4</v>
      </c>
      <c r="I229" s="16"/>
      <c r="L229" s="25"/>
    </row>
    <row r="230" ht="18.75" customHeight="1" spans="1:12">
      <c r="A230" s="15" t="s">
        <v>562</v>
      </c>
      <c r="B230" s="16" t="s">
        <v>122</v>
      </c>
      <c r="C230" s="16" t="s">
        <v>179</v>
      </c>
      <c r="D230" s="16"/>
      <c r="E230" s="9" t="s">
        <v>96</v>
      </c>
      <c r="F230" s="10">
        <v>52</v>
      </c>
      <c r="G230" s="17">
        <v>101.7</v>
      </c>
      <c r="H230" s="18">
        <f t="shared" si="44"/>
        <v>5288.4</v>
      </c>
      <c r="I230" s="16"/>
      <c r="L230" s="25"/>
    </row>
    <row r="231" ht="18.75" customHeight="1" spans="1:12">
      <c r="A231" s="15" t="s">
        <v>563</v>
      </c>
      <c r="B231" s="16" t="s">
        <v>122</v>
      </c>
      <c r="C231" s="16" t="s">
        <v>119</v>
      </c>
      <c r="D231" s="16"/>
      <c r="E231" s="9" t="s">
        <v>96</v>
      </c>
      <c r="F231" s="10">
        <v>23</v>
      </c>
      <c r="G231" s="17">
        <v>96.25</v>
      </c>
      <c r="H231" s="18">
        <f t="shared" si="44"/>
        <v>2213.75</v>
      </c>
      <c r="I231" s="16"/>
      <c r="L231" s="25"/>
    </row>
    <row r="232" ht="18.75" customHeight="1" spans="1:12">
      <c r="A232" s="15" t="s">
        <v>564</v>
      </c>
      <c r="B232" s="16" t="s">
        <v>127</v>
      </c>
      <c r="C232" s="16" t="s">
        <v>174</v>
      </c>
      <c r="D232" s="16"/>
      <c r="E232" s="9" t="s">
        <v>96</v>
      </c>
      <c r="F232" s="10">
        <v>6</v>
      </c>
      <c r="G232" s="17">
        <v>959.44</v>
      </c>
      <c r="H232" s="18">
        <f t="shared" si="44"/>
        <v>5756.64</v>
      </c>
      <c r="I232" s="16" t="s">
        <v>330</v>
      </c>
      <c r="L232" s="25"/>
    </row>
    <row r="233" ht="18.75" customHeight="1" spans="1:12">
      <c r="A233" s="15" t="s">
        <v>565</v>
      </c>
      <c r="B233" s="16" t="s">
        <v>127</v>
      </c>
      <c r="C233" s="16" t="s">
        <v>98</v>
      </c>
      <c r="D233" s="16"/>
      <c r="E233" s="9" t="s">
        <v>96</v>
      </c>
      <c r="F233" s="10">
        <v>25</v>
      </c>
      <c r="G233" s="17">
        <v>771.19</v>
      </c>
      <c r="H233" s="18">
        <f t="shared" si="44"/>
        <v>19279.75</v>
      </c>
      <c r="I233" s="16" t="s">
        <v>330</v>
      </c>
      <c r="L233" s="25"/>
    </row>
    <row r="234" ht="18.75" customHeight="1" spans="1:12">
      <c r="A234" s="15" t="s">
        <v>566</v>
      </c>
      <c r="B234" s="16" t="s">
        <v>127</v>
      </c>
      <c r="C234" s="16" t="s">
        <v>102</v>
      </c>
      <c r="D234" s="16"/>
      <c r="E234" s="9" t="s">
        <v>96</v>
      </c>
      <c r="F234" s="10">
        <v>208</v>
      </c>
      <c r="G234" s="17">
        <v>360.55</v>
      </c>
      <c r="H234" s="18">
        <f t="shared" si="44"/>
        <v>74994.4</v>
      </c>
      <c r="I234" s="16" t="s">
        <v>330</v>
      </c>
      <c r="L234" s="25"/>
    </row>
    <row r="235" ht="18.75" customHeight="1" spans="1:12">
      <c r="A235" s="15" t="s">
        <v>567</v>
      </c>
      <c r="B235" s="16" t="s">
        <v>132</v>
      </c>
      <c r="C235" s="16"/>
      <c r="D235" s="16"/>
      <c r="E235" s="9" t="s">
        <v>23</v>
      </c>
      <c r="F235" s="10">
        <v>2223</v>
      </c>
      <c r="G235" s="17">
        <v>1.89</v>
      </c>
      <c r="H235" s="18">
        <f t="shared" si="44"/>
        <v>4201.47</v>
      </c>
      <c r="I235" s="16"/>
      <c r="K235" s="2">
        <v>1003</v>
      </c>
      <c r="L235" s="25"/>
    </row>
    <row r="236" ht="18.75" customHeight="1" spans="1:12">
      <c r="A236" s="15" t="s">
        <v>568</v>
      </c>
      <c r="B236" s="16" t="s">
        <v>133</v>
      </c>
      <c r="C236" s="16"/>
      <c r="D236" s="16"/>
      <c r="E236" s="9" t="s">
        <v>23</v>
      </c>
      <c r="F236" s="10">
        <v>2223</v>
      </c>
      <c r="G236" s="17">
        <v>6.04</v>
      </c>
      <c r="H236" s="18">
        <f t="shared" si="44"/>
        <v>13426.92</v>
      </c>
      <c r="I236" s="16"/>
      <c r="L236" s="25"/>
    </row>
    <row r="237" ht="18.75" customHeight="1" spans="1:14">
      <c r="A237" s="15" t="s">
        <v>569</v>
      </c>
      <c r="B237" s="16" t="s">
        <v>336</v>
      </c>
      <c r="C237" s="16" t="s">
        <v>570</v>
      </c>
      <c r="D237" s="16"/>
      <c r="E237" s="9" t="s">
        <v>96</v>
      </c>
      <c r="F237" s="10">
        <v>1</v>
      </c>
      <c r="G237" s="17">
        <v>65200</v>
      </c>
      <c r="H237" s="18">
        <f t="shared" si="44"/>
        <v>65200</v>
      </c>
      <c r="I237" s="16"/>
      <c r="M237" s="26">
        <v>3</v>
      </c>
      <c r="N237" s="5">
        <v>6.46062992125984</v>
      </c>
    </row>
    <row r="238" ht="18.75" customHeight="1" spans="1:14">
      <c r="A238" s="15" t="s">
        <v>571</v>
      </c>
      <c r="B238" s="16" t="s">
        <v>336</v>
      </c>
      <c r="C238" s="16" t="s">
        <v>339</v>
      </c>
      <c r="D238" s="16"/>
      <c r="E238" s="9" t="s">
        <v>96</v>
      </c>
      <c r="F238" s="10">
        <v>1</v>
      </c>
      <c r="G238" s="17">
        <v>93703.96</v>
      </c>
      <c r="H238" s="18">
        <f t="shared" si="44"/>
        <v>93703.96</v>
      </c>
      <c r="I238" s="16"/>
      <c r="M238" s="26">
        <v>3</v>
      </c>
      <c r="N238" s="5">
        <v>6.46062992125984</v>
      </c>
    </row>
    <row r="239" ht="18.75" customHeight="1" spans="1:14">
      <c r="A239" s="15" t="s">
        <v>572</v>
      </c>
      <c r="B239" s="16" t="s">
        <v>336</v>
      </c>
      <c r="C239" s="16" t="s">
        <v>337</v>
      </c>
      <c r="D239" s="16"/>
      <c r="E239" s="9" t="s">
        <v>96</v>
      </c>
      <c r="F239" s="10">
        <v>1</v>
      </c>
      <c r="G239" s="17">
        <v>118773.96</v>
      </c>
      <c r="H239" s="18">
        <f t="shared" ref="H239:H245" si="48">F239*G239</f>
        <v>118773.96</v>
      </c>
      <c r="I239" s="16"/>
      <c r="M239" s="26">
        <v>3</v>
      </c>
      <c r="N239" s="5">
        <v>6.46062992125984</v>
      </c>
    </row>
    <row r="240" ht="18.75" customHeight="1" spans="1:13">
      <c r="A240" s="15" t="s">
        <v>573</v>
      </c>
      <c r="B240" s="16" t="s">
        <v>135</v>
      </c>
      <c r="C240" s="16" t="s">
        <v>136</v>
      </c>
      <c r="D240" s="16"/>
      <c r="E240" s="9" t="s">
        <v>137</v>
      </c>
      <c r="F240" s="10">
        <v>5752</v>
      </c>
      <c r="G240" s="17">
        <f>0.04*7.85*4*5.5*1.35</f>
        <v>9.3258</v>
      </c>
      <c r="H240" s="18">
        <f t="shared" si="48"/>
        <v>53642.0016</v>
      </c>
      <c r="I240" s="16"/>
      <c r="M240" s="30"/>
    </row>
    <row r="241" ht="18.75" customHeight="1" spans="1:13">
      <c r="A241" s="15" t="s">
        <v>574</v>
      </c>
      <c r="B241" s="16" t="s">
        <v>138</v>
      </c>
      <c r="C241" s="16" t="s">
        <v>139</v>
      </c>
      <c r="D241" s="16"/>
      <c r="E241" s="9" t="s">
        <v>140</v>
      </c>
      <c r="F241" s="10">
        <v>6</v>
      </c>
      <c r="G241" s="17">
        <f>3.77*5.5*1.35</f>
        <v>27.99225</v>
      </c>
      <c r="H241" s="18">
        <f t="shared" si="48"/>
        <v>167.9535</v>
      </c>
      <c r="I241" s="16"/>
      <c r="M241" s="30"/>
    </row>
    <row r="242" ht="18.75" customHeight="1" spans="1:13">
      <c r="A242" s="15" t="s">
        <v>575</v>
      </c>
      <c r="B242" s="16" t="s">
        <v>134</v>
      </c>
      <c r="C242" s="16" t="s">
        <v>174</v>
      </c>
      <c r="D242" s="16"/>
      <c r="E242" s="9" t="s">
        <v>96</v>
      </c>
      <c r="F242" s="10">
        <v>97</v>
      </c>
      <c r="G242" s="17">
        <v>133.45</v>
      </c>
      <c r="H242" s="18">
        <f t="shared" si="48"/>
        <v>12944.65</v>
      </c>
      <c r="I242" s="16"/>
      <c r="M242" s="30"/>
    </row>
    <row r="243" ht="18.75" customHeight="1" spans="1:13">
      <c r="A243" s="15" t="s">
        <v>576</v>
      </c>
      <c r="B243" s="16" t="s">
        <v>134</v>
      </c>
      <c r="C243" s="16" t="s">
        <v>98</v>
      </c>
      <c r="D243" s="16"/>
      <c r="E243" s="9" t="s">
        <v>96</v>
      </c>
      <c r="F243" s="10">
        <v>308</v>
      </c>
      <c r="G243" s="17">
        <v>121.21</v>
      </c>
      <c r="H243" s="18">
        <f t="shared" si="48"/>
        <v>37332.68</v>
      </c>
      <c r="I243" s="16"/>
      <c r="M243" s="30"/>
    </row>
    <row r="244" ht="18" customHeight="1" spans="1:13">
      <c r="A244" s="15" t="s">
        <v>577</v>
      </c>
      <c r="B244" s="16" t="s">
        <v>134</v>
      </c>
      <c r="C244" s="16" t="s">
        <v>102</v>
      </c>
      <c r="D244" s="16"/>
      <c r="E244" s="9" t="s">
        <v>96</v>
      </c>
      <c r="F244" s="10">
        <v>208</v>
      </c>
      <c r="G244" s="17">
        <v>84.87</v>
      </c>
      <c r="H244" s="18">
        <f t="shared" si="48"/>
        <v>17652.96</v>
      </c>
      <c r="I244" s="16"/>
      <c r="M244" s="30"/>
    </row>
    <row r="245" ht="18.75" customHeight="1" spans="1:12">
      <c r="A245" s="15" t="s">
        <v>578</v>
      </c>
      <c r="B245" s="16" t="s">
        <v>346</v>
      </c>
      <c r="C245" s="16"/>
      <c r="D245" s="16"/>
      <c r="E245" s="9" t="s">
        <v>137</v>
      </c>
      <c r="F245" s="10">
        <v>36</v>
      </c>
      <c r="G245" s="17">
        <v>312.6</v>
      </c>
      <c r="H245" s="18">
        <f t="shared" si="48"/>
        <v>11253.6</v>
      </c>
      <c r="I245" s="16"/>
      <c r="K245" s="2" t="s">
        <v>347</v>
      </c>
      <c r="L245" s="25"/>
    </row>
    <row r="246" ht="18.75" customHeight="1" spans="1:12">
      <c r="A246" s="15" t="s">
        <v>579</v>
      </c>
      <c r="B246" s="16" t="s">
        <v>580</v>
      </c>
      <c r="C246" s="16" t="s">
        <v>101</v>
      </c>
      <c r="D246" s="16" t="s">
        <v>581</v>
      </c>
      <c r="E246" s="9" t="s">
        <v>137</v>
      </c>
      <c r="F246" s="10">
        <v>180</v>
      </c>
      <c r="G246" s="17">
        <v>220</v>
      </c>
      <c r="H246" s="18">
        <f t="shared" ref="H246:H248" si="49">F246*G246</f>
        <v>39600</v>
      </c>
      <c r="I246" s="16"/>
      <c r="K246" s="2" t="s">
        <v>347</v>
      </c>
      <c r="L246" s="25"/>
    </row>
    <row r="247" ht="18.75" customHeight="1" spans="1:12">
      <c r="A247" s="15" t="s">
        <v>582</v>
      </c>
      <c r="B247" s="16" t="s">
        <v>256</v>
      </c>
      <c r="C247" s="16" t="s">
        <v>94</v>
      </c>
      <c r="D247" s="16"/>
      <c r="E247" s="9" t="s">
        <v>96</v>
      </c>
      <c r="F247" s="10">
        <v>1</v>
      </c>
      <c r="G247" s="17">
        <v>17461.52</v>
      </c>
      <c r="H247" s="18">
        <f t="shared" si="49"/>
        <v>17461.52</v>
      </c>
      <c r="I247" s="16"/>
      <c r="L247" s="25"/>
    </row>
    <row r="248" ht="18.75" customHeight="1" spans="1:12">
      <c r="A248" s="15" t="s">
        <v>583</v>
      </c>
      <c r="B248" s="16" t="s">
        <v>145</v>
      </c>
      <c r="C248" s="16" t="s">
        <v>146</v>
      </c>
      <c r="D248" s="16" t="s">
        <v>147</v>
      </c>
      <c r="E248" s="9" t="s">
        <v>148</v>
      </c>
      <c r="F248" s="10">
        <v>1106</v>
      </c>
      <c r="G248" s="17">
        <v>327.12</v>
      </c>
      <c r="H248" s="18">
        <f t="shared" si="49"/>
        <v>361794.72</v>
      </c>
      <c r="I248" s="16" t="s">
        <v>350</v>
      </c>
      <c r="L248" s="25"/>
    </row>
    <row r="249" ht="18.75" customHeight="1" spans="1:12">
      <c r="A249" s="15" t="s">
        <v>584</v>
      </c>
      <c r="B249" s="16" t="s">
        <v>154</v>
      </c>
      <c r="C249" s="16" t="s">
        <v>155</v>
      </c>
      <c r="D249" s="16"/>
      <c r="E249" s="9" t="s">
        <v>96</v>
      </c>
      <c r="F249" s="10">
        <v>2212</v>
      </c>
      <c r="G249" s="17">
        <v>100.39</v>
      </c>
      <c r="H249" s="18">
        <f t="shared" ref="H249:H255" si="50">F249*G249</f>
        <v>222062.68</v>
      </c>
      <c r="I249" s="16"/>
      <c r="L249" s="25"/>
    </row>
    <row r="250" ht="18.75" customHeight="1" spans="1:12">
      <c r="A250" s="15" t="s">
        <v>585</v>
      </c>
      <c r="B250" s="16" t="s">
        <v>247</v>
      </c>
      <c r="C250" s="16" t="s">
        <v>155</v>
      </c>
      <c r="D250" s="16"/>
      <c r="E250" s="9" t="s">
        <v>137</v>
      </c>
      <c r="F250" s="10">
        <v>3318</v>
      </c>
      <c r="G250" s="17">
        <v>49.43</v>
      </c>
      <c r="H250" s="18">
        <f t="shared" si="50"/>
        <v>164008.74</v>
      </c>
      <c r="I250" s="16"/>
      <c r="K250" s="2" t="s">
        <v>353</v>
      </c>
      <c r="L250" s="25"/>
    </row>
    <row r="251" ht="18.75" customHeight="1" spans="1:12">
      <c r="A251" s="15" t="s">
        <v>586</v>
      </c>
      <c r="B251" s="16" t="s">
        <v>355</v>
      </c>
      <c r="C251" s="16" t="s">
        <v>356</v>
      </c>
      <c r="D251" s="16"/>
      <c r="E251" s="9" t="s">
        <v>96</v>
      </c>
      <c r="F251" s="10">
        <v>1106</v>
      </c>
      <c r="G251" s="17">
        <v>5.5</v>
      </c>
      <c r="H251" s="18">
        <f t="shared" si="50"/>
        <v>6083</v>
      </c>
      <c r="I251" s="16"/>
      <c r="L251" s="25"/>
    </row>
    <row r="252" ht="18.75" customHeight="1" spans="1:12">
      <c r="A252" s="15" t="s">
        <v>587</v>
      </c>
      <c r="B252" s="16" t="s">
        <v>158</v>
      </c>
      <c r="C252" s="16" t="s">
        <v>155</v>
      </c>
      <c r="D252" s="16"/>
      <c r="E252" s="9" t="s">
        <v>137</v>
      </c>
      <c r="F252" s="10">
        <v>5530</v>
      </c>
      <c r="G252" s="17">
        <v>4.2</v>
      </c>
      <c r="H252" s="18">
        <f t="shared" si="50"/>
        <v>23226</v>
      </c>
      <c r="I252" s="16"/>
      <c r="L252" s="25"/>
    </row>
    <row r="253" ht="18.75" customHeight="1" spans="1:12">
      <c r="A253" s="15" t="s">
        <v>588</v>
      </c>
      <c r="B253" s="16" t="s">
        <v>159</v>
      </c>
      <c r="C253" s="16" t="s">
        <v>155</v>
      </c>
      <c r="D253" s="16"/>
      <c r="E253" s="9" t="s">
        <v>137</v>
      </c>
      <c r="F253" s="10">
        <v>2212</v>
      </c>
      <c r="G253" s="17">
        <v>3.85</v>
      </c>
      <c r="H253" s="18">
        <f t="shared" si="50"/>
        <v>8516.2</v>
      </c>
      <c r="I253" s="16"/>
      <c r="L253" s="25"/>
    </row>
    <row r="254" ht="18.75" customHeight="1" spans="1:12">
      <c r="A254" s="15" t="s">
        <v>589</v>
      </c>
      <c r="B254" s="16" t="s">
        <v>233</v>
      </c>
      <c r="C254" s="16" t="s">
        <v>102</v>
      </c>
      <c r="D254" s="16" t="s">
        <v>147</v>
      </c>
      <c r="E254" s="9" t="s">
        <v>137</v>
      </c>
      <c r="F254" s="10">
        <v>1106</v>
      </c>
      <c r="G254" s="17">
        <v>20.15</v>
      </c>
      <c r="H254" s="18">
        <f t="shared" si="50"/>
        <v>22285.9</v>
      </c>
      <c r="I254" s="16"/>
      <c r="L254" s="25"/>
    </row>
    <row r="255" ht="18.75" customHeight="1" spans="1:12">
      <c r="A255" s="15" t="s">
        <v>590</v>
      </c>
      <c r="B255" s="16" t="s">
        <v>361</v>
      </c>
      <c r="C255" s="16" t="s">
        <v>362</v>
      </c>
      <c r="D255" s="16"/>
      <c r="E255" s="9" t="s">
        <v>363</v>
      </c>
      <c r="F255" s="10">
        <f>2223*1</f>
        <v>2223</v>
      </c>
      <c r="G255" s="17">
        <v>149.04</v>
      </c>
      <c r="H255" s="18">
        <f t="shared" si="50"/>
        <v>331315.92</v>
      </c>
      <c r="I255" s="16"/>
      <c r="K255" s="2">
        <v>2</v>
      </c>
      <c r="L255" s="25"/>
    </row>
    <row r="256" ht="18.75" customHeight="1" spans="1:12">
      <c r="A256" s="15" t="s">
        <v>591</v>
      </c>
      <c r="B256" s="16" t="s">
        <v>163</v>
      </c>
      <c r="C256" s="16"/>
      <c r="D256" s="16"/>
      <c r="E256" s="9" t="s">
        <v>164</v>
      </c>
      <c r="F256" s="10">
        <f>2223*(0.9*1.9)</f>
        <v>3801.33</v>
      </c>
      <c r="G256" s="17">
        <v>15.39</v>
      </c>
      <c r="H256" s="18">
        <f t="shared" ref="H256:H260" si="51">F256*G256</f>
        <v>58502.4687</v>
      </c>
      <c r="I256" s="16"/>
      <c r="L256" s="25"/>
    </row>
    <row r="257" ht="18.75" customHeight="1" spans="1:12">
      <c r="A257" s="15" t="s">
        <v>592</v>
      </c>
      <c r="B257" s="16" t="s">
        <v>165</v>
      </c>
      <c r="C257" s="16"/>
      <c r="D257" s="16"/>
      <c r="E257" s="9" t="s">
        <v>164</v>
      </c>
      <c r="F257" s="10">
        <f>2223*(0.9*1.7)</f>
        <v>3401.19</v>
      </c>
      <c r="G257" s="17">
        <v>27.54</v>
      </c>
      <c r="H257" s="18">
        <f t="shared" si="51"/>
        <v>93668.7726</v>
      </c>
      <c r="I257" s="16"/>
      <c r="L257" s="25"/>
    </row>
    <row r="258" ht="18.75" customHeight="1" spans="1:12">
      <c r="A258" s="15" t="s">
        <v>593</v>
      </c>
      <c r="B258" s="16" t="s">
        <v>166</v>
      </c>
      <c r="C258" s="16"/>
      <c r="D258" s="16"/>
      <c r="E258" s="9" t="s">
        <v>164</v>
      </c>
      <c r="F258" s="10">
        <f>2223*(0.9*0.15)</f>
        <v>300.105</v>
      </c>
      <c r="G258" s="17">
        <v>30.63</v>
      </c>
      <c r="H258" s="18">
        <f t="shared" si="51"/>
        <v>9192.21615</v>
      </c>
      <c r="I258" s="16"/>
      <c r="L258" s="25"/>
    </row>
    <row r="259" ht="18.75" customHeight="1" spans="1:12">
      <c r="A259" s="15" t="s">
        <v>594</v>
      </c>
      <c r="B259" s="16" t="s">
        <v>167</v>
      </c>
      <c r="C259" s="16"/>
      <c r="D259" s="16"/>
      <c r="E259" s="9" t="s">
        <v>164</v>
      </c>
      <c r="F259" s="10">
        <f>2223*(0.9*0.15)</f>
        <v>300.105</v>
      </c>
      <c r="G259" s="17">
        <v>214.7</v>
      </c>
      <c r="H259" s="18">
        <f t="shared" si="51"/>
        <v>64432.5435</v>
      </c>
      <c r="I259" s="16"/>
      <c r="L259" s="25"/>
    </row>
    <row r="260" ht="18.75" hidden="1" customHeight="1" spans="1:12">
      <c r="A260" s="15" t="s">
        <v>595</v>
      </c>
      <c r="B260" s="16" t="s">
        <v>369</v>
      </c>
      <c r="C260" s="16"/>
      <c r="D260" s="16"/>
      <c r="E260" s="9" t="s">
        <v>164</v>
      </c>
      <c r="F260" s="10">
        <f>2223*(0.9*0.3)*0</f>
        <v>0</v>
      </c>
      <c r="G260" s="17">
        <v>215.73</v>
      </c>
      <c r="H260" s="18">
        <f t="shared" si="51"/>
        <v>0</v>
      </c>
      <c r="I260" s="16"/>
      <c r="L260" s="25"/>
    </row>
    <row r="261" ht="18.75" customHeight="1" spans="1:10">
      <c r="A261" s="15"/>
      <c r="B261" s="16" t="s">
        <v>596</v>
      </c>
      <c r="C261" s="16"/>
      <c r="D261" s="16"/>
      <c r="E261" s="9" t="s">
        <v>169</v>
      </c>
      <c r="F261" s="10"/>
      <c r="G261" s="31"/>
      <c r="H261" s="18">
        <f>SUM(H200:H260)</f>
        <v>2960458.59605</v>
      </c>
      <c r="I261" s="16"/>
      <c r="J261" s="24"/>
    </row>
    <row r="262" ht="18.75" customHeight="1" spans="1:10">
      <c r="A262" s="11" t="s">
        <v>28</v>
      </c>
      <c r="B262" s="12" t="s">
        <v>597</v>
      </c>
      <c r="C262" s="13"/>
      <c r="D262" s="13"/>
      <c r="E262" s="13"/>
      <c r="F262" s="14"/>
      <c r="G262" s="13"/>
      <c r="H262" s="13"/>
      <c r="I262" s="23"/>
      <c r="J262" s="24"/>
    </row>
    <row r="263" ht="18.75" customHeight="1" spans="1:15">
      <c r="A263" s="15" t="s">
        <v>598</v>
      </c>
      <c r="B263" s="16" t="s">
        <v>84</v>
      </c>
      <c r="C263" s="16" t="s">
        <v>171</v>
      </c>
      <c r="D263" s="16" t="s">
        <v>86</v>
      </c>
      <c r="E263" s="9" t="s">
        <v>23</v>
      </c>
      <c r="F263" s="19">
        <v>273</v>
      </c>
      <c r="G263" s="17">
        <v>78.32</v>
      </c>
      <c r="H263" s="18">
        <f t="shared" ref="H263:H267" si="52">F263*G263</f>
        <v>21381.36</v>
      </c>
      <c r="I263" s="16"/>
      <c r="K263" s="3"/>
      <c r="L263" s="25"/>
      <c r="M263" s="28">
        <v>463</v>
      </c>
      <c r="N263" s="27">
        <v>694.5</v>
      </c>
      <c r="O263" s="3"/>
    </row>
    <row r="264" ht="18.75" customHeight="1" spans="1:15">
      <c r="A264" s="15" t="s">
        <v>599</v>
      </c>
      <c r="B264" s="16" t="s">
        <v>84</v>
      </c>
      <c r="C264" s="16" t="s">
        <v>85</v>
      </c>
      <c r="D264" s="16" t="s">
        <v>86</v>
      </c>
      <c r="E264" s="9" t="s">
        <v>23</v>
      </c>
      <c r="F264" s="20">
        <v>273</v>
      </c>
      <c r="G264" s="17">
        <v>67.71</v>
      </c>
      <c r="H264" s="18">
        <f t="shared" si="52"/>
        <v>18484.83</v>
      </c>
      <c r="I264" s="16"/>
      <c r="K264" s="3"/>
      <c r="L264" s="25"/>
      <c r="M264" s="3">
        <v>145</v>
      </c>
      <c r="N264" s="27">
        <v>217.5</v>
      </c>
      <c r="O264" s="3"/>
    </row>
    <row r="265" ht="18.75" customHeight="1" spans="1:15">
      <c r="A265" s="15" t="s">
        <v>600</v>
      </c>
      <c r="B265" s="16" t="s">
        <v>84</v>
      </c>
      <c r="C265" s="16" t="s">
        <v>87</v>
      </c>
      <c r="D265" s="16" t="s">
        <v>86</v>
      </c>
      <c r="E265" s="9" t="s">
        <v>23</v>
      </c>
      <c r="F265" s="10">
        <v>13</v>
      </c>
      <c r="G265" s="17">
        <v>39.37</v>
      </c>
      <c r="H265" s="18">
        <f t="shared" si="52"/>
        <v>511.81</v>
      </c>
      <c r="I265" s="16"/>
      <c r="K265" s="3"/>
      <c r="L265" s="25"/>
      <c r="M265" s="3">
        <v>145</v>
      </c>
      <c r="N265" s="27">
        <v>217.5</v>
      </c>
      <c r="O265" s="3"/>
    </row>
    <row r="266" ht="18.75" customHeight="1" spans="1:15">
      <c r="A266" s="15" t="s">
        <v>601</v>
      </c>
      <c r="B266" s="16" t="s">
        <v>89</v>
      </c>
      <c r="C266" s="16" t="s">
        <v>299</v>
      </c>
      <c r="D266" s="16" t="s">
        <v>91</v>
      </c>
      <c r="E266" s="9" t="s">
        <v>23</v>
      </c>
      <c r="F266" s="10">
        <v>10</v>
      </c>
      <c r="G266" s="17">
        <v>160.1</v>
      </c>
      <c r="H266" s="18">
        <f t="shared" si="52"/>
        <v>1601</v>
      </c>
      <c r="I266" s="16"/>
      <c r="K266" s="29"/>
      <c r="L266" s="29"/>
      <c r="M266" s="26">
        <v>2413</v>
      </c>
      <c r="N266" s="27">
        <v>3619.5</v>
      </c>
      <c r="O266" s="29"/>
    </row>
    <row r="267" ht="18.75" customHeight="1" spans="1:15">
      <c r="A267" s="15" t="s">
        <v>602</v>
      </c>
      <c r="B267" s="16" t="s">
        <v>89</v>
      </c>
      <c r="C267" s="16" t="s">
        <v>301</v>
      </c>
      <c r="D267" s="16" t="s">
        <v>91</v>
      </c>
      <c r="E267" s="9" t="s">
        <v>23</v>
      </c>
      <c r="F267" s="10">
        <v>473</v>
      </c>
      <c r="G267" s="17">
        <v>131.63</v>
      </c>
      <c r="H267" s="18">
        <f t="shared" si="52"/>
        <v>62260.99</v>
      </c>
      <c r="I267" s="16"/>
      <c r="K267" s="29"/>
      <c r="L267" s="29"/>
      <c r="M267" s="26">
        <v>38</v>
      </c>
      <c r="N267" s="27">
        <v>57</v>
      </c>
      <c r="O267" s="29"/>
    </row>
    <row r="268" ht="18.75" customHeight="1" spans="1:15">
      <c r="A268" s="15" t="s">
        <v>603</v>
      </c>
      <c r="B268" s="16" t="s">
        <v>89</v>
      </c>
      <c r="C268" s="16" t="s">
        <v>378</v>
      </c>
      <c r="D268" s="16" t="s">
        <v>91</v>
      </c>
      <c r="E268" s="9" t="s">
        <v>23</v>
      </c>
      <c r="F268" s="10">
        <v>460</v>
      </c>
      <c r="G268" s="17">
        <v>69.95</v>
      </c>
      <c r="H268" s="18">
        <f t="shared" ref="H268" si="53">F268*G268</f>
        <v>32177</v>
      </c>
      <c r="I268" s="16"/>
      <c r="K268" s="29">
        <f>SUM(F264:F268)</f>
        <v>1229</v>
      </c>
      <c r="L268" s="29"/>
      <c r="M268" s="26">
        <v>120</v>
      </c>
      <c r="N268" s="5">
        <v>258.425196850394</v>
      </c>
      <c r="O268" s="29"/>
    </row>
    <row r="269" ht="18.75" customHeight="1" spans="1:15">
      <c r="A269" s="15" t="s">
        <v>604</v>
      </c>
      <c r="B269" s="16" t="s">
        <v>89</v>
      </c>
      <c r="C269" s="16" t="s">
        <v>536</v>
      </c>
      <c r="D269" s="16" t="s">
        <v>91</v>
      </c>
      <c r="E269" s="9" t="s">
        <v>23</v>
      </c>
      <c r="F269" s="10">
        <v>1764</v>
      </c>
      <c r="G269" s="17">
        <v>55.67</v>
      </c>
      <c r="H269" s="18">
        <f t="shared" ref="H269:H295" si="54">F269*G269</f>
        <v>98201.88</v>
      </c>
      <c r="I269" s="16"/>
      <c r="K269" s="29">
        <f>SUM(F264:F269)</f>
        <v>2993</v>
      </c>
      <c r="L269" s="29"/>
      <c r="M269" s="26">
        <v>120</v>
      </c>
      <c r="N269" s="5">
        <v>258.425196850394</v>
      </c>
      <c r="O269" s="29"/>
    </row>
    <row r="270" ht="18.75" customHeight="1" spans="1:12">
      <c r="A270" s="15" t="s">
        <v>605</v>
      </c>
      <c r="B270" s="16" t="s">
        <v>93</v>
      </c>
      <c r="C270" s="16" t="s">
        <v>94</v>
      </c>
      <c r="D270" s="16" t="s">
        <v>95</v>
      </c>
      <c r="E270" s="9" t="s">
        <v>96</v>
      </c>
      <c r="F270" s="10">
        <v>13</v>
      </c>
      <c r="G270" s="17">
        <v>225.09</v>
      </c>
      <c r="H270" s="18">
        <f t="shared" si="54"/>
        <v>2926.17</v>
      </c>
      <c r="I270" s="16"/>
      <c r="L270" s="25"/>
    </row>
    <row r="271" ht="18.75" customHeight="1" spans="1:12">
      <c r="A271" s="15" t="s">
        <v>606</v>
      </c>
      <c r="B271" s="16" t="s">
        <v>103</v>
      </c>
      <c r="C271" s="16" t="s">
        <v>188</v>
      </c>
      <c r="D271" s="16"/>
      <c r="E271" s="9" t="s">
        <v>96</v>
      </c>
      <c r="F271" s="10">
        <v>2</v>
      </c>
      <c r="G271" s="17">
        <v>300.05</v>
      </c>
      <c r="H271" s="18">
        <f t="shared" si="54"/>
        <v>600.1</v>
      </c>
      <c r="I271" s="16"/>
      <c r="L271" s="25"/>
    </row>
    <row r="272" ht="18.75" customHeight="1" spans="1:12">
      <c r="A272" s="15" t="s">
        <v>607</v>
      </c>
      <c r="B272" s="16" t="s">
        <v>103</v>
      </c>
      <c r="C272" s="16" t="s">
        <v>176</v>
      </c>
      <c r="D272" s="16"/>
      <c r="E272" s="9" t="s">
        <v>96</v>
      </c>
      <c r="F272" s="10">
        <v>1</v>
      </c>
      <c r="G272" s="17">
        <v>295.5</v>
      </c>
      <c r="H272" s="18">
        <f t="shared" si="54"/>
        <v>295.5</v>
      </c>
      <c r="I272" s="16"/>
      <c r="L272" s="25"/>
    </row>
    <row r="273" ht="18.75" customHeight="1" spans="1:12">
      <c r="A273" s="15" t="s">
        <v>608</v>
      </c>
      <c r="B273" s="16" t="s">
        <v>103</v>
      </c>
      <c r="C273" s="16" t="s">
        <v>104</v>
      </c>
      <c r="D273" s="16"/>
      <c r="E273" s="9" t="s">
        <v>96</v>
      </c>
      <c r="F273" s="10">
        <v>42</v>
      </c>
      <c r="G273" s="17">
        <v>290.02</v>
      </c>
      <c r="H273" s="18">
        <f t="shared" ref="H273:H275" si="55">F273*G273</f>
        <v>12180.84</v>
      </c>
      <c r="I273" s="16"/>
      <c r="L273" s="25"/>
    </row>
    <row r="274" ht="18.75" customHeight="1" spans="1:12">
      <c r="A274" s="15" t="s">
        <v>609</v>
      </c>
      <c r="B274" s="16" t="s">
        <v>103</v>
      </c>
      <c r="C274" s="16" t="s">
        <v>106</v>
      </c>
      <c r="D274" s="16"/>
      <c r="E274" s="9" t="s">
        <v>96</v>
      </c>
      <c r="F274" s="10">
        <v>36</v>
      </c>
      <c r="G274" s="17">
        <v>235.3</v>
      </c>
      <c r="H274" s="18">
        <f t="shared" si="55"/>
        <v>8470.8</v>
      </c>
      <c r="I274" s="16"/>
      <c r="L274" s="25"/>
    </row>
    <row r="275" ht="18.75" customHeight="1" spans="1:12">
      <c r="A275" s="15" t="s">
        <v>610</v>
      </c>
      <c r="B275" s="16" t="s">
        <v>388</v>
      </c>
      <c r="C275" s="16" t="s">
        <v>389</v>
      </c>
      <c r="D275" s="16"/>
      <c r="E275" s="9" t="s">
        <v>96</v>
      </c>
      <c r="F275" s="10">
        <v>2</v>
      </c>
      <c r="G275" s="17">
        <v>320.53</v>
      </c>
      <c r="H275" s="18">
        <f t="shared" si="55"/>
        <v>641.06</v>
      </c>
      <c r="I275" s="16"/>
      <c r="L275" s="25"/>
    </row>
    <row r="276" ht="18.75" customHeight="1" spans="1:12">
      <c r="A276" s="15" t="s">
        <v>611</v>
      </c>
      <c r="B276" s="16" t="s">
        <v>388</v>
      </c>
      <c r="C276" s="16" t="s">
        <v>110</v>
      </c>
      <c r="D276" s="16"/>
      <c r="E276" s="9" t="s">
        <v>96</v>
      </c>
      <c r="F276" s="10">
        <v>2</v>
      </c>
      <c r="G276" s="17">
        <v>287.83</v>
      </c>
      <c r="H276" s="18">
        <f t="shared" ref="H276" si="56">F276*G276</f>
        <v>575.66</v>
      </c>
      <c r="I276" s="16"/>
      <c r="L276" s="25"/>
    </row>
    <row r="277" ht="18.75" customHeight="1" spans="1:12">
      <c r="A277" s="15" t="s">
        <v>612</v>
      </c>
      <c r="B277" s="16" t="s">
        <v>100</v>
      </c>
      <c r="C277" s="16" t="s">
        <v>174</v>
      </c>
      <c r="D277" s="16"/>
      <c r="E277" s="9" t="s">
        <v>96</v>
      </c>
      <c r="F277" s="10">
        <v>2</v>
      </c>
      <c r="G277" s="17">
        <v>142.52</v>
      </c>
      <c r="H277" s="18">
        <f t="shared" si="54"/>
        <v>285.04</v>
      </c>
      <c r="I277" s="16"/>
      <c r="L277" s="25"/>
    </row>
    <row r="278" ht="18.75" customHeight="1" spans="1:12">
      <c r="A278" s="15" t="s">
        <v>613</v>
      </c>
      <c r="B278" s="16" t="s">
        <v>100</v>
      </c>
      <c r="C278" s="16" t="s">
        <v>98</v>
      </c>
      <c r="D278" s="16"/>
      <c r="E278" s="9" t="s">
        <v>96</v>
      </c>
      <c r="F278" s="10">
        <v>94</v>
      </c>
      <c r="G278" s="17">
        <v>132.78</v>
      </c>
      <c r="H278" s="18">
        <f t="shared" si="54"/>
        <v>12481.32</v>
      </c>
      <c r="I278" s="16"/>
      <c r="L278" s="25"/>
    </row>
    <row r="279" ht="18.75" customHeight="1" spans="1:12">
      <c r="A279" s="15" t="s">
        <v>614</v>
      </c>
      <c r="B279" s="16" t="s">
        <v>100</v>
      </c>
      <c r="C279" s="16" t="s">
        <v>101</v>
      </c>
      <c r="D279" s="16"/>
      <c r="E279" s="9" t="s">
        <v>96</v>
      </c>
      <c r="F279" s="10">
        <v>90</v>
      </c>
      <c r="G279" s="17">
        <v>57.26</v>
      </c>
      <c r="H279" s="18">
        <f t="shared" si="54"/>
        <v>5153.4</v>
      </c>
      <c r="I279" s="16"/>
      <c r="L279" s="25"/>
    </row>
    <row r="280" ht="18.75" customHeight="1" spans="1:12">
      <c r="A280" s="15" t="s">
        <v>615</v>
      </c>
      <c r="B280" s="16" t="s">
        <v>238</v>
      </c>
      <c r="C280" s="16" t="s">
        <v>179</v>
      </c>
      <c r="D280" s="16"/>
      <c r="E280" s="9" t="s">
        <v>96</v>
      </c>
      <c r="F280" s="10">
        <v>6</v>
      </c>
      <c r="G280" s="17">
        <v>91.72</v>
      </c>
      <c r="H280" s="18">
        <f t="shared" si="54"/>
        <v>550.32</v>
      </c>
      <c r="I280" s="16"/>
      <c r="L280" s="25"/>
    </row>
    <row r="281" ht="18.75" customHeight="1" spans="1:12">
      <c r="A281" s="15" t="s">
        <v>616</v>
      </c>
      <c r="B281" s="16" t="s">
        <v>238</v>
      </c>
      <c r="C281" s="16" t="s">
        <v>119</v>
      </c>
      <c r="D281" s="16"/>
      <c r="E281" s="9" t="s">
        <v>96</v>
      </c>
      <c r="F281" s="10">
        <v>6</v>
      </c>
      <c r="G281" s="17">
        <v>90.8</v>
      </c>
      <c r="H281" s="18">
        <f t="shared" si="54"/>
        <v>544.8</v>
      </c>
      <c r="I281" s="16"/>
      <c r="L281" s="25"/>
    </row>
    <row r="282" ht="18.75" customHeight="1" spans="1:12">
      <c r="A282" s="15" t="s">
        <v>617</v>
      </c>
      <c r="B282" s="16" t="s">
        <v>239</v>
      </c>
      <c r="C282" s="16" t="s">
        <v>178</v>
      </c>
      <c r="D282" s="16"/>
      <c r="E282" s="9" t="s">
        <v>96</v>
      </c>
      <c r="F282" s="10">
        <v>5</v>
      </c>
      <c r="G282" s="17">
        <v>98.97</v>
      </c>
      <c r="H282" s="18">
        <f t="shared" si="54"/>
        <v>494.85</v>
      </c>
      <c r="I282" s="16"/>
      <c r="L282" s="25"/>
    </row>
    <row r="283" ht="18.75" customHeight="1" spans="1:12">
      <c r="A283" s="15" t="s">
        <v>618</v>
      </c>
      <c r="B283" s="16" t="s">
        <v>239</v>
      </c>
      <c r="C283" s="16" t="s">
        <v>117</v>
      </c>
      <c r="D283" s="16"/>
      <c r="E283" s="9" t="s">
        <v>96</v>
      </c>
      <c r="F283" s="10">
        <v>1</v>
      </c>
      <c r="G283" s="17">
        <v>98.97</v>
      </c>
      <c r="H283" s="18">
        <f t="shared" ref="H283:H284" si="57">F283*G283</f>
        <v>98.97</v>
      </c>
      <c r="I283" s="16"/>
      <c r="L283" s="25"/>
    </row>
    <row r="284" ht="18.75" customHeight="1" spans="1:12">
      <c r="A284" s="15" t="s">
        <v>619</v>
      </c>
      <c r="B284" s="16" t="s">
        <v>241</v>
      </c>
      <c r="C284" s="16" t="s">
        <v>178</v>
      </c>
      <c r="D284" s="16"/>
      <c r="E284" s="9" t="s">
        <v>96</v>
      </c>
      <c r="F284" s="10">
        <v>3</v>
      </c>
      <c r="G284" s="17">
        <v>99.52</v>
      </c>
      <c r="H284" s="18">
        <f t="shared" si="57"/>
        <v>298.56</v>
      </c>
      <c r="I284" s="16"/>
      <c r="L284" s="25"/>
    </row>
    <row r="285" ht="18.75" customHeight="1" spans="1:12">
      <c r="A285" s="15" t="s">
        <v>620</v>
      </c>
      <c r="B285" s="16" t="s">
        <v>123</v>
      </c>
      <c r="C285" s="16" t="s">
        <v>180</v>
      </c>
      <c r="D285" s="16"/>
      <c r="E285" s="9" t="s">
        <v>96</v>
      </c>
      <c r="F285" s="10">
        <v>3</v>
      </c>
      <c r="G285" s="17">
        <v>376.13</v>
      </c>
      <c r="H285" s="18">
        <f t="shared" si="54"/>
        <v>1128.39</v>
      </c>
      <c r="I285" s="16"/>
      <c r="L285" s="25"/>
    </row>
    <row r="286" ht="18.75" customHeight="1" spans="1:12">
      <c r="A286" s="15" t="s">
        <v>621</v>
      </c>
      <c r="B286" s="16" t="s">
        <v>123</v>
      </c>
      <c r="C286" s="16" t="s">
        <v>124</v>
      </c>
      <c r="D286" s="16"/>
      <c r="E286" s="9" t="s">
        <v>96</v>
      </c>
      <c r="F286" s="10">
        <v>6</v>
      </c>
      <c r="G286" s="17">
        <v>263.71</v>
      </c>
      <c r="H286" s="18">
        <f t="shared" si="54"/>
        <v>1582.26</v>
      </c>
      <c r="I286" s="16"/>
      <c r="L286" s="25"/>
    </row>
    <row r="287" ht="18.75" customHeight="1" spans="1:12">
      <c r="A287" s="15" t="s">
        <v>622</v>
      </c>
      <c r="B287" s="16" t="s">
        <v>123</v>
      </c>
      <c r="C287" s="16" t="s">
        <v>125</v>
      </c>
      <c r="D287" s="16"/>
      <c r="E287" s="9" t="s">
        <v>96</v>
      </c>
      <c r="F287" s="10">
        <v>5</v>
      </c>
      <c r="G287" s="17">
        <v>182.55</v>
      </c>
      <c r="H287" s="18">
        <f t="shared" si="54"/>
        <v>912.75</v>
      </c>
      <c r="I287" s="16"/>
      <c r="L287" s="25"/>
    </row>
    <row r="288" ht="18.75" customHeight="1" spans="1:12">
      <c r="A288" s="15" t="s">
        <v>623</v>
      </c>
      <c r="B288" s="16" t="s">
        <v>122</v>
      </c>
      <c r="C288" s="16" t="s">
        <v>179</v>
      </c>
      <c r="D288" s="16"/>
      <c r="E288" s="9" t="s">
        <v>96</v>
      </c>
      <c r="F288" s="10">
        <v>14</v>
      </c>
      <c r="G288" s="17">
        <v>101.7</v>
      </c>
      <c r="H288" s="18">
        <f t="shared" si="54"/>
        <v>1423.8</v>
      </c>
      <c r="I288" s="16"/>
      <c r="L288" s="25"/>
    </row>
    <row r="289" ht="18.75" customHeight="1" spans="1:12">
      <c r="A289" s="15" t="s">
        <v>624</v>
      </c>
      <c r="B289" s="16" t="s">
        <v>122</v>
      </c>
      <c r="C289" s="16" t="s">
        <v>119</v>
      </c>
      <c r="D289" s="16"/>
      <c r="E289" s="9" t="s">
        <v>96</v>
      </c>
      <c r="F289" s="10">
        <v>14</v>
      </c>
      <c r="G289" s="17">
        <v>96.25</v>
      </c>
      <c r="H289" s="18">
        <f t="shared" si="54"/>
        <v>1347.5</v>
      </c>
      <c r="I289" s="16"/>
      <c r="L289" s="25"/>
    </row>
    <row r="290" ht="18.75" customHeight="1" spans="1:12">
      <c r="A290" s="15" t="s">
        <v>625</v>
      </c>
      <c r="B290" s="16" t="s">
        <v>122</v>
      </c>
      <c r="C290" s="16" t="s">
        <v>120</v>
      </c>
      <c r="D290" s="16"/>
      <c r="E290" s="9" t="s">
        <v>96</v>
      </c>
      <c r="F290" s="10">
        <v>1</v>
      </c>
      <c r="G290" s="17">
        <v>94.07</v>
      </c>
      <c r="H290" s="18">
        <f t="shared" si="54"/>
        <v>94.07</v>
      </c>
      <c r="I290" s="16"/>
      <c r="L290" s="25"/>
    </row>
    <row r="291" ht="18.75" customHeight="1" spans="1:12">
      <c r="A291" s="15" t="s">
        <v>626</v>
      </c>
      <c r="B291" s="16" t="s">
        <v>127</v>
      </c>
      <c r="C291" s="16" t="s">
        <v>98</v>
      </c>
      <c r="D291" s="16"/>
      <c r="E291" s="9" t="s">
        <v>96</v>
      </c>
      <c r="F291" s="10">
        <v>6</v>
      </c>
      <c r="G291" s="17">
        <v>771.19</v>
      </c>
      <c r="H291" s="18">
        <f t="shared" si="54"/>
        <v>4627.14</v>
      </c>
      <c r="I291" s="16" t="s">
        <v>330</v>
      </c>
      <c r="L291" s="25"/>
    </row>
    <row r="292" ht="18.75" customHeight="1" spans="1:12">
      <c r="A292" s="15" t="s">
        <v>627</v>
      </c>
      <c r="B292" s="16" t="s">
        <v>127</v>
      </c>
      <c r="C292" s="16" t="s">
        <v>101</v>
      </c>
      <c r="D292" s="16"/>
      <c r="E292" s="9" t="s">
        <v>96</v>
      </c>
      <c r="F292" s="10">
        <v>7</v>
      </c>
      <c r="G292" s="17">
        <v>450.68</v>
      </c>
      <c r="H292" s="18">
        <f t="shared" si="54"/>
        <v>3154.76</v>
      </c>
      <c r="I292" s="16" t="s">
        <v>330</v>
      </c>
      <c r="L292" s="25"/>
    </row>
    <row r="293" ht="18.75" customHeight="1" spans="1:12">
      <c r="A293" s="15" t="s">
        <v>628</v>
      </c>
      <c r="B293" s="16" t="s">
        <v>127</v>
      </c>
      <c r="C293" s="16" t="s">
        <v>102</v>
      </c>
      <c r="D293" s="16"/>
      <c r="E293" s="9" t="s">
        <v>96</v>
      </c>
      <c r="F293" s="10">
        <v>78</v>
      </c>
      <c r="G293" s="17">
        <v>360.55</v>
      </c>
      <c r="H293" s="18">
        <f t="shared" si="54"/>
        <v>28122.9</v>
      </c>
      <c r="I293" s="16" t="s">
        <v>330</v>
      </c>
      <c r="L293" s="25"/>
    </row>
    <row r="294" ht="18.75" customHeight="1" spans="1:12">
      <c r="A294" s="15" t="s">
        <v>629</v>
      </c>
      <c r="B294" s="16" t="s">
        <v>132</v>
      </c>
      <c r="C294" s="16"/>
      <c r="D294" s="16"/>
      <c r="E294" s="9" t="s">
        <v>23</v>
      </c>
      <c r="F294" s="10">
        <v>559</v>
      </c>
      <c r="G294" s="17">
        <v>1.89</v>
      </c>
      <c r="H294" s="18">
        <f t="shared" si="54"/>
        <v>1056.51</v>
      </c>
      <c r="I294" s="16"/>
      <c r="K294" s="2">
        <v>1003</v>
      </c>
      <c r="L294" s="25"/>
    </row>
    <row r="295" ht="18.75" customHeight="1" spans="1:12">
      <c r="A295" s="15" t="s">
        <v>630</v>
      </c>
      <c r="B295" s="16" t="s">
        <v>133</v>
      </c>
      <c r="C295" s="16"/>
      <c r="D295" s="16"/>
      <c r="E295" s="9" t="s">
        <v>23</v>
      </c>
      <c r="F295" s="10">
        <v>559</v>
      </c>
      <c r="G295" s="17">
        <v>6.04</v>
      </c>
      <c r="H295" s="18">
        <f t="shared" si="54"/>
        <v>3376.36</v>
      </c>
      <c r="I295" s="16"/>
      <c r="L295" s="25"/>
    </row>
    <row r="296" ht="18.75" customHeight="1" spans="1:14">
      <c r="A296" s="15" t="s">
        <v>631</v>
      </c>
      <c r="B296" s="16" t="s">
        <v>128</v>
      </c>
      <c r="C296" s="16" t="s">
        <v>417</v>
      </c>
      <c r="D296" s="16"/>
      <c r="E296" s="9" t="s">
        <v>96</v>
      </c>
      <c r="F296" s="10">
        <v>2</v>
      </c>
      <c r="G296" s="17">
        <v>28244.08</v>
      </c>
      <c r="H296" s="18">
        <f t="shared" ref="H296" si="58">F296*G296</f>
        <v>56488.16</v>
      </c>
      <c r="I296" s="16"/>
      <c r="M296" s="26">
        <v>3</v>
      </c>
      <c r="N296" s="5">
        <v>6.46062992125984</v>
      </c>
    </row>
    <row r="297" ht="18.75" customHeight="1" spans="1:13">
      <c r="A297" s="15" t="s">
        <v>632</v>
      </c>
      <c r="B297" s="16" t="s">
        <v>135</v>
      </c>
      <c r="C297" s="16" t="s">
        <v>136</v>
      </c>
      <c r="D297" s="16"/>
      <c r="E297" s="9" t="s">
        <v>137</v>
      </c>
      <c r="F297" s="10">
        <v>968</v>
      </c>
      <c r="G297" s="17">
        <f>0.04*7.85*4*5.5*1.35</f>
        <v>9.3258</v>
      </c>
      <c r="H297" s="18">
        <f t="shared" ref="H297:H303" si="59">F297*G297</f>
        <v>9027.3744</v>
      </c>
      <c r="I297" s="16"/>
      <c r="M297" s="30"/>
    </row>
    <row r="298" ht="18.75" customHeight="1" spans="1:13">
      <c r="A298" s="15" t="s">
        <v>633</v>
      </c>
      <c r="B298" s="16" t="s">
        <v>138</v>
      </c>
      <c r="C298" s="16" t="s">
        <v>139</v>
      </c>
      <c r="D298" s="16"/>
      <c r="E298" s="9" t="s">
        <v>140</v>
      </c>
      <c r="F298" s="10">
        <v>4</v>
      </c>
      <c r="G298" s="17">
        <f>3.77*5.5*1.35</f>
        <v>27.99225</v>
      </c>
      <c r="H298" s="18">
        <f t="shared" si="59"/>
        <v>111.969</v>
      </c>
      <c r="I298" s="16"/>
      <c r="M298" s="30"/>
    </row>
    <row r="299" ht="18.75" customHeight="1" spans="1:13">
      <c r="A299" s="15" t="s">
        <v>634</v>
      </c>
      <c r="B299" s="16" t="s">
        <v>134</v>
      </c>
      <c r="C299" s="16" t="s">
        <v>98</v>
      </c>
      <c r="D299" s="16" t="s">
        <v>91</v>
      </c>
      <c r="E299" s="9" t="s">
        <v>96</v>
      </c>
      <c r="F299" s="10">
        <v>73</v>
      </c>
      <c r="G299" s="17">
        <v>121.21</v>
      </c>
      <c r="H299" s="18">
        <f t="shared" si="59"/>
        <v>8848.33</v>
      </c>
      <c r="I299" s="16"/>
      <c r="M299" s="30"/>
    </row>
    <row r="300" ht="18" customHeight="1" spans="1:13">
      <c r="A300" s="15" t="s">
        <v>635</v>
      </c>
      <c r="B300" s="16" t="s">
        <v>134</v>
      </c>
      <c r="C300" s="16" t="s">
        <v>101</v>
      </c>
      <c r="D300" s="16" t="s">
        <v>91</v>
      </c>
      <c r="E300" s="9" t="s">
        <v>96</v>
      </c>
      <c r="F300" s="10">
        <v>92</v>
      </c>
      <c r="G300" s="17">
        <v>109</v>
      </c>
      <c r="H300" s="18">
        <f t="shared" si="59"/>
        <v>10028</v>
      </c>
      <c r="I300" s="16"/>
      <c r="M300" s="30"/>
    </row>
    <row r="301" ht="18" customHeight="1" spans="1:13">
      <c r="A301" s="15" t="s">
        <v>636</v>
      </c>
      <c r="B301" s="16" t="s">
        <v>134</v>
      </c>
      <c r="C301" s="16" t="s">
        <v>181</v>
      </c>
      <c r="D301" s="16" t="s">
        <v>91</v>
      </c>
      <c r="E301" s="9" t="s">
        <v>96</v>
      </c>
      <c r="F301" s="10">
        <v>441</v>
      </c>
      <c r="G301" s="17">
        <v>54.55</v>
      </c>
      <c r="H301" s="18">
        <f t="shared" si="59"/>
        <v>24056.55</v>
      </c>
      <c r="I301" s="16"/>
      <c r="M301" s="30"/>
    </row>
    <row r="302" ht="18.75" customHeight="1" spans="1:12">
      <c r="A302" s="15" t="s">
        <v>637</v>
      </c>
      <c r="B302" s="16" t="s">
        <v>346</v>
      </c>
      <c r="C302" s="16"/>
      <c r="D302" s="16"/>
      <c r="E302" s="9" t="s">
        <v>137</v>
      </c>
      <c r="F302" s="10">
        <v>24</v>
      </c>
      <c r="G302" s="17">
        <v>312.6</v>
      </c>
      <c r="H302" s="18">
        <f t="shared" si="59"/>
        <v>7502.4</v>
      </c>
      <c r="I302" s="16"/>
      <c r="K302" s="2" t="s">
        <v>347</v>
      </c>
      <c r="L302" s="25"/>
    </row>
    <row r="303" ht="18.75" customHeight="1" spans="1:12">
      <c r="A303" s="15" t="s">
        <v>638</v>
      </c>
      <c r="B303" s="16" t="s">
        <v>145</v>
      </c>
      <c r="C303" s="16" t="s">
        <v>146</v>
      </c>
      <c r="D303" s="16" t="s">
        <v>147</v>
      </c>
      <c r="E303" s="9" t="s">
        <v>148</v>
      </c>
      <c r="F303" s="10">
        <v>588</v>
      </c>
      <c r="G303" s="17">
        <v>327.12</v>
      </c>
      <c r="H303" s="18">
        <f t="shared" si="59"/>
        <v>192346.56</v>
      </c>
      <c r="I303" s="16" t="s">
        <v>350</v>
      </c>
      <c r="L303" s="25"/>
    </row>
    <row r="304" ht="18.75" customHeight="1" spans="1:12">
      <c r="A304" s="15" t="s">
        <v>639</v>
      </c>
      <c r="B304" s="16" t="s">
        <v>154</v>
      </c>
      <c r="C304" s="16" t="s">
        <v>155</v>
      </c>
      <c r="D304" s="16"/>
      <c r="E304" s="9" t="s">
        <v>96</v>
      </c>
      <c r="F304" s="10">
        <v>1176</v>
      </c>
      <c r="G304" s="17">
        <v>100.39</v>
      </c>
      <c r="H304" s="18">
        <f t="shared" ref="H304:H310" si="60">F304*G304</f>
        <v>118058.64</v>
      </c>
      <c r="I304" s="16"/>
      <c r="L304" s="25"/>
    </row>
    <row r="305" ht="18.75" customHeight="1" spans="1:12">
      <c r="A305" s="15" t="s">
        <v>640</v>
      </c>
      <c r="B305" s="16" t="s">
        <v>247</v>
      </c>
      <c r="C305" s="16" t="s">
        <v>155</v>
      </c>
      <c r="D305" s="16"/>
      <c r="E305" s="9" t="s">
        <v>137</v>
      </c>
      <c r="F305" s="10">
        <v>1764</v>
      </c>
      <c r="G305" s="17">
        <v>49.43</v>
      </c>
      <c r="H305" s="18">
        <f t="shared" si="60"/>
        <v>87194.52</v>
      </c>
      <c r="I305" s="16"/>
      <c r="K305" s="2" t="s">
        <v>353</v>
      </c>
      <c r="L305" s="25"/>
    </row>
    <row r="306" ht="18.75" customHeight="1" spans="1:12">
      <c r="A306" s="15" t="s">
        <v>641</v>
      </c>
      <c r="B306" s="16" t="s">
        <v>355</v>
      </c>
      <c r="C306" s="16" t="s">
        <v>356</v>
      </c>
      <c r="D306" s="16"/>
      <c r="E306" s="9" t="s">
        <v>96</v>
      </c>
      <c r="F306" s="10">
        <v>588</v>
      </c>
      <c r="G306" s="17">
        <v>5.5</v>
      </c>
      <c r="H306" s="18">
        <f t="shared" si="60"/>
        <v>3234</v>
      </c>
      <c r="I306" s="16"/>
      <c r="L306" s="25"/>
    </row>
    <row r="307" ht="18.75" customHeight="1" spans="1:12">
      <c r="A307" s="15" t="s">
        <v>642</v>
      </c>
      <c r="B307" s="16" t="s">
        <v>158</v>
      </c>
      <c r="C307" s="16" t="s">
        <v>155</v>
      </c>
      <c r="D307" s="16"/>
      <c r="E307" s="9" t="s">
        <v>137</v>
      </c>
      <c r="F307" s="10">
        <v>2940</v>
      </c>
      <c r="G307" s="17">
        <v>4.2</v>
      </c>
      <c r="H307" s="18">
        <f t="shared" si="60"/>
        <v>12348</v>
      </c>
      <c r="I307" s="16"/>
      <c r="L307" s="25"/>
    </row>
    <row r="308" ht="18.75" customHeight="1" spans="1:12">
      <c r="A308" s="15" t="s">
        <v>643</v>
      </c>
      <c r="B308" s="16" t="s">
        <v>159</v>
      </c>
      <c r="C308" s="16" t="s">
        <v>155</v>
      </c>
      <c r="D308" s="16"/>
      <c r="E308" s="9" t="s">
        <v>137</v>
      </c>
      <c r="F308" s="10">
        <v>1176</v>
      </c>
      <c r="G308" s="17">
        <v>3.85</v>
      </c>
      <c r="H308" s="18">
        <f t="shared" si="60"/>
        <v>4527.6</v>
      </c>
      <c r="I308" s="16"/>
      <c r="L308" s="25"/>
    </row>
    <row r="309" ht="18.75" customHeight="1" spans="1:12">
      <c r="A309" s="15" t="s">
        <v>644</v>
      </c>
      <c r="B309" s="16" t="s">
        <v>233</v>
      </c>
      <c r="C309" s="16" t="s">
        <v>102</v>
      </c>
      <c r="D309" s="16" t="s">
        <v>147</v>
      </c>
      <c r="E309" s="9" t="s">
        <v>137</v>
      </c>
      <c r="F309" s="10">
        <v>588</v>
      </c>
      <c r="G309" s="17">
        <v>20.15</v>
      </c>
      <c r="H309" s="18">
        <f t="shared" si="60"/>
        <v>11848.2</v>
      </c>
      <c r="I309" s="16"/>
      <c r="L309" s="25"/>
    </row>
    <row r="310" ht="18.75" customHeight="1" spans="1:12">
      <c r="A310" s="15" t="s">
        <v>645</v>
      </c>
      <c r="B310" s="16" t="s">
        <v>361</v>
      </c>
      <c r="C310" s="16" t="s">
        <v>362</v>
      </c>
      <c r="D310" s="16"/>
      <c r="E310" s="9" t="s">
        <v>363</v>
      </c>
      <c r="F310" s="10">
        <f>559*1</f>
        <v>559</v>
      </c>
      <c r="G310" s="17">
        <v>149.04</v>
      </c>
      <c r="H310" s="18">
        <f t="shared" si="60"/>
        <v>83313.36</v>
      </c>
      <c r="I310" s="16"/>
      <c r="K310" s="2">
        <v>2</v>
      </c>
      <c r="L310" s="25"/>
    </row>
    <row r="311" ht="18.75" customHeight="1" spans="1:12">
      <c r="A311" s="15" t="s">
        <v>646</v>
      </c>
      <c r="B311" s="16" t="s">
        <v>163</v>
      </c>
      <c r="C311" s="16"/>
      <c r="D311" s="16"/>
      <c r="E311" s="9" t="s">
        <v>164</v>
      </c>
      <c r="F311" s="10">
        <f>559*(0.9*1.9)</f>
        <v>955.89</v>
      </c>
      <c r="G311" s="17">
        <v>15.39</v>
      </c>
      <c r="H311" s="18">
        <f t="shared" ref="H311:H315" si="61">F311*G311</f>
        <v>14711.1471</v>
      </c>
      <c r="I311" s="16"/>
      <c r="L311" s="25"/>
    </row>
    <row r="312" ht="18.75" customHeight="1" spans="1:12">
      <c r="A312" s="15" t="s">
        <v>647</v>
      </c>
      <c r="B312" s="16" t="s">
        <v>165</v>
      </c>
      <c r="C312" s="16"/>
      <c r="D312" s="16"/>
      <c r="E312" s="9" t="s">
        <v>164</v>
      </c>
      <c r="F312" s="10">
        <f>559*(0.9*1.7)</f>
        <v>855.27</v>
      </c>
      <c r="G312" s="17">
        <v>27.54</v>
      </c>
      <c r="H312" s="18">
        <f t="shared" si="61"/>
        <v>23554.1358</v>
      </c>
      <c r="I312" s="16"/>
      <c r="L312" s="25"/>
    </row>
    <row r="313" ht="18.75" customHeight="1" spans="1:12">
      <c r="A313" s="15" t="s">
        <v>648</v>
      </c>
      <c r="B313" s="16" t="s">
        <v>166</v>
      </c>
      <c r="C313" s="16"/>
      <c r="D313" s="16"/>
      <c r="E313" s="9" t="s">
        <v>164</v>
      </c>
      <c r="F313" s="10">
        <f>559*(0.9*0.15)</f>
        <v>75.465</v>
      </c>
      <c r="G313" s="17">
        <v>30.63</v>
      </c>
      <c r="H313" s="18">
        <f t="shared" si="61"/>
        <v>2311.49295</v>
      </c>
      <c r="I313" s="16"/>
      <c r="L313" s="25"/>
    </row>
    <row r="314" ht="18.75" customHeight="1" spans="1:12">
      <c r="A314" s="15" t="s">
        <v>649</v>
      </c>
      <c r="B314" s="16" t="s">
        <v>167</v>
      </c>
      <c r="C314" s="16"/>
      <c r="D314" s="16"/>
      <c r="E314" s="9" t="s">
        <v>164</v>
      </c>
      <c r="F314" s="10">
        <f>559*(0.9*0.15)</f>
        <v>75.465</v>
      </c>
      <c r="G314" s="17">
        <v>214.7</v>
      </c>
      <c r="H314" s="18">
        <f t="shared" si="61"/>
        <v>16202.3355</v>
      </c>
      <c r="I314" s="16"/>
      <c r="L314" s="25"/>
    </row>
    <row r="315" ht="18.75" hidden="1" customHeight="1" spans="1:12">
      <c r="A315" s="15" t="s">
        <v>650</v>
      </c>
      <c r="B315" s="16" t="s">
        <v>369</v>
      </c>
      <c r="C315" s="16"/>
      <c r="D315" s="16"/>
      <c r="E315" s="9" t="s">
        <v>164</v>
      </c>
      <c r="F315" s="10">
        <f>559*(0.9*0.3)*0</f>
        <v>0</v>
      </c>
      <c r="G315" s="17">
        <v>215.73</v>
      </c>
      <c r="H315" s="18">
        <f t="shared" si="61"/>
        <v>0</v>
      </c>
      <c r="I315" s="16"/>
      <c r="L315" s="25"/>
    </row>
    <row r="316" ht="18.75" customHeight="1" spans="1:9">
      <c r="A316" s="15"/>
      <c r="B316" s="16" t="s">
        <v>168</v>
      </c>
      <c r="C316" s="16"/>
      <c r="D316" s="16"/>
      <c r="E316" s="9"/>
      <c r="F316" s="10"/>
      <c r="G316" s="31"/>
      <c r="H316" s="18">
        <f>SUM(H263:H315)</f>
        <v>1012755.47475</v>
      </c>
      <c r="I316" s="16"/>
    </row>
    <row r="317" ht="18.75" customHeight="1" spans="1:10">
      <c r="A317" s="11" t="s">
        <v>29</v>
      </c>
      <c r="B317" s="12" t="s">
        <v>651</v>
      </c>
      <c r="C317" s="13"/>
      <c r="D317" s="13"/>
      <c r="E317" s="13"/>
      <c r="F317" s="14"/>
      <c r="G317" s="13"/>
      <c r="H317" s="13"/>
      <c r="I317" s="23"/>
      <c r="J317" s="24"/>
    </row>
    <row r="318" ht="18.75" customHeight="1" spans="1:15">
      <c r="A318" s="15" t="s">
        <v>652</v>
      </c>
      <c r="B318" s="16" t="s">
        <v>84</v>
      </c>
      <c r="C318" s="16" t="s">
        <v>259</v>
      </c>
      <c r="D318" s="16" t="s">
        <v>86</v>
      </c>
      <c r="E318" s="9" t="s">
        <v>23</v>
      </c>
      <c r="F318" s="10">
        <v>466</v>
      </c>
      <c r="G318" s="17">
        <v>167.58</v>
      </c>
      <c r="H318" s="18">
        <f t="shared" ref="H318:H323" si="62">F318*G318</f>
        <v>78092.28</v>
      </c>
      <c r="I318" s="16"/>
      <c r="K318" s="3"/>
      <c r="L318" s="25"/>
      <c r="M318" s="26">
        <v>370</v>
      </c>
      <c r="N318" s="27">
        <v>555</v>
      </c>
      <c r="O318" s="32"/>
    </row>
    <row r="319" ht="18.75" customHeight="1" spans="1:15">
      <c r="A319" s="15" t="s">
        <v>653</v>
      </c>
      <c r="B319" s="16" t="s">
        <v>84</v>
      </c>
      <c r="C319" s="16" t="s">
        <v>171</v>
      </c>
      <c r="D319" s="16" t="s">
        <v>86</v>
      </c>
      <c r="E319" s="9" t="s">
        <v>23</v>
      </c>
      <c r="F319" s="19">
        <v>882</v>
      </c>
      <c r="G319" s="17">
        <v>78.32</v>
      </c>
      <c r="H319" s="18">
        <f t="shared" si="62"/>
        <v>69078.24</v>
      </c>
      <c r="I319" s="16"/>
      <c r="K319" s="3"/>
      <c r="L319" s="25"/>
      <c r="M319" s="28">
        <v>463</v>
      </c>
      <c r="N319" s="27">
        <v>694.5</v>
      </c>
      <c r="O319" s="32"/>
    </row>
    <row r="320" ht="18.75" customHeight="1" spans="1:15">
      <c r="A320" s="15" t="s">
        <v>654</v>
      </c>
      <c r="B320" s="16" t="s">
        <v>84</v>
      </c>
      <c r="C320" s="16" t="s">
        <v>85</v>
      </c>
      <c r="D320" s="16" t="s">
        <v>86</v>
      </c>
      <c r="E320" s="9" t="s">
        <v>23</v>
      </c>
      <c r="F320" s="20">
        <v>500</v>
      </c>
      <c r="G320" s="17">
        <v>67.71</v>
      </c>
      <c r="H320" s="18">
        <f t="shared" si="62"/>
        <v>33855</v>
      </c>
      <c r="I320" s="16"/>
      <c r="K320" s="3"/>
      <c r="L320" s="25"/>
      <c r="M320" s="3">
        <v>145</v>
      </c>
      <c r="N320" s="27">
        <v>217.5</v>
      </c>
      <c r="O320" s="32"/>
    </row>
    <row r="321" ht="18.75" customHeight="1" spans="1:15">
      <c r="A321" s="15" t="s">
        <v>655</v>
      </c>
      <c r="B321" s="16" t="s">
        <v>84</v>
      </c>
      <c r="C321" s="16" t="s">
        <v>87</v>
      </c>
      <c r="D321" s="16" t="s">
        <v>86</v>
      </c>
      <c r="E321" s="9" t="s">
        <v>23</v>
      </c>
      <c r="F321" s="20">
        <v>147</v>
      </c>
      <c r="G321" s="17">
        <v>39.37</v>
      </c>
      <c r="H321" s="18">
        <f t="shared" si="62"/>
        <v>5787.39</v>
      </c>
      <c r="I321" s="16"/>
      <c r="K321" s="3"/>
      <c r="L321" s="25"/>
      <c r="M321" s="3">
        <v>145</v>
      </c>
      <c r="N321" s="27">
        <v>217.5</v>
      </c>
      <c r="O321" s="32"/>
    </row>
    <row r="322" ht="18.75" customHeight="1" spans="1:15">
      <c r="A322" s="15" t="s">
        <v>656</v>
      </c>
      <c r="B322" s="16" t="s">
        <v>89</v>
      </c>
      <c r="C322" s="16" t="s">
        <v>301</v>
      </c>
      <c r="D322" s="16" t="s">
        <v>91</v>
      </c>
      <c r="E322" s="9" t="s">
        <v>23</v>
      </c>
      <c r="F322" s="10">
        <v>2161</v>
      </c>
      <c r="G322" s="17">
        <v>131.63</v>
      </c>
      <c r="H322" s="18">
        <f t="shared" si="62"/>
        <v>284452.43</v>
      </c>
      <c r="I322" s="16"/>
      <c r="K322" s="29"/>
      <c r="L322" s="29"/>
      <c r="M322" s="26">
        <v>38</v>
      </c>
      <c r="N322" s="27">
        <v>57</v>
      </c>
      <c r="O322" s="32"/>
    </row>
    <row r="323" ht="18.75" customHeight="1" spans="1:15">
      <c r="A323" s="15" t="s">
        <v>657</v>
      </c>
      <c r="B323" s="16" t="s">
        <v>89</v>
      </c>
      <c r="C323" s="16" t="s">
        <v>378</v>
      </c>
      <c r="D323" s="16" t="s">
        <v>91</v>
      </c>
      <c r="E323" s="9" t="s">
        <v>23</v>
      </c>
      <c r="F323" s="10">
        <v>969</v>
      </c>
      <c r="G323" s="17">
        <v>69.95</v>
      </c>
      <c r="H323" s="18">
        <f t="shared" si="62"/>
        <v>67781.55</v>
      </c>
      <c r="I323" s="16"/>
      <c r="K323" s="29"/>
      <c r="L323" s="29"/>
      <c r="M323" s="26">
        <v>38</v>
      </c>
      <c r="N323" s="27">
        <v>57</v>
      </c>
      <c r="O323" s="32"/>
    </row>
    <row r="324" ht="18.75" customHeight="1" spans="1:15">
      <c r="A324" s="15" t="s">
        <v>658</v>
      </c>
      <c r="B324" s="16" t="s">
        <v>89</v>
      </c>
      <c r="C324" s="16" t="s">
        <v>536</v>
      </c>
      <c r="D324" s="16" t="s">
        <v>91</v>
      </c>
      <c r="E324" s="9" t="s">
        <v>23</v>
      </c>
      <c r="F324" s="10">
        <v>4278</v>
      </c>
      <c r="G324" s="17">
        <v>55.67</v>
      </c>
      <c r="H324" s="18">
        <f t="shared" ref="H324" si="63">F324*G324</f>
        <v>238156.26</v>
      </c>
      <c r="I324" s="16"/>
      <c r="K324" s="29">
        <f>SUM(F320:F324)</f>
        <v>8055</v>
      </c>
      <c r="L324" s="29"/>
      <c r="M324" s="26">
        <v>120</v>
      </c>
      <c r="N324" s="5">
        <v>258.425196850394</v>
      </c>
      <c r="O324" s="32"/>
    </row>
    <row r="325" ht="18.75" customHeight="1" spans="1:15">
      <c r="A325" s="15" t="s">
        <v>659</v>
      </c>
      <c r="B325" s="16" t="s">
        <v>89</v>
      </c>
      <c r="C325" s="16" t="s">
        <v>380</v>
      </c>
      <c r="D325" s="16" t="s">
        <v>91</v>
      </c>
      <c r="E325" s="9" t="s">
        <v>23</v>
      </c>
      <c r="F325" s="10">
        <v>1740</v>
      </c>
      <c r="G325" s="17">
        <v>50.23</v>
      </c>
      <c r="H325" s="18">
        <f t="shared" ref="H325:H331" si="64">F325*G325</f>
        <v>87400.2</v>
      </c>
      <c r="I325" s="16"/>
      <c r="K325" s="29">
        <f>SUM(F320:F325)</f>
        <v>9795</v>
      </c>
      <c r="L325" s="29"/>
      <c r="M325" s="26">
        <v>120</v>
      </c>
      <c r="N325" s="5">
        <v>258.425196850394</v>
      </c>
      <c r="O325" s="32"/>
    </row>
    <row r="326" ht="18.75" customHeight="1" spans="1:15">
      <c r="A326" s="15" t="s">
        <v>660</v>
      </c>
      <c r="B326" s="16" t="s">
        <v>93</v>
      </c>
      <c r="C326" s="16" t="s">
        <v>276</v>
      </c>
      <c r="D326" s="16" t="s">
        <v>95</v>
      </c>
      <c r="E326" s="9" t="s">
        <v>96</v>
      </c>
      <c r="F326" s="10">
        <v>5</v>
      </c>
      <c r="G326" s="17">
        <v>260.5</v>
      </c>
      <c r="H326" s="18">
        <f t="shared" si="64"/>
        <v>1302.5</v>
      </c>
      <c r="I326" s="16"/>
      <c r="L326" s="25"/>
      <c r="O326" s="32"/>
    </row>
    <row r="327" ht="18.75" customHeight="1" spans="1:15">
      <c r="A327" s="15" t="s">
        <v>661</v>
      </c>
      <c r="B327" s="16" t="s">
        <v>93</v>
      </c>
      <c r="C327" s="16" t="s">
        <v>94</v>
      </c>
      <c r="D327" s="16" t="s">
        <v>95</v>
      </c>
      <c r="E327" s="9" t="s">
        <v>96</v>
      </c>
      <c r="F327" s="10">
        <v>28</v>
      </c>
      <c r="G327" s="17">
        <v>225.09</v>
      </c>
      <c r="H327" s="18">
        <f t="shared" si="64"/>
        <v>6302.52</v>
      </c>
      <c r="I327" s="16"/>
      <c r="L327" s="25"/>
      <c r="O327" s="32"/>
    </row>
    <row r="328" ht="18.75" customHeight="1" spans="1:15">
      <c r="A328" s="15" t="s">
        <v>662</v>
      </c>
      <c r="B328" s="16" t="s">
        <v>93</v>
      </c>
      <c r="C328" s="16" t="s">
        <v>98</v>
      </c>
      <c r="D328" s="16" t="s">
        <v>95</v>
      </c>
      <c r="E328" s="9" t="s">
        <v>96</v>
      </c>
      <c r="F328" s="10">
        <v>10</v>
      </c>
      <c r="G328" s="17">
        <v>113.8</v>
      </c>
      <c r="H328" s="18">
        <f t="shared" si="64"/>
        <v>1138</v>
      </c>
      <c r="I328" s="16"/>
      <c r="L328" s="25"/>
      <c r="O328" s="32"/>
    </row>
    <row r="329" ht="18.75" customHeight="1" spans="1:15">
      <c r="A329" s="15" t="s">
        <v>663</v>
      </c>
      <c r="B329" s="16" t="s">
        <v>103</v>
      </c>
      <c r="C329" s="16" t="s">
        <v>104</v>
      </c>
      <c r="D329" s="16"/>
      <c r="E329" s="9" t="s">
        <v>96</v>
      </c>
      <c r="F329" s="10">
        <v>200</v>
      </c>
      <c r="G329" s="17">
        <v>287.83</v>
      </c>
      <c r="H329" s="18">
        <f t="shared" si="64"/>
        <v>57566</v>
      </c>
      <c r="I329" s="16"/>
      <c r="L329" s="25"/>
      <c r="O329" s="32"/>
    </row>
    <row r="330" ht="18.75" customHeight="1" spans="1:15">
      <c r="A330" s="15" t="s">
        <v>664</v>
      </c>
      <c r="B330" s="16" t="s">
        <v>103</v>
      </c>
      <c r="C330" s="16" t="s">
        <v>254</v>
      </c>
      <c r="D330" s="16"/>
      <c r="E330" s="9" t="s">
        <v>96</v>
      </c>
      <c r="F330" s="10">
        <v>94</v>
      </c>
      <c r="G330" s="17">
        <v>235.3</v>
      </c>
      <c r="H330" s="18">
        <f t="shared" si="64"/>
        <v>22118.2</v>
      </c>
      <c r="I330" s="16"/>
      <c r="L330" s="25"/>
      <c r="O330" s="32"/>
    </row>
    <row r="331" ht="18.75" customHeight="1" spans="1:15">
      <c r="A331" s="15" t="s">
        <v>665</v>
      </c>
      <c r="B331" s="16" t="s">
        <v>388</v>
      </c>
      <c r="C331" s="16" t="s">
        <v>389</v>
      </c>
      <c r="D331" s="16"/>
      <c r="E331" s="9" t="s">
        <v>96</v>
      </c>
      <c r="F331" s="10">
        <v>2</v>
      </c>
      <c r="G331" s="17">
        <v>320.53</v>
      </c>
      <c r="H331" s="18">
        <f t="shared" si="64"/>
        <v>641.06</v>
      </c>
      <c r="I331" s="16"/>
      <c r="L331" s="25"/>
      <c r="O331" s="32"/>
    </row>
    <row r="332" ht="18.75" customHeight="1" spans="1:15">
      <c r="A332" s="15" t="s">
        <v>666</v>
      </c>
      <c r="B332" s="16" t="s">
        <v>543</v>
      </c>
      <c r="C332" s="16" t="s">
        <v>98</v>
      </c>
      <c r="D332" s="16"/>
      <c r="E332" s="9" t="s">
        <v>96</v>
      </c>
      <c r="F332" s="10">
        <v>22</v>
      </c>
      <c r="G332" s="17">
        <v>85</v>
      </c>
      <c r="H332" s="18">
        <f t="shared" ref="H332:H334" si="65">F332*G332</f>
        <v>1870</v>
      </c>
      <c r="I332" s="16"/>
      <c r="L332" s="25"/>
      <c r="O332" s="32"/>
    </row>
    <row r="333" ht="18.75" customHeight="1" spans="1:15">
      <c r="A333" s="15" t="s">
        <v>667</v>
      </c>
      <c r="B333" s="16" t="s">
        <v>543</v>
      </c>
      <c r="C333" s="16" t="s">
        <v>101</v>
      </c>
      <c r="D333" s="16"/>
      <c r="E333" s="9" t="s">
        <v>96</v>
      </c>
      <c r="F333" s="10">
        <v>10</v>
      </c>
      <c r="G333" s="17">
        <v>65</v>
      </c>
      <c r="H333" s="18">
        <f t="shared" ref="H333" si="66">F333*G333</f>
        <v>650</v>
      </c>
      <c r="I333" s="16"/>
      <c r="L333" s="25"/>
      <c r="O333" s="32"/>
    </row>
    <row r="334" ht="18.75" customHeight="1" spans="1:15">
      <c r="A334" s="15" t="s">
        <v>668</v>
      </c>
      <c r="B334" s="16" t="s">
        <v>543</v>
      </c>
      <c r="C334" s="16" t="s">
        <v>102</v>
      </c>
      <c r="D334" s="16"/>
      <c r="E334" s="9" t="s">
        <v>96</v>
      </c>
      <c r="F334" s="10">
        <v>200</v>
      </c>
      <c r="G334" s="17">
        <v>45</v>
      </c>
      <c r="H334" s="18">
        <f t="shared" si="65"/>
        <v>9000</v>
      </c>
      <c r="I334" s="16"/>
      <c r="L334" s="25"/>
      <c r="O334" s="32"/>
    </row>
    <row r="335" ht="18.75" customHeight="1" spans="1:15">
      <c r="A335" s="15" t="s">
        <v>669</v>
      </c>
      <c r="B335" s="16" t="s">
        <v>543</v>
      </c>
      <c r="C335" s="16" t="s">
        <v>181</v>
      </c>
      <c r="D335" s="16"/>
      <c r="E335" s="9" t="s">
        <v>96</v>
      </c>
      <c r="F335" s="10">
        <v>94</v>
      </c>
      <c r="G335" s="17">
        <v>25</v>
      </c>
      <c r="H335" s="18">
        <f t="shared" ref="H335" si="67">F335*G335</f>
        <v>2350</v>
      </c>
      <c r="I335" s="16"/>
      <c r="L335" s="25"/>
      <c r="O335" s="32"/>
    </row>
    <row r="336" ht="18.75" customHeight="1" spans="1:15">
      <c r="A336" s="15" t="s">
        <v>670</v>
      </c>
      <c r="B336" s="16" t="s">
        <v>100</v>
      </c>
      <c r="C336" s="16" t="s">
        <v>98</v>
      </c>
      <c r="D336" s="16"/>
      <c r="E336" s="9" t="s">
        <v>96</v>
      </c>
      <c r="F336" s="10">
        <v>428</v>
      </c>
      <c r="G336" s="17">
        <v>132.78</v>
      </c>
      <c r="H336" s="18">
        <f t="shared" ref="H336:H363" si="68">F336*G336</f>
        <v>56829.84</v>
      </c>
      <c r="I336" s="16"/>
      <c r="L336" s="25"/>
      <c r="O336" s="32"/>
    </row>
    <row r="337" ht="18.75" customHeight="1" spans="1:15">
      <c r="A337" s="15" t="s">
        <v>671</v>
      </c>
      <c r="B337" s="16" t="s">
        <v>100</v>
      </c>
      <c r="C337" s="16" t="s">
        <v>101</v>
      </c>
      <c r="D337" s="16"/>
      <c r="E337" s="9" t="s">
        <v>96</v>
      </c>
      <c r="F337" s="10">
        <v>140</v>
      </c>
      <c r="G337" s="17">
        <v>68.16</v>
      </c>
      <c r="H337" s="18">
        <f t="shared" si="68"/>
        <v>9542.4</v>
      </c>
      <c r="I337" s="16"/>
      <c r="L337" s="25"/>
      <c r="O337" s="32"/>
    </row>
    <row r="338" ht="18.75" customHeight="1" spans="1:15">
      <c r="A338" s="15" t="s">
        <v>672</v>
      </c>
      <c r="B338" s="16" t="s">
        <v>100</v>
      </c>
      <c r="C338" s="16" t="s">
        <v>102</v>
      </c>
      <c r="D338" s="16"/>
      <c r="E338" s="9" t="s">
        <v>96</v>
      </c>
      <c r="F338" s="10">
        <v>400</v>
      </c>
      <c r="G338" s="17">
        <v>57.26</v>
      </c>
      <c r="H338" s="18">
        <f t="shared" si="68"/>
        <v>22904</v>
      </c>
      <c r="I338" s="16"/>
      <c r="L338" s="25"/>
      <c r="O338" s="32"/>
    </row>
    <row r="339" ht="18.75" customHeight="1" spans="1:15">
      <c r="A339" s="15" t="s">
        <v>673</v>
      </c>
      <c r="B339" s="16" t="s">
        <v>100</v>
      </c>
      <c r="C339" s="16" t="s">
        <v>181</v>
      </c>
      <c r="D339" s="16"/>
      <c r="E339" s="9" t="s">
        <v>96</v>
      </c>
      <c r="F339" s="10">
        <v>192</v>
      </c>
      <c r="G339" s="17">
        <v>57.26</v>
      </c>
      <c r="H339" s="18">
        <f t="shared" si="68"/>
        <v>10993.92</v>
      </c>
      <c r="I339" s="16"/>
      <c r="L339" s="25"/>
      <c r="O339" s="32"/>
    </row>
    <row r="340" ht="18.75" customHeight="1" spans="1:15">
      <c r="A340" s="15" t="s">
        <v>674</v>
      </c>
      <c r="B340" s="16" t="s">
        <v>238</v>
      </c>
      <c r="C340" s="16" t="s">
        <v>189</v>
      </c>
      <c r="D340" s="16"/>
      <c r="E340" s="9" t="s">
        <v>96</v>
      </c>
      <c r="F340" s="10">
        <v>2</v>
      </c>
      <c r="G340" s="17">
        <v>431.29</v>
      </c>
      <c r="H340" s="18">
        <f t="shared" si="68"/>
        <v>862.58</v>
      </c>
      <c r="I340" s="16"/>
      <c r="L340" s="25"/>
      <c r="O340" s="32"/>
    </row>
    <row r="341" ht="18.75" customHeight="1" spans="1:15">
      <c r="A341" s="15" t="s">
        <v>675</v>
      </c>
      <c r="B341" s="16" t="s">
        <v>238</v>
      </c>
      <c r="C341" s="16" t="s">
        <v>179</v>
      </c>
      <c r="D341" s="16"/>
      <c r="E341" s="9" t="s">
        <v>96</v>
      </c>
      <c r="F341" s="10">
        <v>25</v>
      </c>
      <c r="G341" s="17">
        <v>91.72</v>
      </c>
      <c r="H341" s="18">
        <f t="shared" si="68"/>
        <v>2293</v>
      </c>
      <c r="I341" s="16"/>
      <c r="L341" s="25"/>
      <c r="O341" s="32"/>
    </row>
    <row r="342" ht="18.75" customHeight="1" spans="1:15">
      <c r="A342" s="15" t="s">
        <v>676</v>
      </c>
      <c r="B342" s="16" t="s">
        <v>238</v>
      </c>
      <c r="C342" s="16" t="s">
        <v>119</v>
      </c>
      <c r="D342" s="16"/>
      <c r="E342" s="9" t="s">
        <v>96</v>
      </c>
      <c r="F342" s="10">
        <v>12</v>
      </c>
      <c r="G342" s="17">
        <v>90.8</v>
      </c>
      <c r="H342" s="18">
        <f t="shared" si="68"/>
        <v>1089.6</v>
      </c>
      <c r="I342" s="16"/>
      <c r="L342" s="25"/>
      <c r="O342" s="32"/>
    </row>
    <row r="343" ht="18.75" customHeight="1" spans="1:15">
      <c r="A343" s="15" t="s">
        <v>677</v>
      </c>
      <c r="B343" s="16" t="s">
        <v>238</v>
      </c>
      <c r="C343" s="16" t="s">
        <v>120</v>
      </c>
      <c r="D343" s="16"/>
      <c r="E343" s="9" t="s">
        <v>96</v>
      </c>
      <c r="F343" s="10">
        <v>4</v>
      </c>
      <c r="G343" s="17">
        <v>83.94</v>
      </c>
      <c r="H343" s="18">
        <f t="shared" si="68"/>
        <v>335.76</v>
      </c>
      <c r="I343" s="16"/>
      <c r="L343" s="25"/>
      <c r="O343" s="32"/>
    </row>
    <row r="344" ht="18.75" customHeight="1" spans="1:15">
      <c r="A344" s="15" t="s">
        <v>678</v>
      </c>
      <c r="B344" s="16" t="s">
        <v>239</v>
      </c>
      <c r="C344" s="16" t="s">
        <v>314</v>
      </c>
      <c r="D344" s="16"/>
      <c r="E344" s="9" t="s">
        <v>96</v>
      </c>
      <c r="F344" s="10">
        <v>5</v>
      </c>
      <c r="G344" s="17">
        <v>461.53</v>
      </c>
      <c r="H344" s="18">
        <f t="shared" si="68"/>
        <v>2307.65</v>
      </c>
      <c r="I344" s="16"/>
      <c r="L344" s="25"/>
      <c r="O344" s="32"/>
    </row>
    <row r="345" ht="18.75" customHeight="1" spans="1:15">
      <c r="A345" s="15" t="s">
        <v>679</v>
      </c>
      <c r="B345" s="16" t="s">
        <v>239</v>
      </c>
      <c r="C345" s="16" t="s">
        <v>316</v>
      </c>
      <c r="D345" s="16"/>
      <c r="E345" s="9" t="s">
        <v>96</v>
      </c>
      <c r="F345" s="10">
        <v>1</v>
      </c>
      <c r="G345" s="17">
        <v>447.64</v>
      </c>
      <c r="H345" s="18">
        <f t="shared" si="68"/>
        <v>447.64</v>
      </c>
      <c r="I345" s="16"/>
      <c r="L345" s="25"/>
      <c r="O345" s="32"/>
    </row>
    <row r="346" ht="18.75" customHeight="1" spans="1:15">
      <c r="A346" s="15" t="s">
        <v>680</v>
      </c>
      <c r="B346" s="16" t="s">
        <v>239</v>
      </c>
      <c r="C346" s="16" t="s">
        <v>318</v>
      </c>
      <c r="D346" s="16"/>
      <c r="E346" s="9" t="s">
        <v>96</v>
      </c>
      <c r="F346" s="10">
        <v>9</v>
      </c>
      <c r="G346" s="17">
        <v>94.07</v>
      </c>
      <c r="H346" s="18">
        <f t="shared" si="68"/>
        <v>846.63</v>
      </c>
      <c r="I346" s="16"/>
      <c r="L346" s="25"/>
      <c r="O346" s="32"/>
    </row>
    <row r="347" ht="18.75" customHeight="1" spans="1:15">
      <c r="A347" s="15" t="s">
        <v>681</v>
      </c>
      <c r="B347" s="16" t="s">
        <v>239</v>
      </c>
      <c r="C347" s="16" t="s">
        <v>178</v>
      </c>
      <c r="D347" s="16"/>
      <c r="E347" s="9" t="s">
        <v>96</v>
      </c>
      <c r="F347" s="10">
        <v>9</v>
      </c>
      <c r="G347" s="17">
        <v>98.97</v>
      </c>
      <c r="H347" s="18">
        <f t="shared" si="68"/>
        <v>890.73</v>
      </c>
      <c r="I347" s="16"/>
      <c r="L347" s="25"/>
      <c r="O347" s="32"/>
    </row>
    <row r="348" ht="18.75" customHeight="1" spans="1:15">
      <c r="A348" s="15" t="s">
        <v>682</v>
      </c>
      <c r="B348" s="16" t="s">
        <v>239</v>
      </c>
      <c r="C348" s="16" t="s">
        <v>117</v>
      </c>
      <c r="D348" s="16"/>
      <c r="E348" s="9" t="s">
        <v>96</v>
      </c>
      <c r="F348" s="10">
        <v>2</v>
      </c>
      <c r="G348" s="17">
        <v>90.97</v>
      </c>
      <c r="H348" s="18">
        <f t="shared" si="68"/>
        <v>181.94</v>
      </c>
      <c r="I348" s="16"/>
      <c r="L348" s="25"/>
      <c r="O348" s="32"/>
    </row>
    <row r="349" ht="18.75" customHeight="1" spans="1:15">
      <c r="A349" s="15" t="s">
        <v>683</v>
      </c>
      <c r="B349" s="16" t="s">
        <v>239</v>
      </c>
      <c r="C349" s="16" t="s">
        <v>113</v>
      </c>
      <c r="D349" s="16"/>
      <c r="E349" s="9" t="s">
        <v>96</v>
      </c>
      <c r="F349" s="10">
        <v>2</v>
      </c>
      <c r="G349" s="17">
        <v>94.07</v>
      </c>
      <c r="H349" s="18">
        <f t="shared" si="68"/>
        <v>188.14</v>
      </c>
      <c r="I349" s="16"/>
      <c r="L349" s="25"/>
      <c r="O349" s="32"/>
    </row>
    <row r="350" ht="18.75" customHeight="1" spans="1:15">
      <c r="A350" s="15" t="s">
        <v>684</v>
      </c>
      <c r="B350" s="16" t="s">
        <v>241</v>
      </c>
      <c r="C350" s="16" t="s">
        <v>316</v>
      </c>
      <c r="D350" s="16"/>
      <c r="E350" s="9" t="s">
        <v>96</v>
      </c>
      <c r="F350" s="10">
        <v>9</v>
      </c>
      <c r="G350" s="17">
        <v>165.36</v>
      </c>
      <c r="H350" s="18">
        <f t="shared" si="68"/>
        <v>1488.24</v>
      </c>
      <c r="I350" s="16"/>
      <c r="L350" s="25"/>
      <c r="O350" s="32"/>
    </row>
    <row r="351" ht="18.75" customHeight="1" spans="1:15">
      <c r="A351" s="15" t="s">
        <v>685</v>
      </c>
      <c r="B351" s="16" t="s">
        <v>241</v>
      </c>
      <c r="C351" s="16" t="s">
        <v>318</v>
      </c>
      <c r="D351" s="16"/>
      <c r="E351" s="9" t="s">
        <v>96</v>
      </c>
      <c r="F351" s="10">
        <v>4</v>
      </c>
      <c r="G351" s="17">
        <v>165.36</v>
      </c>
      <c r="H351" s="18">
        <f t="shared" si="68"/>
        <v>661.44</v>
      </c>
      <c r="I351" s="16"/>
      <c r="L351" s="25"/>
      <c r="O351" s="32"/>
    </row>
    <row r="352" ht="18.75" customHeight="1" spans="1:15">
      <c r="A352" s="15" t="s">
        <v>686</v>
      </c>
      <c r="B352" s="16" t="s">
        <v>241</v>
      </c>
      <c r="C352" s="16" t="s">
        <v>178</v>
      </c>
      <c r="D352" s="16"/>
      <c r="E352" s="9" t="s">
        <v>96</v>
      </c>
      <c r="F352" s="10">
        <v>8</v>
      </c>
      <c r="G352" s="17">
        <v>99.52</v>
      </c>
      <c r="H352" s="18">
        <f t="shared" si="68"/>
        <v>796.16</v>
      </c>
      <c r="I352" s="16"/>
      <c r="L352" s="25"/>
      <c r="O352" s="32"/>
    </row>
    <row r="353" ht="18.75" customHeight="1" spans="1:15">
      <c r="A353" s="15" t="s">
        <v>687</v>
      </c>
      <c r="B353" s="16" t="s">
        <v>241</v>
      </c>
      <c r="C353" s="16" t="s">
        <v>113</v>
      </c>
      <c r="D353" s="16"/>
      <c r="E353" s="9" t="s">
        <v>96</v>
      </c>
      <c r="F353" s="10">
        <v>2</v>
      </c>
      <c r="G353" s="17">
        <v>55.2</v>
      </c>
      <c r="H353" s="18">
        <f t="shared" si="68"/>
        <v>110.4</v>
      </c>
      <c r="I353" s="16"/>
      <c r="L353" s="25"/>
      <c r="O353" s="32"/>
    </row>
    <row r="354" ht="18.75" customHeight="1" spans="1:15">
      <c r="A354" s="15" t="s">
        <v>688</v>
      </c>
      <c r="B354" s="16" t="s">
        <v>123</v>
      </c>
      <c r="C354" s="16" t="s">
        <v>263</v>
      </c>
      <c r="D354" s="16"/>
      <c r="E354" s="9" t="s">
        <v>96</v>
      </c>
      <c r="F354" s="10">
        <v>6</v>
      </c>
      <c r="G354" s="17">
        <v>841.2</v>
      </c>
      <c r="H354" s="18">
        <f t="shared" si="68"/>
        <v>5047.2</v>
      </c>
      <c r="I354" s="16"/>
      <c r="L354" s="25"/>
      <c r="O354" s="32"/>
    </row>
    <row r="355" ht="18.75" customHeight="1" spans="1:15">
      <c r="A355" s="15" t="s">
        <v>689</v>
      </c>
      <c r="B355" s="16" t="s">
        <v>123</v>
      </c>
      <c r="C355" s="16" t="s">
        <v>124</v>
      </c>
      <c r="D355" s="16"/>
      <c r="E355" s="9" t="s">
        <v>96</v>
      </c>
      <c r="F355" s="10">
        <v>28</v>
      </c>
      <c r="G355" s="17">
        <v>263.71</v>
      </c>
      <c r="H355" s="18">
        <f t="shared" si="68"/>
        <v>7383.88</v>
      </c>
      <c r="I355" s="16"/>
      <c r="L355" s="25"/>
      <c r="O355" s="32"/>
    </row>
    <row r="356" ht="18.75" customHeight="1" spans="1:15">
      <c r="A356" s="15" t="s">
        <v>690</v>
      </c>
      <c r="B356" s="16" t="s">
        <v>123</v>
      </c>
      <c r="C356" s="16" t="s">
        <v>125</v>
      </c>
      <c r="D356" s="16"/>
      <c r="E356" s="9" t="s">
        <v>96</v>
      </c>
      <c r="F356" s="10">
        <v>10</v>
      </c>
      <c r="G356" s="17">
        <v>182.55</v>
      </c>
      <c r="H356" s="18">
        <f t="shared" si="68"/>
        <v>1825.5</v>
      </c>
      <c r="I356" s="16"/>
      <c r="L356" s="25"/>
      <c r="O356" s="32"/>
    </row>
    <row r="357" ht="18.75" customHeight="1" spans="1:15">
      <c r="A357" s="15" t="s">
        <v>691</v>
      </c>
      <c r="B357" s="16" t="s">
        <v>122</v>
      </c>
      <c r="C357" s="16" t="s">
        <v>189</v>
      </c>
      <c r="D357" s="16"/>
      <c r="E357" s="9" t="s">
        <v>96</v>
      </c>
      <c r="F357" s="10">
        <v>39</v>
      </c>
      <c r="G357" s="17">
        <v>151.7</v>
      </c>
      <c r="H357" s="18">
        <f t="shared" si="68"/>
        <v>5916.3</v>
      </c>
      <c r="I357" s="16"/>
      <c r="L357" s="25"/>
      <c r="O357" s="32"/>
    </row>
    <row r="358" ht="18.75" customHeight="1" spans="1:15">
      <c r="A358" s="15" t="s">
        <v>692</v>
      </c>
      <c r="B358" s="16" t="s">
        <v>122</v>
      </c>
      <c r="C358" s="16" t="s">
        <v>179</v>
      </c>
      <c r="D358" s="16"/>
      <c r="E358" s="9" t="s">
        <v>96</v>
      </c>
      <c r="F358" s="10">
        <v>74</v>
      </c>
      <c r="G358" s="17">
        <v>101.7</v>
      </c>
      <c r="H358" s="18">
        <f t="shared" si="68"/>
        <v>7525.8</v>
      </c>
      <c r="I358" s="16"/>
      <c r="L358" s="25"/>
      <c r="O358" s="32"/>
    </row>
    <row r="359" ht="18.75" customHeight="1" spans="1:15">
      <c r="A359" s="15" t="s">
        <v>693</v>
      </c>
      <c r="B359" s="16" t="s">
        <v>122</v>
      </c>
      <c r="C359" s="16" t="s">
        <v>119</v>
      </c>
      <c r="D359" s="16"/>
      <c r="E359" s="9" t="s">
        <v>96</v>
      </c>
      <c r="F359" s="10">
        <v>42</v>
      </c>
      <c r="G359" s="17">
        <v>96.25</v>
      </c>
      <c r="H359" s="18">
        <f t="shared" si="68"/>
        <v>4042.5</v>
      </c>
      <c r="I359" s="16"/>
      <c r="L359" s="25"/>
      <c r="O359" s="32"/>
    </row>
    <row r="360" ht="18.75" customHeight="1" spans="1:15">
      <c r="A360" s="15" t="s">
        <v>694</v>
      </c>
      <c r="B360" s="16" t="s">
        <v>122</v>
      </c>
      <c r="C360" s="16" t="s">
        <v>120</v>
      </c>
      <c r="D360" s="16"/>
      <c r="E360" s="9" t="s">
        <v>96</v>
      </c>
      <c r="F360" s="10">
        <v>13</v>
      </c>
      <c r="G360" s="17">
        <v>94.07</v>
      </c>
      <c r="H360" s="18">
        <f t="shared" si="68"/>
        <v>1222.91</v>
      </c>
      <c r="I360" s="16"/>
      <c r="L360" s="25"/>
      <c r="O360" s="32"/>
    </row>
    <row r="361" ht="18.75" customHeight="1" spans="1:15">
      <c r="A361" s="15" t="s">
        <v>695</v>
      </c>
      <c r="B361" s="16" t="s">
        <v>127</v>
      </c>
      <c r="C361" s="16" t="s">
        <v>98</v>
      </c>
      <c r="D361" s="16"/>
      <c r="E361" s="9" t="s">
        <v>96</v>
      </c>
      <c r="F361" s="10">
        <v>23</v>
      </c>
      <c r="G361" s="17">
        <v>771.19</v>
      </c>
      <c r="H361" s="18">
        <f t="shared" si="68"/>
        <v>17737.37</v>
      </c>
      <c r="I361" s="16" t="s">
        <v>330</v>
      </c>
      <c r="L361" s="25"/>
      <c r="O361" s="32"/>
    </row>
    <row r="362" ht="18.75" customHeight="1" spans="1:15">
      <c r="A362" s="15" t="s">
        <v>696</v>
      </c>
      <c r="B362" s="16" t="s">
        <v>127</v>
      </c>
      <c r="C362" s="16" t="s">
        <v>101</v>
      </c>
      <c r="D362" s="16"/>
      <c r="E362" s="9" t="s">
        <v>96</v>
      </c>
      <c r="F362" s="10">
        <v>10</v>
      </c>
      <c r="G362" s="17">
        <v>450.68</v>
      </c>
      <c r="H362" s="18">
        <f t="shared" si="68"/>
        <v>4506.8</v>
      </c>
      <c r="I362" s="16" t="s">
        <v>330</v>
      </c>
      <c r="L362" s="25"/>
      <c r="O362" s="32"/>
    </row>
    <row r="363" ht="18.75" customHeight="1" spans="1:15">
      <c r="A363" s="15" t="s">
        <v>697</v>
      </c>
      <c r="B363" s="16" t="s">
        <v>127</v>
      </c>
      <c r="C363" s="16" t="s">
        <v>102</v>
      </c>
      <c r="D363" s="16"/>
      <c r="E363" s="9" t="s">
        <v>96</v>
      </c>
      <c r="F363" s="10">
        <v>200</v>
      </c>
      <c r="G363" s="17">
        <v>360.55</v>
      </c>
      <c r="H363" s="18">
        <f t="shared" si="68"/>
        <v>72110</v>
      </c>
      <c r="I363" s="16" t="s">
        <v>330</v>
      </c>
      <c r="L363" s="25"/>
      <c r="O363" s="32"/>
    </row>
    <row r="364" ht="18.75" customHeight="1" spans="1:15">
      <c r="A364" s="15" t="s">
        <v>698</v>
      </c>
      <c r="B364" s="16" t="s">
        <v>699</v>
      </c>
      <c r="C364" s="16" t="s">
        <v>181</v>
      </c>
      <c r="D364" s="16"/>
      <c r="E364" s="9" t="s">
        <v>96</v>
      </c>
      <c r="F364" s="10">
        <v>94</v>
      </c>
      <c r="G364" s="17">
        <v>120.53</v>
      </c>
      <c r="H364" s="18">
        <f t="shared" ref="H364:H366" si="69">F364*G364</f>
        <v>11329.82</v>
      </c>
      <c r="I364" s="16"/>
      <c r="L364" s="25"/>
      <c r="O364" s="32"/>
    </row>
    <row r="365" ht="18.75" customHeight="1" spans="1:15">
      <c r="A365" s="15" t="s">
        <v>700</v>
      </c>
      <c r="B365" s="16" t="s">
        <v>132</v>
      </c>
      <c r="C365" s="16"/>
      <c r="D365" s="16"/>
      <c r="E365" s="9" t="s">
        <v>23</v>
      </c>
      <c r="F365" s="10">
        <v>1995</v>
      </c>
      <c r="G365" s="17">
        <v>1.89</v>
      </c>
      <c r="H365" s="18">
        <f t="shared" si="69"/>
        <v>3770.55</v>
      </c>
      <c r="I365" s="16"/>
      <c r="K365" s="2">
        <v>1003</v>
      </c>
      <c r="L365" s="25"/>
      <c r="O365" s="32"/>
    </row>
    <row r="366" ht="18.75" customHeight="1" spans="1:15">
      <c r="A366" s="15" t="s">
        <v>701</v>
      </c>
      <c r="B366" s="16" t="s">
        <v>133</v>
      </c>
      <c r="C366" s="16"/>
      <c r="D366" s="16"/>
      <c r="E366" s="9" t="s">
        <v>23</v>
      </c>
      <c r="F366" s="10">
        <v>1995</v>
      </c>
      <c r="G366" s="17">
        <v>6.04</v>
      </c>
      <c r="H366" s="18">
        <f t="shared" si="69"/>
        <v>12049.8</v>
      </c>
      <c r="I366" s="16"/>
      <c r="L366" s="25"/>
      <c r="O366" s="32"/>
    </row>
    <row r="367" ht="18.75" customHeight="1" spans="1:15">
      <c r="A367" s="15" t="s">
        <v>702</v>
      </c>
      <c r="B367" s="16" t="s">
        <v>336</v>
      </c>
      <c r="C367" s="16" t="s">
        <v>509</v>
      </c>
      <c r="D367" s="16"/>
      <c r="E367" s="9" t="s">
        <v>96</v>
      </c>
      <c r="F367" s="10">
        <v>1</v>
      </c>
      <c r="G367" s="17">
        <v>33600.5</v>
      </c>
      <c r="H367" s="18">
        <f t="shared" ref="H367:H378" si="70">F367*G367</f>
        <v>33600.5</v>
      </c>
      <c r="I367" s="16"/>
      <c r="M367" s="26">
        <v>3</v>
      </c>
      <c r="N367" s="5">
        <v>6.46062992125984</v>
      </c>
      <c r="O367" s="32"/>
    </row>
    <row r="368" ht="18.75" customHeight="1" spans="1:15">
      <c r="A368" s="15" t="s">
        <v>703</v>
      </c>
      <c r="B368" s="16" t="s">
        <v>336</v>
      </c>
      <c r="C368" s="16" t="s">
        <v>339</v>
      </c>
      <c r="D368" s="16"/>
      <c r="E368" s="9" t="s">
        <v>96</v>
      </c>
      <c r="F368" s="10">
        <v>4</v>
      </c>
      <c r="G368" s="17">
        <v>93703.96</v>
      </c>
      <c r="H368" s="18">
        <f t="shared" si="70"/>
        <v>374815.84</v>
      </c>
      <c r="I368" s="16"/>
      <c r="M368" s="26">
        <v>3</v>
      </c>
      <c r="N368" s="5">
        <v>6.46062992125984</v>
      </c>
      <c r="O368" s="32"/>
    </row>
    <row r="369" ht="18.75" customHeight="1" spans="1:15">
      <c r="A369" s="15" t="s">
        <v>704</v>
      </c>
      <c r="B369" s="16" t="s">
        <v>135</v>
      </c>
      <c r="C369" s="16" t="s">
        <v>136</v>
      </c>
      <c r="D369" s="16"/>
      <c r="E369" s="9" t="s">
        <v>137</v>
      </c>
      <c r="F369" s="10">
        <v>9148</v>
      </c>
      <c r="G369" s="17">
        <f>0.04*7.85*4*5.5*1.35</f>
        <v>9.3258</v>
      </c>
      <c r="H369" s="18">
        <f t="shared" si="70"/>
        <v>85312.4184</v>
      </c>
      <c r="I369" s="16"/>
      <c r="M369" s="30"/>
      <c r="O369" s="32"/>
    </row>
    <row r="370" ht="18.75" customHeight="1" spans="1:15">
      <c r="A370" s="15" t="s">
        <v>705</v>
      </c>
      <c r="B370" s="16" t="s">
        <v>138</v>
      </c>
      <c r="C370" s="16" t="s">
        <v>139</v>
      </c>
      <c r="D370" s="16"/>
      <c r="E370" s="9" t="s">
        <v>140</v>
      </c>
      <c r="F370" s="10">
        <v>10</v>
      </c>
      <c r="G370" s="17">
        <f>3.77*5.5*1.35</f>
        <v>27.99225</v>
      </c>
      <c r="H370" s="18">
        <f t="shared" si="70"/>
        <v>279.9225</v>
      </c>
      <c r="I370" s="16"/>
      <c r="M370" s="30"/>
      <c r="O370" s="32"/>
    </row>
    <row r="371" ht="18.75" customHeight="1" spans="1:15">
      <c r="A371" s="15" t="s">
        <v>706</v>
      </c>
      <c r="B371" s="16" t="s">
        <v>134</v>
      </c>
      <c r="C371" s="16" t="s">
        <v>98</v>
      </c>
      <c r="D371" s="16" t="s">
        <v>91</v>
      </c>
      <c r="E371" s="9" t="s">
        <v>96</v>
      </c>
      <c r="F371" s="10">
        <v>360</v>
      </c>
      <c r="G371" s="17">
        <v>121.21</v>
      </c>
      <c r="H371" s="18">
        <f t="shared" si="70"/>
        <v>43635.6</v>
      </c>
      <c r="I371" s="16"/>
      <c r="M371" s="30"/>
      <c r="O371" s="32"/>
    </row>
    <row r="372" ht="18" customHeight="1" spans="1:15">
      <c r="A372" s="15" t="s">
        <v>707</v>
      </c>
      <c r="B372" s="16" t="s">
        <v>134</v>
      </c>
      <c r="C372" s="16" t="s">
        <v>101</v>
      </c>
      <c r="D372" s="16" t="s">
        <v>91</v>
      </c>
      <c r="E372" s="9" t="s">
        <v>96</v>
      </c>
      <c r="F372" s="10">
        <v>194</v>
      </c>
      <c r="G372" s="17">
        <v>109</v>
      </c>
      <c r="H372" s="18">
        <f t="shared" si="70"/>
        <v>21146</v>
      </c>
      <c r="I372" s="16"/>
      <c r="M372" s="30"/>
      <c r="O372" s="32"/>
    </row>
    <row r="373" ht="18" customHeight="1" spans="1:15">
      <c r="A373" s="15" t="s">
        <v>708</v>
      </c>
      <c r="B373" s="16" t="s">
        <v>134</v>
      </c>
      <c r="C373" s="16" t="s">
        <v>102</v>
      </c>
      <c r="D373" s="16" t="s">
        <v>91</v>
      </c>
      <c r="E373" s="9" t="s">
        <v>96</v>
      </c>
      <c r="F373" s="10">
        <v>1264</v>
      </c>
      <c r="G373" s="17">
        <v>84.87</v>
      </c>
      <c r="H373" s="18">
        <f t="shared" si="70"/>
        <v>107275.68</v>
      </c>
      <c r="I373" s="16"/>
      <c r="M373" s="30"/>
      <c r="O373" s="32"/>
    </row>
    <row r="374" ht="18" customHeight="1" spans="1:15">
      <c r="A374" s="15" t="s">
        <v>709</v>
      </c>
      <c r="B374" s="16" t="s">
        <v>134</v>
      </c>
      <c r="C374" s="16" t="s">
        <v>181</v>
      </c>
      <c r="D374" s="16" t="s">
        <v>91</v>
      </c>
      <c r="E374" s="9" t="s">
        <v>96</v>
      </c>
      <c r="F374" s="10">
        <v>1264</v>
      </c>
      <c r="G374" s="17">
        <v>54.55</v>
      </c>
      <c r="H374" s="18">
        <f t="shared" si="70"/>
        <v>68951.2</v>
      </c>
      <c r="I374" s="16"/>
      <c r="M374" s="30"/>
      <c r="O374" s="32"/>
    </row>
    <row r="375" ht="18.75" customHeight="1" spans="1:15">
      <c r="A375" s="15" t="s">
        <v>710</v>
      </c>
      <c r="B375" s="16" t="s">
        <v>346</v>
      </c>
      <c r="C375" s="16"/>
      <c r="D375" s="16"/>
      <c r="E375" s="9" t="s">
        <v>137</v>
      </c>
      <c r="F375" s="10">
        <v>60</v>
      </c>
      <c r="G375" s="17">
        <v>312.6</v>
      </c>
      <c r="H375" s="18">
        <f t="shared" si="70"/>
        <v>18756</v>
      </c>
      <c r="I375" s="16"/>
      <c r="K375" s="2" t="s">
        <v>347</v>
      </c>
      <c r="L375" s="25"/>
      <c r="O375" s="32"/>
    </row>
    <row r="376" ht="18.75" customHeight="1" spans="1:15">
      <c r="A376" s="15" t="s">
        <v>711</v>
      </c>
      <c r="B376" s="16" t="s">
        <v>580</v>
      </c>
      <c r="C376" s="16" t="s">
        <v>101</v>
      </c>
      <c r="D376" s="16" t="s">
        <v>581</v>
      </c>
      <c r="E376" s="9" t="s">
        <v>137</v>
      </c>
      <c r="F376" s="10">
        <v>148</v>
      </c>
      <c r="G376" s="17">
        <v>220</v>
      </c>
      <c r="H376" s="18">
        <f t="shared" si="70"/>
        <v>32560</v>
      </c>
      <c r="I376" s="16"/>
      <c r="K376" s="2" t="s">
        <v>347</v>
      </c>
      <c r="L376" s="25"/>
      <c r="O376" s="32"/>
    </row>
    <row r="377" ht="18.75" customHeight="1" spans="1:15">
      <c r="A377" s="15" t="s">
        <v>712</v>
      </c>
      <c r="B377" s="16" t="s">
        <v>256</v>
      </c>
      <c r="C377" s="16" t="s">
        <v>94</v>
      </c>
      <c r="D377" s="16"/>
      <c r="E377" s="9" t="s">
        <v>202</v>
      </c>
      <c r="F377" s="10">
        <v>1</v>
      </c>
      <c r="G377" s="17">
        <v>17461.52</v>
      </c>
      <c r="H377" s="18">
        <f t="shared" si="70"/>
        <v>17461.52</v>
      </c>
      <c r="I377" s="16"/>
      <c r="L377" s="25"/>
      <c r="O377" s="32"/>
    </row>
    <row r="378" ht="18.75" customHeight="1" spans="1:15">
      <c r="A378" s="15" t="s">
        <v>713</v>
      </c>
      <c r="B378" s="16" t="s">
        <v>145</v>
      </c>
      <c r="C378" s="16" t="s">
        <v>146</v>
      </c>
      <c r="D378" s="16" t="s">
        <v>147</v>
      </c>
      <c r="E378" s="9" t="s">
        <v>148</v>
      </c>
      <c r="F378" s="10">
        <v>2006</v>
      </c>
      <c r="G378" s="17">
        <v>327.12</v>
      </c>
      <c r="H378" s="18">
        <f t="shared" si="70"/>
        <v>656202.72</v>
      </c>
      <c r="I378" s="16" t="s">
        <v>350</v>
      </c>
      <c r="L378" s="25"/>
      <c r="O378" s="32"/>
    </row>
    <row r="379" ht="18.75" customHeight="1" spans="1:15">
      <c r="A379" s="15" t="s">
        <v>714</v>
      </c>
      <c r="B379" s="16" t="s">
        <v>154</v>
      </c>
      <c r="C379" s="16" t="s">
        <v>155</v>
      </c>
      <c r="D379" s="16"/>
      <c r="E379" s="9" t="s">
        <v>96</v>
      </c>
      <c r="F379" s="10">
        <f>F378*2</f>
        <v>4012</v>
      </c>
      <c r="G379" s="17">
        <v>100.39</v>
      </c>
      <c r="H379" s="18">
        <f t="shared" ref="H379:H385" si="71">F379*G379</f>
        <v>402764.68</v>
      </c>
      <c r="I379" s="16"/>
      <c r="L379" s="25"/>
      <c r="O379" s="32"/>
    </row>
    <row r="380" ht="18.75" customHeight="1" spans="1:15">
      <c r="A380" s="15" t="s">
        <v>715</v>
      </c>
      <c r="B380" s="16" t="s">
        <v>247</v>
      </c>
      <c r="C380" s="16" t="s">
        <v>155</v>
      </c>
      <c r="D380" s="16"/>
      <c r="E380" s="9" t="s">
        <v>137</v>
      </c>
      <c r="F380" s="10">
        <f>F378*3</f>
        <v>6018</v>
      </c>
      <c r="G380" s="17">
        <v>49.43</v>
      </c>
      <c r="H380" s="18">
        <f t="shared" si="71"/>
        <v>297469.74</v>
      </c>
      <c r="I380" s="16"/>
      <c r="K380" s="2" t="s">
        <v>353</v>
      </c>
      <c r="L380" s="25"/>
      <c r="O380" s="32"/>
    </row>
    <row r="381" ht="18.75" customHeight="1" spans="1:15">
      <c r="A381" s="15" t="s">
        <v>716</v>
      </c>
      <c r="B381" s="16" t="s">
        <v>355</v>
      </c>
      <c r="C381" s="16" t="s">
        <v>356</v>
      </c>
      <c r="D381" s="16"/>
      <c r="E381" s="9" t="s">
        <v>96</v>
      </c>
      <c r="F381" s="10">
        <f>F378</f>
        <v>2006</v>
      </c>
      <c r="G381" s="17">
        <v>5.5</v>
      </c>
      <c r="H381" s="18">
        <f t="shared" si="71"/>
        <v>11033</v>
      </c>
      <c r="I381" s="16"/>
      <c r="L381" s="25"/>
      <c r="O381" s="32"/>
    </row>
    <row r="382" ht="18.75" customHeight="1" spans="1:15">
      <c r="A382" s="15" t="s">
        <v>717</v>
      </c>
      <c r="B382" s="16" t="s">
        <v>158</v>
      </c>
      <c r="C382" s="16" t="s">
        <v>155</v>
      </c>
      <c r="D382" s="16"/>
      <c r="E382" s="9" t="s">
        <v>96</v>
      </c>
      <c r="F382" s="10">
        <f>F378*5</f>
        <v>10030</v>
      </c>
      <c r="G382" s="17">
        <v>4.2</v>
      </c>
      <c r="H382" s="18">
        <f t="shared" si="71"/>
        <v>42126</v>
      </c>
      <c r="I382" s="16"/>
      <c r="L382" s="25"/>
      <c r="O382" s="32"/>
    </row>
    <row r="383" ht="18.75" customHeight="1" spans="1:15">
      <c r="A383" s="15" t="s">
        <v>718</v>
      </c>
      <c r="B383" s="16" t="s">
        <v>159</v>
      </c>
      <c r="C383" s="16" t="s">
        <v>155</v>
      </c>
      <c r="D383" s="16"/>
      <c r="E383" s="9" t="s">
        <v>96</v>
      </c>
      <c r="F383" s="10">
        <f>F378*2</f>
        <v>4012</v>
      </c>
      <c r="G383" s="17">
        <v>3.85</v>
      </c>
      <c r="H383" s="18">
        <f t="shared" si="71"/>
        <v>15446.2</v>
      </c>
      <c r="I383" s="16"/>
      <c r="L383" s="25"/>
      <c r="O383" s="32"/>
    </row>
    <row r="384" ht="18.75" customHeight="1" spans="1:15">
      <c r="A384" s="15" t="s">
        <v>719</v>
      </c>
      <c r="B384" s="16" t="s">
        <v>233</v>
      </c>
      <c r="C384" s="16" t="s">
        <v>102</v>
      </c>
      <c r="D384" s="16" t="s">
        <v>147</v>
      </c>
      <c r="E384" s="9" t="s">
        <v>96</v>
      </c>
      <c r="F384" s="10">
        <f>F378</f>
        <v>2006</v>
      </c>
      <c r="G384" s="17">
        <v>20.15</v>
      </c>
      <c r="H384" s="18">
        <f t="shared" si="71"/>
        <v>40420.9</v>
      </c>
      <c r="I384" s="16"/>
      <c r="L384" s="25"/>
      <c r="O384" s="33">
        <f>0.5*3.13*8</f>
        <v>12.52</v>
      </c>
    </row>
    <row r="385" ht="18.75" customHeight="1" spans="1:15">
      <c r="A385" s="15" t="s">
        <v>720</v>
      </c>
      <c r="B385" s="16" t="s">
        <v>361</v>
      </c>
      <c r="C385" s="16" t="s">
        <v>362</v>
      </c>
      <c r="D385" s="16"/>
      <c r="E385" s="9" t="s">
        <v>363</v>
      </c>
      <c r="F385" s="10">
        <f>1995*0.9</f>
        <v>1795.5</v>
      </c>
      <c r="G385" s="17">
        <v>149.04</v>
      </c>
      <c r="H385" s="18">
        <f t="shared" si="71"/>
        <v>267601.32</v>
      </c>
      <c r="I385" s="16"/>
      <c r="K385" s="2">
        <v>2</v>
      </c>
      <c r="L385" s="25"/>
      <c r="O385" s="32"/>
    </row>
    <row r="386" ht="18.75" customHeight="1" spans="1:15">
      <c r="A386" s="15" t="s">
        <v>721</v>
      </c>
      <c r="B386" s="16" t="s">
        <v>163</v>
      </c>
      <c r="C386" s="16"/>
      <c r="D386" s="16"/>
      <c r="E386" s="9" t="s">
        <v>164</v>
      </c>
      <c r="F386" s="10">
        <f>1995*(0.9*1.9)</f>
        <v>3411.45</v>
      </c>
      <c r="G386" s="17">
        <v>15.39</v>
      </c>
      <c r="H386" s="18">
        <f t="shared" ref="H386:H390" si="72">F386*G386</f>
        <v>52502.2155</v>
      </c>
      <c r="I386" s="16"/>
      <c r="L386" s="25"/>
      <c r="O386" s="32"/>
    </row>
    <row r="387" ht="18.75" customHeight="1" spans="1:15">
      <c r="A387" s="15" t="s">
        <v>722</v>
      </c>
      <c r="B387" s="16" t="s">
        <v>165</v>
      </c>
      <c r="C387" s="16"/>
      <c r="D387" s="16"/>
      <c r="E387" s="9" t="s">
        <v>164</v>
      </c>
      <c r="F387" s="10">
        <f>1995*(0.9*1.7)</f>
        <v>3052.35</v>
      </c>
      <c r="G387" s="17">
        <v>27.54</v>
      </c>
      <c r="H387" s="18">
        <f t="shared" si="72"/>
        <v>84061.719</v>
      </c>
      <c r="I387" s="16"/>
      <c r="L387" s="25"/>
      <c r="O387" s="32"/>
    </row>
    <row r="388" ht="18.75" customHeight="1" spans="1:15">
      <c r="A388" s="15" t="s">
        <v>723</v>
      </c>
      <c r="B388" s="16" t="s">
        <v>166</v>
      </c>
      <c r="C388" s="16"/>
      <c r="D388" s="16"/>
      <c r="E388" s="9" t="s">
        <v>164</v>
      </c>
      <c r="F388" s="10">
        <f>1995*(0.9*0.15)</f>
        <v>269.325</v>
      </c>
      <c r="G388" s="17">
        <v>30.63</v>
      </c>
      <c r="H388" s="18">
        <f t="shared" si="72"/>
        <v>8249.42475</v>
      </c>
      <c r="I388" s="16"/>
      <c r="L388" s="25"/>
      <c r="O388" s="32"/>
    </row>
    <row r="389" ht="18.75" customHeight="1" spans="1:15">
      <c r="A389" s="15" t="s">
        <v>724</v>
      </c>
      <c r="B389" s="16" t="s">
        <v>167</v>
      </c>
      <c r="C389" s="16"/>
      <c r="D389" s="16"/>
      <c r="E389" s="9" t="s">
        <v>164</v>
      </c>
      <c r="F389" s="10">
        <f>1995*(0.9*0.15)</f>
        <v>269.325</v>
      </c>
      <c r="G389" s="17">
        <v>214.7</v>
      </c>
      <c r="H389" s="18">
        <f t="shared" si="72"/>
        <v>57824.0775</v>
      </c>
      <c r="I389" s="16"/>
      <c r="L389" s="25"/>
      <c r="O389" s="32"/>
    </row>
    <row r="390" ht="18.75" hidden="1" customHeight="1" spans="1:15">
      <c r="A390" s="15" t="s">
        <v>725</v>
      </c>
      <c r="B390" s="16" t="s">
        <v>369</v>
      </c>
      <c r="C390" s="16"/>
      <c r="D390" s="16"/>
      <c r="E390" s="9" t="s">
        <v>164</v>
      </c>
      <c r="F390" s="10">
        <f>1995*(0.9*0.3)*0</f>
        <v>0</v>
      </c>
      <c r="G390" s="17">
        <v>215.73</v>
      </c>
      <c r="H390" s="18">
        <f t="shared" si="72"/>
        <v>0</v>
      </c>
      <c r="I390" s="16"/>
      <c r="L390" s="25"/>
      <c r="O390" s="32"/>
    </row>
    <row r="391" ht="18.75" customHeight="1" spans="1:15">
      <c r="A391" s="15"/>
      <c r="B391" s="16" t="s">
        <v>168</v>
      </c>
      <c r="C391" s="16"/>
      <c r="D391" s="16"/>
      <c r="E391" s="9" t="s">
        <v>169</v>
      </c>
      <c r="F391" s="10"/>
      <c r="G391" s="31"/>
      <c r="H391" s="18">
        <f>SUM(H318:H390)</f>
        <v>3974276.80765</v>
      </c>
      <c r="I391" s="16"/>
      <c r="O391" s="32"/>
    </row>
    <row r="392" ht="18.75" customHeight="1" spans="1:9">
      <c r="A392" s="15"/>
      <c r="B392" s="16"/>
      <c r="C392" s="16"/>
      <c r="D392" s="16"/>
      <c r="E392" s="9"/>
      <c r="F392" s="10"/>
      <c r="G392" s="31"/>
      <c r="H392" s="18"/>
      <c r="I392" s="16"/>
    </row>
  </sheetData>
  <mergeCells count="8">
    <mergeCell ref="A1:I1"/>
    <mergeCell ref="A2:E2"/>
    <mergeCell ref="B4:I4"/>
    <mergeCell ref="B60:I60"/>
    <mergeCell ref="B122:I122"/>
    <mergeCell ref="B199:I199"/>
    <mergeCell ref="B262:I262"/>
    <mergeCell ref="B317:I317"/>
  </mergeCells>
  <pageMargins left="0.748031496062992" right="0.748031496062992" top="0.984251968503937" bottom="0.984251968503937" header="0.511811023622047" footer="0.511811023622047"/>
  <pageSetup paperSize="9" orientation="landscape" blackAndWhite="1"/>
  <headerFooter alignWithMargins="0" scaleWithDoc="0">
    <oddFooter>&amp;C&amp;P</oddFooter>
  </headerFooter>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总概算表</vt:lpstr>
      <vt:lpstr>单项概算</vt:lpstr>
      <vt:lpstr>2024燃气概算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WPS_1178778167</cp:lastModifiedBy>
  <dcterms:created xsi:type="dcterms:W3CDTF">2020-03-27T07:56:00Z</dcterms:created>
  <cp:lastPrinted>2024-07-25T15:23:00Z</cp:lastPrinted>
  <dcterms:modified xsi:type="dcterms:W3CDTF">2024-08-21T02:44:21Z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1DE06EA72DF14037B801EECF76C6B0CF_13</vt:lpwstr>
  </property>
</Properties>
</file>