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总概算表" sheetId="13" r:id="rId1"/>
    <sheet name="2024燃气概算" sheetId="1" r:id="rId2"/>
    <sheet name="2024供热概算" sheetId="4" r:id="rId3"/>
    <sheet name="2024给水概算" sheetId="14" r:id="rId4"/>
    <sheet name="Sheet3" sheetId="3" state="hidden" r:id="rId5"/>
  </sheets>
  <externalReferences>
    <externalReference r:id="rId6"/>
  </externalReferences>
  <definedNames>
    <definedName name="HTML_CodePage" hidden="1">936</definedName>
    <definedName name="HTML_Control" hidden="1">{"'现金流量表（全部投资）'!$B$4:$P$23"}</definedName>
    <definedName name="HTML_Description" hidden="1">"lin zijian"</definedName>
    <definedName name="HTML_Email" hidden="1">""</definedName>
    <definedName name="HTML_Header" hidden="1">"现金流量表（全部投资）"</definedName>
    <definedName name="HTML_LastUpdate" hidden="1">"96-12-2"</definedName>
    <definedName name="HTML_LineAfter" hidden="1">TRUE</definedName>
    <definedName name="HTML_LineBefore" hidden="1">TRUE</definedName>
    <definedName name="HTML_Name" hidden="1">"linzijia"</definedName>
    <definedName name="HTML_OBDlg2" hidden="1">TRUE</definedName>
    <definedName name="HTML_OBDlg4" hidden="1">TRUE</definedName>
    <definedName name="HTML_OS" hidden="1">0</definedName>
    <definedName name="HTML_PathFile" hidden="1">"C:\lin\bk\MyHTML.htm"</definedName>
    <definedName name="HTML_Title" hidden="1">"PROJECT11"</definedName>
    <definedName name="_xlnm.Print_Area" localSheetId="3">'2024给水概算'!$A$1:$I$435</definedName>
    <definedName name="_xlnm.Print_Area" localSheetId="2">'2024供热概算'!$A$1:$H$248</definedName>
    <definedName name="_xlnm.Print_Area" localSheetId="1">'2024燃气概算'!$A$1:$J$392</definedName>
    <definedName name="_xlnm.Print_Area" localSheetId="0">总概算表!$A$1:$K$49</definedName>
    <definedName name="_xlnm.Print_Titles" localSheetId="3">'2024给水概算'!$1:$3</definedName>
    <definedName name="_xlnm.Print_Titles" localSheetId="2">'2024供热概算'!$1:$3</definedName>
    <definedName name="_xlnm.Print_Titles" localSheetId="1">'2024燃气概算'!$1:$3</definedName>
    <definedName name="_xlnm.Print_Titles" localSheetId="0">总概算表!$1:$4</definedName>
    <definedName name="汇率">[1]国民经济评价投资调整计算表!$L$3</definedName>
    <definedName name="热力站二期" hidden="1">{"'现金流量表（全部投资）'!$B$4:$P$23"}</definedName>
    <definedName name="热力站新" hidden="1">{"'现金流量表（全部投资）'!$B$4:$P$23"}</definedName>
    <definedName name="生产列2">'[1]现金流量表（自有资金）'!$AD$5:$AD$18</definedName>
    <definedName name="生产列20">#REF!</definedName>
    <definedName name="生产列6">#REF!</definedName>
    <definedName name="生产列8">'[1]国民经济效益费用流量表（国内投资）'!$AD$5:$AD$21</definedName>
    <definedName name="生产列9">#REF!</definedName>
    <definedName name="生产期">'[1]现金流量表（自有资金）'!$AD$5</definedName>
    <definedName name="生产期2">'[1]现金流量表（自有资金）'!$AD$5</definedName>
    <definedName name="生产期20">#REF!</definedName>
    <definedName name="生产期6">#REF!</definedName>
    <definedName name="生产期8">'[1]国民经济效益费用流量表（国内投资）'!$AD$5</definedName>
    <definedName name="生产期9">#REF!</definedName>
    <definedName name="砖砌圆形阀门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lbh</author>
    <author>微软用户</author>
  </authors>
  <commentList>
    <comment ref="B30" authorId="0">
      <text>
        <r>
          <rPr>
            <sz val="9"/>
            <rFont val="宋体"/>
            <charset val="134"/>
          </rPr>
          <t>lbh:工程第一部分费用总值×
    100～300： 2.0～2.4（％）
    300～500： 1.7～2.0
   500～1000： 1.5～1.7
  1000～5000： 1.2～1.5
 5000～10000： 1.1～1.2
10000～20000： 0.9～1.1
20000～50000： 0.8～0.9
   50000以上： 0.6～0.8</t>
        </r>
      </text>
    </comment>
    <comment ref="B31" authorId="1">
      <text>
        <r>
          <rPr>
            <sz val="9"/>
            <rFont val="宋体"/>
            <charset val="134"/>
          </rPr>
          <t xml:space="preserve">微软用户:
施工监理服务收费基价表       单位：万元 　 　 　
序号 计费额    收费基价 　  费率
1     500        16.5       3.30
2     1000       30.1       3.01
3     3000       78.1       2.60
4     5000       120.8      2.42
5     8000       181        2.26
6     10000      218.6      2.19
7     20000      393.4      1.97
8     40000      708.2      1.77
9     60000      991.4      1.65
10    80000     1255.8     1.57
11    100000    1507       1.51
12    200000    2712.5     1.36
13    400000    4882.6     1.22
14    600000    6835.6     1.14
15    800000    8658.4     1.08
16    1000000   10390.1    1.04
注：计费额大于1000000万元的，以计费额乘以1.039%的收费率计算收费基价。其他未包含的其收费由双方协商议定。 　 　 　
</t>
        </r>
      </text>
    </comment>
    <comment ref="B32" authorId="0">
      <text>
        <r>
          <rPr>
            <sz val="9"/>
            <rFont val="宋体"/>
            <charset val="134"/>
          </rPr>
          <t xml:space="preserve">lbh:国家发展计划委员会、建设部计价格[2002]10号文《工程勘察设计收费标准》
设计费＝设计收费基价×专业调整系数（1.0）×工程复杂程度调整系数（1.15）×附加调整系数（改扩建和技术改造项目1.1～1.4）
其中：设计收费基价＝（工程费用-给定小的计费额）×（给定大的收费基价－给定小的收费基价）÷（给定大的计费额-给定小的计费额）+给定小的收费基价
计费额区间（工程费用）：  200          500          1000          3000          5000         8000         10000         20000       
              收费基价：  9.00         20.90        38.80         103.80        163.90       249.60       304.80        566.80
                          40000        60000        80000         100000        200000       400000       600000        800000
                          1054.00      1515.20      1960.10       2393.40       4450.80      8276.70      11897.50      15391.40
                          </t>
        </r>
      </text>
    </comment>
  </commentList>
</comments>
</file>

<file path=xl/sharedStrings.xml><?xml version="1.0" encoding="utf-8"?>
<sst xmlns="http://schemas.openxmlformats.org/spreadsheetml/2006/main" count="4436" uniqueCount="893">
  <si>
    <t>工程审定概算表</t>
  </si>
  <si>
    <t>建设项目名称：平罗县2024年燃气管道等老化更新改造项目-第一片区（分区六）</t>
  </si>
  <si>
    <t>序         号</t>
  </si>
  <si>
    <t>工 程 和 费 用 名 称</t>
  </si>
  <si>
    <t>概    算   价   值  （万元）</t>
  </si>
  <si>
    <t>技术经济指标（元）</t>
  </si>
  <si>
    <t>占总投
资比例
(%)</t>
  </si>
  <si>
    <t>建 筑
工 程</t>
  </si>
  <si>
    <t>设备及
工器具</t>
  </si>
  <si>
    <t>安  装
工  程</t>
  </si>
  <si>
    <t>其 他
费 用</t>
  </si>
  <si>
    <t>合   计</t>
  </si>
  <si>
    <t>单位</t>
  </si>
  <si>
    <t>数量</t>
  </si>
  <si>
    <t>指  标</t>
  </si>
  <si>
    <t>建设项目总投资(Ⅰ+Ⅱ+Ⅲ)</t>
  </si>
  <si>
    <t>建设投资（Ⅰ+Ⅱ+Ⅲ）</t>
  </si>
  <si>
    <t>Ⅰ</t>
  </si>
  <si>
    <t>工程费用</t>
  </si>
  <si>
    <t>一</t>
  </si>
  <si>
    <t>燃气改造</t>
  </si>
  <si>
    <t>m</t>
  </si>
  <si>
    <t>1</t>
  </si>
  <si>
    <t>星海花园北苑</t>
  </si>
  <si>
    <t>2</t>
  </si>
  <si>
    <t>金地家园</t>
  </si>
  <si>
    <t>3</t>
  </si>
  <si>
    <t>桥馨家园B区</t>
  </si>
  <si>
    <t>4</t>
  </si>
  <si>
    <t>唐华首府</t>
  </si>
  <si>
    <t>5</t>
  </si>
  <si>
    <t>家和春天东区</t>
  </si>
  <si>
    <t>6</t>
  </si>
  <si>
    <t>唐徕湾</t>
  </si>
  <si>
    <t>二</t>
  </si>
  <si>
    <t>供热管道更新改造</t>
  </si>
  <si>
    <t>三</t>
  </si>
  <si>
    <t>供水管道改造</t>
  </si>
  <si>
    <t>桥馨家园 B 区</t>
  </si>
  <si>
    <t>唐徕湾小区</t>
  </si>
  <si>
    <t>家和春天</t>
  </si>
  <si>
    <t>Ⅱ</t>
  </si>
  <si>
    <t>工程建设其他费用</t>
  </si>
  <si>
    <t>建设单位管理费</t>
  </si>
  <si>
    <t xml:space="preserve">施工监理费  </t>
  </si>
  <si>
    <t>设计费</t>
  </si>
  <si>
    <t>BIM设计费</t>
  </si>
  <si>
    <t xml:space="preserve">施工图审查费  </t>
  </si>
  <si>
    <t>清单及控制价编制费</t>
  </si>
  <si>
    <t>清单及控制价审核费</t>
  </si>
  <si>
    <t>全程跟踪审计费（含结算审核费）</t>
  </si>
  <si>
    <t>工程竣工财务决算审计</t>
  </si>
  <si>
    <t>工程检验试验费</t>
  </si>
  <si>
    <t xml:space="preserve">工程招标代理服务费  </t>
  </si>
  <si>
    <t>工程保险费</t>
  </si>
  <si>
    <t>可研编制费</t>
  </si>
  <si>
    <t>Ⅲ</t>
  </si>
  <si>
    <t>预备费</t>
  </si>
  <si>
    <t xml:space="preserve">基本预备费    </t>
  </si>
  <si>
    <t>Ⅳ</t>
  </si>
  <si>
    <t>建设期贷款利息</t>
  </si>
  <si>
    <t>Ⅴ</t>
  </si>
  <si>
    <t>铺底流动资金</t>
  </si>
  <si>
    <t>单位工程概算表</t>
  </si>
  <si>
    <t>子项名称：2024年平罗县燃气管道等老化更新改造工程项目（一期）</t>
  </si>
  <si>
    <t>序号</t>
  </si>
  <si>
    <t>名  称</t>
  </si>
  <si>
    <t>规  格</t>
  </si>
  <si>
    <t>材料</t>
  </si>
  <si>
    <t>数  量</t>
  </si>
  <si>
    <t>单价(元)</t>
  </si>
  <si>
    <t>合价(元)</t>
  </si>
  <si>
    <t>备  注</t>
  </si>
  <si>
    <t>1.1</t>
  </si>
  <si>
    <t xml:space="preserve">燃气用聚乙烯管  </t>
  </si>
  <si>
    <t>de160×14.2</t>
  </si>
  <si>
    <t>PE100</t>
  </si>
  <si>
    <t>1.2</t>
  </si>
  <si>
    <t>de110×10</t>
  </si>
  <si>
    <t>1.3</t>
  </si>
  <si>
    <t>de90×8.2</t>
  </si>
  <si>
    <t>1.4</t>
  </si>
  <si>
    <t>无缝钢管</t>
  </si>
  <si>
    <t>∅108×4.5</t>
  </si>
  <si>
    <t>20#钢</t>
  </si>
  <si>
    <t>1.5</t>
  </si>
  <si>
    <t>∅89×4.0</t>
  </si>
  <si>
    <t>1.6</t>
  </si>
  <si>
    <t>∅38×3.0</t>
  </si>
  <si>
    <t>1.7</t>
  </si>
  <si>
    <t>钢制套管</t>
  </si>
  <si>
    <t>DN150</t>
  </si>
  <si>
    <t>Q235A</t>
  </si>
  <si>
    <t>个</t>
  </si>
  <si>
    <t>1.8</t>
  </si>
  <si>
    <t>钢制三通</t>
  </si>
  <si>
    <t>DN100×32</t>
  </si>
  <si>
    <t>1.9</t>
  </si>
  <si>
    <t>DN80×32</t>
  </si>
  <si>
    <t>1.10</t>
  </si>
  <si>
    <t>90°钢制弯头</t>
  </si>
  <si>
    <t>DN100</t>
  </si>
  <si>
    <t>1.11</t>
  </si>
  <si>
    <t>DN80</t>
  </si>
  <si>
    <t>1.12</t>
  </si>
  <si>
    <t>PE弯头</t>
  </si>
  <si>
    <t>de160</t>
  </si>
  <si>
    <t>1.13</t>
  </si>
  <si>
    <t>de110</t>
  </si>
  <si>
    <t>1.14</t>
  </si>
  <si>
    <t>de90</t>
  </si>
  <si>
    <t>1.15</t>
  </si>
  <si>
    <t>PE三通</t>
  </si>
  <si>
    <t>de160×160</t>
  </si>
  <si>
    <t>1.16</t>
  </si>
  <si>
    <t>de160×110</t>
  </si>
  <si>
    <t>1.17</t>
  </si>
  <si>
    <t>de160×90</t>
  </si>
  <si>
    <t>1.18</t>
  </si>
  <si>
    <t>de110×110</t>
  </si>
  <si>
    <t>1.19</t>
  </si>
  <si>
    <t>de110×90</t>
  </si>
  <si>
    <t>1.20</t>
  </si>
  <si>
    <t>PE变径</t>
  </si>
  <si>
    <t>1.21</t>
  </si>
  <si>
    <t>1.22</t>
  </si>
  <si>
    <t>钢塑转换</t>
  </si>
  <si>
    <t>de160/DN150</t>
  </si>
  <si>
    <t>1.23</t>
  </si>
  <si>
    <t>de110/DN100</t>
  </si>
  <si>
    <t>1.24</t>
  </si>
  <si>
    <t>de90/DN80</t>
  </si>
  <si>
    <t>1.25</t>
  </si>
  <si>
    <t>电熔套筒</t>
  </si>
  <si>
    <t>1.26</t>
  </si>
  <si>
    <t>1.27</t>
  </si>
  <si>
    <t>1.28</t>
  </si>
  <si>
    <t>法兰球阀 Q41F-16C</t>
  </si>
  <si>
    <t>配套法兰、垫片、紧固件</t>
  </si>
  <si>
    <t>1.29</t>
  </si>
  <si>
    <t>1.30</t>
  </si>
  <si>
    <t>DN32</t>
  </si>
  <si>
    <t>1.31</t>
  </si>
  <si>
    <t>警示带</t>
  </si>
  <si>
    <t>1.32</t>
  </si>
  <si>
    <t>可探测金属示踪带</t>
  </si>
  <si>
    <t>1.33</t>
  </si>
  <si>
    <t>调压柜</t>
  </si>
  <si>
    <t>1200m3/h</t>
  </si>
  <si>
    <t>1.34</t>
  </si>
  <si>
    <t>900m3/h</t>
  </si>
  <si>
    <t>1.35</t>
  </si>
  <si>
    <t>扁钢</t>
  </si>
  <si>
    <t>-40×4</t>
  </si>
  <si>
    <t>米</t>
  </si>
  <si>
    <t>1.36</t>
  </si>
  <si>
    <t>角钢</t>
  </si>
  <si>
    <t>∠50×5</t>
  </si>
  <si>
    <t>根</t>
  </si>
  <si>
    <t>1.37</t>
  </si>
  <si>
    <t>管支架</t>
  </si>
  <si>
    <t>1.38</t>
  </si>
  <si>
    <t>1.39</t>
  </si>
  <si>
    <t>1.40</t>
  </si>
  <si>
    <t>不锈钢护栏</t>
  </si>
  <si>
    <t>每个7米</t>
  </si>
  <si>
    <t>1.41</t>
  </si>
  <si>
    <t>阀门井2200×2200</t>
  </si>
  <si>
    <t>座</t>
  </si>
  <si>
    <t>1.42</t>
  </si>
  <si>
    <t>IC卡天然气表</t>
  </si>
  <si>
    <t>J2.5m3/h</t>
  </si>
  <si>
    <t>成品</t>
  </si>
  <si>
    <t>块</t>
  </si>
  <si>
    <t>安全切断性</t>
  </si>
  <si>
    <t>1.43</t>
  </si>
  <si>
    <t>铜球阀</t>
  </si>
  <si>
    <t>DN15</t>
  </si>
  <si>
    <t>1.44</t>
  </si>
  <si>
    <t>镀锌管</t>
  </si>
  <si>
    <t>10.5米每户</t>
  </si>
  <si>
    <t>1.45</t>
  </si>
  <si>
    <t>镀锌三通</t>
  </si>
  <si>
    <t>DN15×DN15</t>
  </si>
  <si>
    <t>1.46</t>
  </si>
  <si>
    <t>镀锌弯头</t>
  </si>
  <si>
    <t>1.47</t>
  </si>
  <si>
    <t>镀锌对丝</t>
  </si>
  <si>
    <t>1.48</t>
  </si>
  <si>
    <t>套管</t>
  </si>
  <si>
    <t>1.49</t>
  </si>
  <si>
    <t>路面拆除及恢复</t>
  </si>
  <si>
    <t>面包砖</t>
  </si>
  <si>
    <t>m2</t>
  </si>
  <si>
    <t>1.50</t>
  </si>
  <si>
    <t>土方开挖</t>
  </si>
  <si>
    <t>m3</t>
  </si>
  <si>
    <t>1.51</t>
  </si>
  <si>
    <t>土方回填</t>
  </si>
  <si>
    <t>1.52</t>
  </si>
  <si>
    <t>余土外运</t>
  </si>
  <si>
    <t>1.53</t>
  </si>
  <si>
    <t>砂垫层</t>
  </si>
  <si>
    <t>1.54</t>
  </si>
  <si>
    <t>天然砂夹石</t>
  </si>
  <si>
    <t>合计</t>
  </si>
  <si>
    <t>元</t>
  </si>
  <si>
    <t>2.1</t>
  </si>
  <si>
    <t>2.2</t>
  </si>
  <si>
    <t>2.3</t>
  </si>
  <si>
    <t>2.4</t>
  </si>
  <si>
    <t>de63×5.8</t>
  </si>
  <si>
    <t>2.5</t>
  </si>
  <si>
    <t>2.6</t>
  </si>
  <si>
    <t>2.7</t>
  </si>
  <si>
    <t>∅57×3.5</t>
  </si>
  <si>
    <t>2.8</t>
  </si>
  <si>
    <t>∅32×3.5</t>
  </si>
  <si>
    <t>2.9</t>
  </si>
  <si>
    <t>2.10</t>
  </si>
  <si>
    <t>DN100×80</t>
  </si>
  <si>
    <t>2.11</t>
  </si>
  <si>
    <t>DN100×50</t>
  </si>
  <si>
    <t>2.12</t>
  </si>
  <si>
    <t>DN80×25</t>
  </si>
  <si>
    <t>2.13</t>
  </si>
  <si>
    <t>DN50×25</t>
  </si>
  <si>
    <t>2.14</t>
  </si>
  <si>
    <t>钢管变径</t>
  </si>
  <si>
    <t>DN100×65</t>
  </si>
  <si>
    <t>2.15</t>
  </si>
  <si>
    <t>DN80×50</t>
  </si>
  <si>
    <t>2.16</t>
  </si>
  <si>
    <t>2.17</t>
  </si>
  <si>
    <t>2.18</t>
  </si>
  <si>
    <t>DN50</t>
  </si>
  <si>
    <t>2.19</t>
  </si>
  <si>
    <t>DN25</t>
  </si>
  <si>
    <t>2.20</t>
  </si>
  <si>
    <t>2.21</t>
  </si>
  <si>
    <t>2.22</t>
  </si>
  <si>
    <t>2.23</t>
  </si>
  <si>
    <t>de63</t>
  </si>
  <si>
    <t>2.24</t>
  </si>
  <si>
    <t>2.25</t>
  </si>
  <si>
    <t>de110×63</t>
  </si>
  <si>
    <t>2.26</t>
  </si>
  <si>
    <t>de90×90</t>
  </si>
  <si>
    <t>2.27</t>
  </si>
  <si>
    <t>de90×63</t>
  </si>
  <si>
    <t>2.28</t>
  </si>
  <si>
    <t>2.29</t>
  </si>
  <si>
    <t>2.30</t>
  </si>
  <si>
    <t>2.31</t>
  </si>
  <si>
    <t>2.32</t>
  </si>
  <si>
    <t>de63/DN50</t>
  </si>
  <si>
    <t>2.33</t>
  </si>
  <si>
    <t>2.34</t>
  </si>
  <si>
    <t>2.35</t>
  </si>
  <si>
    <t>2.36</t>
  </si>
  <si>
    <t>2.37</t>
  </si>
  <si>
    <t>2.38</t>
  </si>
  <si>
    <t>2.39</t>
  </si>
  <si>
    <t>2.40</t>
  </si>
  <si>
    <t>2.41</t>
  </si>
  <si>
    <t>200m3/h</t>
  </si>
  <si>
    <t>2.42</t>
  </si>
  <si>
    <t>2.43</t>
  </si>
  <si>
    <t>2.44</t>
  </si>
  <si>
    <t>2.45</t>
  </si>
  <si>
    <t>2.46</t>
  </si>
  <si>
    <t>2.47</t>
  </si>
  <si>
    <t>2.48</t>
  </si>
  <si>
    <t>2.49</t>
  </si>
  <si>
    <t>2.50</t>
  </si>
  <si>
    <t>2.51</t>
  </si>
  <si>
    <t>2.52</t>
  </si>
  <si>
    <t>2.53</t>
  </si>
  <si>
    <t>2.54</t>
  </si>
  <si>
    <t>2.55</t>
  </si>
  <si>
    <t>2.56</t>
  </si>
  <si>
    <t>2.57</t>
  </si>
  <si>
    <t>2.58</t>
  </si>
  <si>
    <t>2.59</t>
  </si>
  <si>
    <t>2.60</t>
  </si>
  <si>
    <t>3.1</t>
  </si>
  <si>
    <t>de250×22.7</t>
  </si>
  <si>
    <t>3.2</t>
  </si>
  <si>
    <t>de225×20.5</t>
  </si>
  <si>
    <t>3.3</t>
  </si>
  <si>
    <t>de200×18.2</t>
  </si>
  <si>
    <t>3.4</t>
  </si>
  <si>
    <t>3.5</t>
  </si>
  <si>
    <t>3.6</t>
  </si>
  <si>
    <t>3.7</t>
  </si>
  <si>
    <t>3.8</t>
  </si>
  <si>
    <t>3.9</t>
  </si>
  <si>
    <t>3.10</t>
  </si>
  <si>
    <t>3.11</t>
  </si>
  <si>
    <t>3.12</t>
  </si>
  <si>
    <t>DN250</t>
  </si>
  <si>
    <t>3.13</t>
  </si>
  <si>
    <t>DN200</t>
  </si>
  <si>
    <t>3.14</t>
  </si>
  <si>
    <t>3.15</t>
  </si>
  <si>
    <t>3.16</t>
  </si>
  <si>
    <t>3.17</t>
  </si>
  <si>
    <t>3.18</t>
  </si>
  <si>
    <t>3.19</t>
  </si>
  <si>
    <t>3.20</t>
  </si>
  <si>
    <t>de200</t>
  </si>
  <si>
    <t>3.21</t>
  </si>
  <si>
    <t>3.22</t>
  </si>
  <si>
    <t>3.23</t>
  </si>
  <si>
    <t>3.24</t>
  </si>
  <si>
    <t>de225×de225</t>
  </si>
  <si>
    <t>3.25</t>
  </si>
  <si>
    <t>de225×de160</t>
  </si>
  <si>
    <t>3.26</t>
  </si>
  <si>
    <t>de225×de110</t>
  </si>
  <si>
    <t>3.27</t>
  </si>
  <si>
    <t>de225×de90</t>
  </si>
  <si>
    <t>3.28</t>
  </si>
  <si>
    <t>de160×de160</t>
  </si>
  <si>
    <t>3.29</t>
  </si>
  <si>
    <t>de160×de110</t>
  </si>
  <si>
    <t>3.30</t>
  </si>
  <si>
    <t>de160×de90</t>
  </si>
  <si>
    <t>3.31</t>
  </si>
  <si>
    <t>de110×de110</t>
  </si>
  <si>
    <t>3.32</t>
  </si>
  <si>
    <t>3.33</t>
  </si>
  <si>
    <t>3.34</t>
  </si>
  <si>
    <t>3.35</t>
  </si>
  <si>
    <t>de225×de200</t>
  </si>
  <si>
    <t>3.36</t>
  </si>
  <si>
    <t>de200×de160</t>
  </si>
  <si>
    <t>3.37</t>
  </si>
  <si>
    <t>3.38</t>
  </si>
  <si>
    <t>3.39</t>
  </si>
  <si>
    <t>3.40</t>
  </si>
  <si>
    <t>3.41</t>
  </si>
  <si>
    <t>3.42</t>
  </si>
  <si>
    <t>3.43</t>
  </si>
  <si>
    <t>3.44</t>
  </si>
  <si>
    <t>3.45</t>
  </si>
  <si>
    <t>3.46</t>
  </si>
  <si>
    <t>3.47</t>
  </si>
  <si>
    <t>3.48</t>
  </si>
  <si>
    <t>3.49</t>
  </si>
  <si>
    <t>3.50</t>
  </si>
  <si>
    <t>3.51</t>
  </si>
  <si>
    <t>3.52</t>
  </si>
  <si>
    <t>3.53</t>
  </si>
  <si>
    <t>3.54</t>
  </si>
  <si>
    <t>3.55</t>
  </si>
  <si>
    <t>400m3/h</t>
  </si>
  <si>
    <t>3.56</t>
  </si>
  <si>
    <t>300m3/h</t>
  </si>
  <si>
    <t>3.57</t>
  </si>
  <si>
    <t>3.58</t>
  </si>
  <si>
    <t>3.59</t>
  </si>
  <si>
    <t>3.60</t>
  </si>
  <si>
    <t>3.61</t>
  </si>
  <si>
    <t>3.62</t>
  </si>
  <si>
    <t>3.63</t>
  </si>
  <si>
    <t>3.64</t>
  </si>
  <si>
    <t>3.65</t>
  </si>
  <si>
    <t>3.66</t>
  </si>
  <si>
    <t>3.67</t>
  </si>
  <si>
    <t>3.68</t>
  </si>
  <si>
    <t>3.69</t>
  </si>
  <si>
    <t>3.70</t>
  </si>
  <si>
    <t>3.71</t>
  </si>
  <si>
    <t>3.72</t>
  </si>
  <si>
    <t>3.73</t>
  </si>
  <si>
    <t>3.74</t>
  </si>
  <si>
    <t>3.75</t>
  </si>
  <si>
    <t>4.1</t>
  </si>
  <si>
    <t>4.2</t>
  </si>
  <si>
    <t>4.3</t>
  </si>
  <si>
    <t>4.4</t>
  </si>
  <si>
    <t>4.5</t>
  </si>
  <si>
    <t>4.6</t>
  </si>
  <si>
    <t>∅38×3.5</t>
  </si>
  <si>
    <t>4.7</t>
  </si>
  <si>
    <t>4.8</t>
  </si>
  <si>
    <t>4.9</t>
  </si>
  <si>
    <t>4.10</t>
  </si>
  <si>
    <t>4.11</t>
  </si>
  <si>
    <t>4.12</t>
  </si>
  <si>
    <t>管帽</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</si>
  <si>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</si>
  <si>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</si>
  <si>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</si>
  <si>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</si>
  <si>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</si>
  <si>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</si>
  <si>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</si>
  <si>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</si>
  <si>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</si>
  <si>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</si>
  <si>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</si>
  <si>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</si>
  <si>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</si>
  <si>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</si>
  <si>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</si>
  <si>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</si>
  <si>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</si>
  <si>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</si>
  <si>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</si>
  <si>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</si>
  <si>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</si>
  <si>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</si>
  <si>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</si>
  <si>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</si>
  <si>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</si>
  <si>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</si>
  <si>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600m3/h</t>
  </si>
  <si>
    <t>4.39</t>
  </si>
  <si>
    <t>4.40</t>
  </si>
  <si>
    <t>4.41</t>
  </si>
  <si>
    <t>4.42</t>
  </si>
  <si>
    <t>4.43</t>
  </si>
  <si>
    <t>4.44</t>
  </si>
  <si>
    <t>4.45</t>
  </si>
  <si>
    <t>4.46</t>
  </si>
  <si>
    <t>4.47</t>
  </si>
  <si>
    <t>出地护栏</t>
  </si>
  <si>
    <t>Q-235B</t>
  </si>
  <si>
    <t>4.48</t>
  </si>
  <si>
    <t>4.49</t>
  </si>
  <si>
    <t>4.50</t>
  </si>
  <si>
    <t>4.51</t>
  </si>
  <si>
    <t>4.52</t>
  </si>
  <si>
    <t>4.53</t>
  </si>
  <si>
    <t>4.54</t>
  </si>
  <si>
    <t>4.55</t>
  </si>
  <si>
    <t>4.56</t>
  </si>
  <si>
    <t>4.57</t>
  </si>
  <si>
    <t>4.58</t>
  </si>
  <si>
    <t>4.59</t>
  </si>
  <si>
    <t>4.60</t>
  </si>
  <si>
    <t>4.61</t>
  </si>
  <si>
    <t>小计</t>
  </si>
  <si>
    <t>5.1</t>
  </si>
  <si>
    <t>5.2</t>
  </si>
  <si>
    <t>5.3</t>
  </si>
  <si>
    <t>5.4</t>
  </si>
  <si>
    <t>5.5</t>
  </si>
  <si>
    <t>5.6</t>
  </si>
  <si>
    <t>5.7</t>
  </si>
  <si>
    <t>5.8</t>
  </si>
  <si>
    <t>5.9</t>
  </si>
  <si>
    <t>5.10</t>
  </si>
  <si>
    <t>DN80×80</t>
  </si>
  <si>
    <t>5.11</t>
  </si>
  <si>
    <t>5.12</t>
  </si>
  <si>
    <t>DN50×32</t>
  </si>
  <si>
    <t>5.13</t>
  </si>
  <si>
    <t>5.14</t>
  </si>
  <si>
    <t>5.15</t>
  </si>
  <si>
    <t>5.16</t>
  </si>
  <si>
    <t>5.17</t>
  </si>
  <si>
    <t>5.18</t>
  </si>
  <si>
    <t>5.19</t>
  </si>
  <si>
    <t>5.20</t>
  </si>
  <si>
    <t>5.21</t>
  </si>
  <si>
    <t>5.22</t>
  </si>
  <si>
    <t>5.23</t>
  </si>
  <si>
    <t>5.24</t>
  </si>
  <si>
    <t>5.25</t>
  </si>
  <si>
    <t>5.26</t>
  </si>
  <si>
    <t>5.27</t>
  </si>
  <si>
    <t>5.28</t>
  </si>
  <si>
    <t>5.29</t>
  </si>
  <si>
    <t>5.30</t>
  </si>
  <si>
    <t>5.31</t>
  </si>
  <si>
    <t>5.32</t>
  </si>
  <si>
    <t>5.33</t>
  </si>
  <si>
    <t>5.34</t>
  </si>
  <si>
    <t>调压箱</t>
  </si>
  <si>
    <t>5.35</t>
  </si>
  <si>
    <t>5.36</t>
  </si>
  <si>
    <t>5.37</t>
  </si>
  <si>
    <t>5.38</t>
  </si>
  <si>
    <t>5.39</t>
  </si>
  <si>
    <t>5.40</t>
  </si>
  <si>
    <t>5.41</t>
  </si>
  <si>
    <t>5.42</t>
  </si>
  <si>
    <t>5.43</t>
  </si>
  <si>
    <t>5.44</t>
  </si>
  <si>
    <t>5.45</t>
  </si>
  <si>
    <t>5.46</t>
  </si>
  <si>
    <t>5.47</t>
  </si>
  <si>
    <t>5.48</t>
  </si>
  <si>
    <t>5.49</t>
  </si>
  <si>
    <t>5.50</t>
  </si>
  <si>
    <t>5.51</t>
  </si>
  <si>
    <t>5.52</t>
  </si>
  <si>
    <t>5.53</t>
  </si>
  <si>
    <t>6.1</t>
  </si>
  <si>
    <t>6.2</t>
  </si>
  <si>
    <t>6.3</t>
  </si>
  <si>
    <t>6.4</t>
  </si>
  <si>
    <t>6.5</t>
  </si>
  <si>
    <t>6.6</t>
  </si>
  <si>
    <t>6.7</t>
  </si>
  <si>
    <t>6.8</t>
  </si>
  <si>
    <t>6.9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</si>
  <si>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</si>
  <si>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</si>
  <si>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</si>
  <si>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</si>
  <si>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</si>
  <si>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</si>
  <si>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</si>
  <si>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</si>
  <si>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</si>
  <si>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</si>
  <si>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</si>
  <si>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</si>
  <si>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</si>
  <si>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</si>
  <si>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</si>
  <si>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</si>
  <si>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</si>
  <si>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</si>
  <si>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</si>
  <si>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</si>
  <si>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</si>
  <si>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</si>
  <si>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</si>
  <si>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</si>
  <si>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</si>
  <si>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</si>
  <si>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</si>
  <si>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</si>
  <si>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</si>
  <si>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</si>
  <si>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</si>
  <si>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</si>
  <si>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</si>
  <si>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</si>
  <si>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</si>
  <si>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</si>
  <si>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</si>
  <si>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</si>
  <si>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球阀 Q11F-16C</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</si>
  <si>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</si>
  <si>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</si>
  <si>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</si>
  <si>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</si>
  <si>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</si>
  <si>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</si>
  <si>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</si>
  <si>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</si>
  <si>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</si>
  <si>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</si>
  <si>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</si>
  <si>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</si>
  <si>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</si>
  <si>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</si>
  <si>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</si>
  <si>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</si>
  <si>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</si>
  <si>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</si>
  <si>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</si>
  <si>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</si>
  <si>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</si>
  <si>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</si>
  <si>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</si>
  <si>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</si>
  <si>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</si>
  <si>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</si>
  <si>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子项名称：2024年平罗县供热管道更新改造工程</t>
  </si>
  <si>
    <t>名称</t>
  </si>
  <si>
    <t>规格</t>
  </si>
  <si>
    <t>备注</t>
  </si>
  <si>
    <t>（一）</t>
  </si>
  <si>
    <t>户</t>
  </si>
  <si>
    <t>室外供暖管网材料表</t>
  </si>
  <si>
    <t>(PE-RTⅡ)耐热聚乙烯供热管</t>
  </si>
  <si>
    <t>dn250</t>
  </si>
  <si>
    <t>二级网,管系列为S5/SDR11</t>
  </si>
  <si>
    <t>dn200</t>
  </si>
  <si>
    <t>dn160</t>
  </si>
  <si>
    <t>dn125</t>
  </si>
  <si>
    <t>dn110</t>
  </si>
  <si>
    <t>dn90</t>
  </si>
  <si>
    <t>（0+单元数*7）*2</t>
  </si>
  <si>
    <t>砖砌检查井</t>
  </si>
  <si>
    <t>1800X1800X1800</t>
  </si>
  <si>
    <t>2800X2400X1800</t>
  </si>
  <si>
    <t>楼栋井</t>
  </si>
  <si>
    <t>球阀</t>
  </si>
  <si>
    <t>台</t>
  </si>
  <si>
    <t>涡轮全焊接球阀</t>
  </si>
  <si>
    <t>DN125</t>
  </si>
  <si>
    <t>静态式平衡阀</t>
  </si>
  <si>
    <t>90°弯头</t>
  </si>
  <si>
    <t>三通</t>
  </si>
  <si>
    <t>dn250×200</t>
  </si>
  <si>
    <t>dn200×200</t>
  </si>
  <si>
    <t>dn200×125</t>
  </si>
  <si>
    <t>dn200×110</t>
  </si>
  <si>
    <t>dn160×125</t>
  </si>
  <si>
    <t>dn125×90</t>
  </si>
  <si>
    <t>dn110×90</t>
  </si>
  <si>
    <t>异径管</t>
  </si>
  <si>
    <t>dn200×160</t>
  </si>
  <si>
    <t>闸阀</t>
  </si>
  <si>
    <t>Z45T-10  DN50</t>
  </si>
  <si>
    <t>单元数*2</t>
  </si>
  <si>
    <t>数字锁定平衡阀</t>
  </si>
  <si>
    <t>SPF45-10 DN50</t>
  </si>
  <si>
    <t>热镀锌钢管</t>
  </si>
  <si>
    <t>单元数*14</t>
  </si>
  <si>
    <t>单元数*8</t>
  </si>
  <si>
    <t>耐热PPR管</t>
  </si>
  <si>
    <t>De32</t>
  </si>
  <si>
    <t>商业用户</t>
  </si>
  <si>
    <t>Y型过滤器</t>
  </si>
  <si>
    <t>dn32</t>
  </si>
  <si>
    <t>磁性锁闭阀</t>
  </si>
  <si>
    <t>商业分户井</t>
  </si>
  <si>
    <t>800X600X750</t>
  </si>
  <si>
    <t>混凝土</t>
  </si>
  <si>
    <t>平方米</t>
  </si>
  <si>
    <t>（二）</t>
  </si>
  <si>
    <t>dn355</t>
  </si>
  <si>
    <t>二级网,管系列为S5/SDR10</t>
  </si>
  <si>
    <t>dn315</t>
  </si>
  <si>
    <t>De350</t>
  </si>
  <si>
    <t>De315</t>
  </si>
  <si>
    <t>De280</t>
  </si>
  <si>
    <t>De200</t>
  </si>
  <si>
    <t>De160</t>
  </si>
  <si>
    <t>De125</t>
  </si>
  <si>
    <t>dn70</t>
  </si>
  <si>
    <t>检查井</t>
  </si>
  <si>
    <t>De110</t>
  </si>
  <si>
    <t>De80</t>
  </si>
  <si>
    <t>DN350</t>
  </si>
  <si>
    <t>DN315</t>
  </si>
  <si>
    <t>De70</t>
  </si>
  <si>
    <t>dn315×160</t>
  </si>
  <si>
    <t>dn315×125</t>
  </si>
  <si>
    <t>dn250×160</t>
  </si>
  <si>
    <t>dn250×110</t>
  </si>
  <si>
    <t>dn355×315</t>
  </si>
  <si>
    <t>dn315×250</t>
  </si>
  <si>
    <t>（三）</t>
  </si>
  <si>
    <t>dn63</t>
  </si>
  <si>
    <t>（30*11+52*7）*2</t>
  </si>
  <si>
    <t>45°弯头</t>
  </si>
  <si>
    <t>dn315xdn160</t>
  </si>
  <si>
    <t>dn250xdn160</t>
  </si>
  <si>
    <t>dn200xdn160</t>
  </si>
  <si>
    <t>dn200xdn125</t>
  </si>
  <si>
    <t>dn160xdn125</t>
  </si>
  <si>
    <t>dn160xdn110</t>
  </si>
  <si>
    <t>dn125xdn90</t>
  </si>
  <si>
    <t>dn110xdn90</t>
  </si>
  <si>
    <t>dn90xdn63</t>
  </si>
  <si>
    <t>dn315xdn63</t>
  </si>
  <si>
    <t>dn315xdn250</t>
  </si>
  <si>
    <t>dn250xdn200</t>
  </si>
  <si>
    <t>dn200xdn110</t>
  </si>
  <si>
    <t>dn125xdn110</t>
  </si>
  <si>
    <t>1800X2000X1800</t>
  </si>
  <si>
    <t>1800X2400X1800</t>
  </si>
  <si>
    <t>Z45T-10  DN70</t>
  </si>
  <si>
    <t>SPF45-10 DN70</t>
  </si>
  <si>
    <t>（四）</t>
  </si>
  <si>
    <t>67户</t>
  </si>
  <si>
    <t>dn250xdn125</t>
  </si>
  <si>
    <t>手动暗杆软密封闸阀</t>
  </si>
  <si>
    <t>锁闭阀</t>
  </si>
  <si>
    <t>过滤器</t>
  </si>
  <si>
    <t>表井</t>
  </si>
  <si>
    <t>1.8×2.0×1.8</t>
  </si>
  <si>
    <t>Z45T-10  DN100</t>
  </si>
  <si>
    <t>SPF45-10 DN100</t>
  </si>
  <si>
    <t>（五）</t>
  </si>
  <si>
    <t>（160+单元数*7）*2</t>
  </si>
  <si>
    <t>dn300×300</t>
  </si>
  <si>
    <t>dn300×160</t>
  </si>
  <si>
    <t>dn300×125</t>
  </si>
  <si>
    <t>dn160×110</t>
  </si>
  <si>
    <t>dn160×90</t>
  </si>
  <si>
    <t>dn125×110</t>
  </si>
  <si>
    <t>接水点</t>
  </si>
  <si>
    <t>子项名称：2024年平罗县供水管道更新改造工程</t>
  </si>
  <si>
    <t>型号规格</t>
  </si>
  <si>
    <t>金额(元)</t>
  </si>
  <si>
    <t>从西苑街DN160和人民西路DN315市政给水管上分别接入2条de160小区引人管</t>
  </si>
  <si>
    <t>一、星海花园北苑供水管道改造工程</t>
  </si>
  <si>
    <t>总表井主要材料</t>
  </si>
  <si>
    <t>de225</t>
  </si>
  <si>
    <t>矩形水表井</t>
  </si>
  <si>
    <t>3500*2000</t>
  </si>
  <si>
    <t>钢筋砼</t>
  </si>
  <si>
    <t xml:space="preserve">圆形阀门井 </t>
  </si>
  <si>
    <t>∅1500</t>
  </si>
  <si>
    <t>砖混</t>
  </si>
  <si>
    <t>法兰根</t>
  </si>
  <si>
    <t>双盘90°弯头</t>
  </si>
  <si>
    <t>塑钢</t>
  </si>
  <si>
    <t xml:space="preserve">异径管 </t>
  </si>
  <si>
    <t>DN200*150</t>
  </si>
  <si>
    <t>表前锁闭阀</t>
  </si>
  <si>
    <t>铸铁</t>
  </si>
  <si>
    <t>铜质</t>
  </si>
  <si>
    <t>超声波流量计</t>
  </si>
  <si>
    <t xml:space="preserve">含压力、流量监测装置 </t>
  </si>
  <si>
    <t>倒流防止器</t>
  </si>
  <si>
    <t>伸缩器</t>
  </si>
  <si>
    <t>球墨铸铁</t>
  </si>
  <si>
    <t>铜芯暗杆软密封闸阀</t>
  </si>
  <si>
    <t>钢丝网骨架PE100</t>
  </si>
  <si>
    <t>生活给水管</t>
  </si>
  <si>
    <t>三盘三通</t>
  </si>
  <si>
    <t>DN200×150</t>
  </si>
  <si>
    <t>接民族大街已建中压管道</t>
  </si>
  <si>
    <t>埋地管道3536米，楼前架空管道1328米，300Nm³调
压箱8台，200Nm³调压箱7台，100Nm³调压箱1台，户内设施2079套</t>
  </si>
  <si>
    <t>DN200×200</t>
  </si>
  <si>
    <t>盘承短管</t>
  </si>
  <si>
    <t>生活用水</t>
  </si>
  <si>
    <t>de160*160</t>
  </si>
  <si>
    <t>207.97</t>
  </si>
  <si>
    <t>1800*2000</t>
  </si>
  <si>
    <t>1500*2000</t>
  </si>
  <si>
    <t>2150*2000</t>
  </si>
  <si>
    <t>DN150*150</t>
  </si>
  <si>
    <t>DN150*100</t>
  </si>
  <si>
    <t>双盘短管</t>
  </si>
  <si>
    <t>盲板</t>
  </si>
  <si>
    <t>钢</t>
  </si>
  <si>
    <t>de160*63</t>
  </si>
  <si>
    <t>de110*63</t>
  </si>
  <si>
    <t>三通(表前分水器用）</t>
  </si>
  <si>
    <t>de63*63</t>
  </si>
  <si>
    <t>de63*40</t>
  </si>
  <si>
    <t>de63*25</t>
  </si>
  <si>
    <t>DN20</t>
  </si>
  <si>
    <t>水表</t>
  </si>
  <si>
    <t>表后球阀</t>
  </si>
  <si>
    <t>de40</t>
  </si>
  <si>
    <t>塑料</t>
  </si>
  <si>
    <t>de25</t>
  </si>
  <si>
    <t>水表铭牌</t>
  </si>
  <si>
    <t>消防用水</t>
  </si>
  <si>
    <t>消防管</t>
  </si>
  <si>
    <t xml:space="preserve">de160 </t>
  </si>
  <si>
    <t>钢丝网骨架</t>
  </si>
  <si>
    <t xml:space="preserve">de110 </t>
  </si>
  <si>
    <t>消防井</t>
  </si>
  <si>
    <t>室外消火栓</t>
  </si>
  <si>
    <t>SA100/65-1.0</t>
  </si>
  <si>
    <t>套</t>
  </si>
  <si>
    <t>de160*100</t>
  </si>
  <si>
    <t>面包砖路面</t>
  </si>
  <si>
    <t>沥青路面</t>
  </si>
  <si>
    <t>二、金地家园小区供水管道改造工程</t>
  </si>
  <si>
    <t>接水井至总表井主要材料</t>
  </si>
  <si>
    <t>给水管</t>
  </si>
  <si>
    <t>四盘四通</t>
  </si>
  <si>
    <t>DN150×150</t>
  </si>
  <si>
    <t>铜芯暗杆软密封</t>
  </si>
  <si>
    <t>配套法兰盘</t>
  </si>
  <si>
    <t xml:space="preserve">圆形井 </t>
  </si>
  <si>
    <t>∅2000</t>
  </si>
  <si>
    <t>3500×2000</t>
  </si>
  <si>
    <t>总表井后生活管道</t>
  </si>
  <si>
    <t>远传水表组</t>
  </si>
  <si>
    <t>含配套阀门及配件</t>
  </si>
  <si>
    <t>DN100×100</t>
  </si>
  <si>
    <t>DN150×100</t>
  </si>
  <si>
    <t>de63×25</t>
  </si>
  <si>
    <t>PPR</t>
  </si>
  <si>
    <t>P=1.25MPa</t>
  </si>
  <si>
    <t>管堵</t>
  </si>
  <si>
    <t>矩形井</t>
  </si>
  <si>
    <t>1500×2000</t>
  </si>
  <si>
    <t>管道标志</t>
  </si>
  <si>
    <t>总表井后消防管道</t>
  </si>
  <si>
    <t>其他</t>
  </si>
  <si>
    <t>面包砖路面拆除及恢复</t>
  </si>
  <si>
    <t>1.5米宽</t>
  </si>
  <si>
    <t>居民绿地开挖及恢复</t>
  </si>
  <si>
    <t>距墙5米，1.2米宽</t>
  </si>
  <si>
    <t>一楼居民园圃</t>
  </si>
  <si>
    <t>三、桥馨家园 B 区小区供水管道改造工程</t>
  </si>
  <si>
    <t>四、唐徕湾小区供水管道改造工程</t>
  </si>
  <si>
    <t>DN300×200</t>
  </si>
  <si>
    <t>DN300</t>
  </si>
  <si>
    <t xml:space="preserve">3000×2000 </t>
  </si>
  <si>
    <t>1500×2100</t>
  </si>
  <si>
    <t>钢丝网骨架复合管PE100</t>
  </si>
  <si>
    <t>四通</t>
  </si>
  <si>
    <t>拆除及恢复、开挖及回填</t>
  </si>
  <si>
    <t>沟槽宽1.5米考虑</t>
  </si>
  <si>
    <t>混凝土路面拆除及恢复</t>
  </si>
  <si>
    <t>沟槽宽3米考虑</t>
  </si>
  <si>
    <t>更换水表</t>
  </si>
  <si>
    <t>五、唐华首府一期供水管道改造工程</t>
  </si>
  <si>
    <t>∅2400</t>
  </si>
  <si>
    <t>DN200*100</t>
  </si>
  <si>
    <t>de110*40</t>
  </si>
  <si>
    <t>de160*40</t>
  </si>
  <si>
    <t>∅1800</t>
  </si>
  <si>
    <t>绿化用水</t>
  </si>
  <si>
    <t>绿化给水管</t>
  </si>
  <si>
    <t>de63 PN=1.25Mpa</t>
  </si>
  <si>
    <t>泄水三通</t>
  </si>
  <si>
    <t>DN50*50</t>
  </si>
  <si>
    <t>软密封闸阀</t>
  </si>
  <si>
    <t>DN50 PN=1.25MPa</t>
  </si>
  <si>
    <t>绿化井</t>
  </si>
  <si>
    <t>∅1200</t>
  </si>
  <si>
    <t>砖砌</t>
  </si>
  <si>
    <t>六、家和春天东区供水管道改造工程</t>
  </si>
  <si>
    <t>小区红线外部分主要材料</t>
  </si>
  <si>
    <t>从民族大街现状de315管道接入1条de255引人管</t>
  </si>
  <si>
    <t>引入给水管</t>
  </si>
  <si>
    <t>de160 PN=1.0Mpa</t>
  </si>
  <si>
    <t>星海北苑</t>
  </si>
  <si>
    <t>从萧公大街现状DN200 UPVC市政管道和玉皇阁大道南路现状DN200 UPVC市政管道上分别接入两条de225引人管</t>
  </si>
  <si>
    <t>DN150 PN=1.0MPa</t>
  </si>
  <si>
    <t>DN200 PN=1.0MPa</t>
  </si>
  <si>
    <t>DN300 PN=1.0MPa</t>
  </si>
  <si>
    <t>接气点</t>
  </si>
  <si>
    <t>改造内容</t>
  </si>
  <si>
    <t>承盘短管</t>
  </si>
  <si>
    <t>星海北苑一期中低压（2#、3#、10#、11#、15#、16#、21#、22#、26#、27#）</t>
  </si>
  <si>
    <t>接小区内已建中压管道</t>
  </si>
  <si>
    <t>埋地管道1005米，楼前架空管道406米，300Nm³调
压箱5台，户内设施524套</t>
  </si>
  <si>
    <t>接祥云都市花园已建中压管道</t>
  </si>
  <si>
    <t>埋地管道1036米，楼前架空管道678米，200Nm³调
压箱2台，户内设施689套</t>
  </si>
  <si>
    <t>DN300×150</t>
  </si>
  <si>
    <t>桥馨家园B区一期</t>
  </si>
  <si>
    <t>接鼓楼南街已建中压管道</t>
  </si>
  <si>
    <t>埋地管道1539米，楼前架空管道554米，200Nm³调
压箱9台，户内设施566套</t>
  </si>
  <si>
    <t>唐华首府一期（1-16）</t>
  </si>
  <si>
    <t>埋地管道992米，楼前架空管道697米，300Nm³调
压箱2台，200Nm³调压箱3台，户内设施508套</t>
  </si>
  <si>
    <t>接家和春天内已建中压管道</t>
  </si>
  <si>
    <t>埋地管道943米，楼前架空管道443米，200Nm³调
压箱2台，户内设施588套</t>
  </si>
  <si>
    <t>de160×63</t>
  </si>
  <si>
    <t>DN50×40</t>
  </si>
  <si>
    <t>DN40</t>
  </si>
  <si>
    <t>22.5°弯头</t>
  </si>
  <si>
    <t>带配套法兰</t>
  </si>
  <si>
    <t xml:space="preserve">1500×2000 </t>
  </si>
  <si>
    <t xml:space="preserve">1800×2000 </t>
  </si>
  <si>
    <t>1500×2750</t>
  </si>
  <si>
    <t>1100×2150</t>
  </si>
  <si>
    <t>水表箱</t>
  </si>
  <si>
    <t>1400*260*1200</t>
  </si>
  <si>
    <t>铁质</t>
  </si>
  <si>
    <t>防腐防锈</t>
  </si>
  <si>
    <t>1600*260*1200</t>
  </si>
  <si>
    <t>拆除及恢复</t>
  </si>
  <si>
    <t>沟槽深1.5米考虑(含200mm中粗砂垫层)</t>
  </si>
  <si>
    <t>新月26号楼</t>
  </si>
  <si>
    <t>游艺西街77#、143#楼</t>
  </si>
  <si>
    <t>贺飞巷</t>
  </si>
  <si>
    <t>邮电小区</t>
  </si>
  <si>
    <t>人民路337#、383#楼</t>
  </si>
  <si>
    <t>独栋楼328、174、176号楼</t>
  </si>
  <si>
    <t>朝珠胡同1、3、5号楼</t>
  </si>
  <si>
    <t>朝阳养老院</t>
  </si>
  <si>
    <t>前嘉南区</t>
  </si>
  <si>
    <t>塞上水乡</t>
  </si>
  <si>
    <t>建行家属院</t>
  </si>
  <si>
    <t>银龙小区</t>
  </si>
  <si>
    <t>长生花园</t>
  </si>
  <si>
    <t>增加民生巷</t>
  </si>
  <si>
    <t>平安佳苑</t>
  </si>
  <si>
    <t>温州园</t>
  </si>
  <si>
    <t>赵舒婷</t>
  </si>
  <si>
    <t>鑫元、政通小区</t>
  </si>
  <si>
    <t>永康花园</t>
  </si>
  <si>
    <t>裕苑</t>
  </si>
  <si>
    <t>太西生活区</t>
  </si>
  <si>
    <t>沁春园</t>
  </si>
  <si>
    <t>星湖春天</t>
  </si>
  <si>
    <t>枫情水岸</t>
  </si>
  <si>
    <t>荣达园</t>
  </si>
  <si>
    <t>香榭星海湾</t>
  </si>
  <si>
    <t>千禧园</t>
  </si>
  <si>
    <t>惠农南街街道</t>
  </si>
  <si>
    <t>惠农电厂社区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</si>
</sst>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_);[Red]\(0\)"/>
    <numFmt numFmtId="179" formatCode="0.00_);[Red]\(0.00\)"/>
    <numFmt numFmtId="180" formatCode="0.0_ "/>
    <numFmt numFmtId="181" formatCode="0_ "/>
    <numFmt numFmtId="182" formatCode="0;_ȅ"/>
    <numFmt numFmtId="183" formatCode="0;_㓿"/>
    <numFmt numFmtId="184" formatCode="0.00;_㓿"/>
    <numFmt numFmtId="185" formatCode="0.000000000000000000000000000_ "/>
  </numFmts>
  <fonts count="45">
    <font>
      <sz val="12"/>
      <name val="宋体"/>
      <charset val="134"/>
    </font>
    <font>
      <sz val="14"/>
      <name val="宋体"/>
      <charset val="134"/>
    </font>
    <font>
      <sz val="10"/>
      <name val="宋体"/>
      <charset val="134"/>
    </font>
    <font>
      <sz val="11"/>
      <name val="宋体"/>
      <charset val="134"/>
    </font>
    <font>
      <sz val="11"/>
      <name val="Times New Roman"/>
      <charset val="134"/>
    </font>
    <font>
      <b/>
      <sz val="16"/>
      <name val="宋体"/>
      <charset val="134"/>
    </font>
    <font>
      <b/>
      <sz val="10"/>
      <name val="宋体"/>
      <charset val="134"/>
    </font>
    <font>
      <sz val="10"/>
      <name val="宋体"/>
      <charset val="134"/>
      <scheme val="minor"/>
    </font>
    <font>
      <b/>
      <sz val="11"/>
      <color theme="1"/>
      <name val="宋体"/>
      <charset val="134"/>
      <scheme val="minor"/>
    </font>
    <font>
      <sz val="11"/>
      <color theme="1"/>
      <name val="宋体"/>
      <charset val="134"/>
      <scheme val="minor"/>
    </font>
    <font>
      <sz val="11"/>
      <name val="宋体"/>
      <charset val="134"/>
      <scheme val="minor"/>
    </font>
    <font>
      <b/>
      <sz val="10"/>
      <name val="宋体"/>
      <charset val="134"/>
      <scheme val="minor"/>
    </font>
    <font>
      <b/>
      <sz val="10"/>
      <color theme="1"/>
      <name val="宋体"/>
      <charset val="134"/>
      <scheme val="minor"/>
    </font>
    <font>
      <sz val="10"/>
      <color theme="1"/>
      <name val="宋体"/>
      <charset val="134"/>
      <scheme val="minor"/>
    </font>
    <font>
      <sz val="10"/>
      <color rgb="FF000000"/>
      <name val="宋体"/>
      <charset val="134"/>
      <scheme val="minor"/>
    </font>
    <font>
      <b/>
      <sz val="12"/>
      <name val="仿宋_GB2312"/>
      <charset val="134"/>
    </font>
    <font>
      <sz val="9"/>
      <color rgb="FF000000"/>
      <name val="宋体"/>
      <charset val="134"/>
    </font>
    <font>
      <b/>
      <sz val="14"/>
      <name val="宋体"/>
      <charset val="134"/>
    </font>
    <font>
      <sz val="20"/>
      <name val="宋体"/>
      <charset val="134"/>
    </font>
    <font>
      <b/>
      <sz val="12"/>
      <name val="宋体"/>
      <charset val="134"/>
    </font>
    <font>
      <sz val="12"/>
      <name val="Times New Roman"/>
      <charset val="134"/>
    </font>
    <font>
      <b/>
      <sz val="16"/>
      <name val="Times New Roman"/>
      <charset val="134"/>
    </font>
    <font>
      <sz val="10"/>
      <name val="Times New Roman"/>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val="double"/>
      <sz val="12"/>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0"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2" borderId="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1" fillId="0" borderId="0" applyNumberFormat="0" applyFill="0" applyBorder="0" applyAlignment="0" applyProtection="0">
      <alignment vertical="center"/>
    </xf>
    <xf numFmtId="0" fontId="32" fillId="3" borderId="12" applyNumberFormat="0" applyAlignment="0" applyProtection="0">
      <alignment vertical="center"/>
    </xf>
    <xf numFmtId="0" fontId="33" fillId="4" borderId="13" applyNumberFormat="0" applyAlignment="0" applyProtection="0">
      <alignment vertical="center"/>
    </xf>
    <xf numFmtId="0" fontId="34" fillId="4" borderId="12" applyNumberFormat="0" applyAlignment="0" applyProtection="0">
      <alignment vertical="center"/>
    </xf>
    <xf numFmtId="0" fontId="35" fillId="5" borderId="14" applyNumberFormat="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9" fillId="0" borderId="0">
      <alignment vertical="center"/>
    </xf>
    <xf numFmtId="0" fontId="0" fillId="0" borderId="0">
      <alignment vertical="center"/>
    </xf>
    <xf numFmtId="0" fontId="43" fillId="0" borderId="0"/>
    <xf numFmtId="176" fontId="9" fillId="0" borderId="0" applyFont="0" applyFill="0" applyBorder="0" applyAlignment="0" applyProtection="0">
      <alignment vertical="center"/>
    </xf>
  </cellStyleXfs>
  <cellXfs count="160">
    <xf numFmtId="0" fontId="0" fillId="0" borderId="0" xfId="0">
      <alignment vertical="center"/>
    </xf>
    <xf numFmtId="0" fontId="1" fillId="0" borderId="0" xfId="0" applyFont="1" applyAlignment="1">
      <alignment vertical="center" wrapText="1"/>
    </xf>
    <xf numFmtId="0" fontId="2" fillId="0" borderId="1" xfId="0" applyFont="1" applyFill="1" applyBorder="1" applyAlignment="1">
      <alignment horizontal="center" vertical="center"/>
    </xf>
    <xf numFmtId="0" fontId="0" fillId="0" borderId="0" xfId="0"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Fill="1">
      <alignment vertical="center"/>
    </xf>
    <xf numFmtId="0" fontId="0" fillId="0" borderId="0" xfId="0" applyFill="1" applyAlignment="1">
      <alignment vertical="center" wrapText="1"/>
    </xf>
    <xf numFmtId="0" fontId="5" fillId="0" borderId="0" xfId="50" applyFont="1" applyFill="1" applyBorder="1" applyAlignment="1">
      <alignment horizontal="center" vertical="center" wrapText="1"/>
    </xf>
    <xf numFmtId="0" fontId="6" fillId="0" borderId="2" xfId="50" applyFont="1" applyFill="1" applyBorder="1" applyAlignment="1">
      <alignment horizontal="left" vertical="center" wrapText="1"/>
    </xf>
    <xf numFmtId="0" fontId="6" fillId="0" borderId="1" xfId="50" applyFont="1" applyFill="1" applyBorder="1" applyAlignment="1">
      <alignment horizontal="center" vertical="center" wrapText="1"/>
    </xf>
    <xf numFmtId="177" fontId="6" fillId="0" borderId="1" xfId="50" applyNumberFormat="1" applyFont="1" applyFill="1" applyBorder="1" applyAlignment="1">
      <alignment horizontal="center" vertical="center" wrapText="1"/>
    </xf>
    <xf numFmtId="0" fontId="6" fillId="0" borderId="2" xfId="50" applyFont="1" applyFill="1" applyBorder="1" applyAlignment="1">
      <alignment horizontal="center" vertical="center" wrapText="1"/>
    </xf>
    <xf numFmtId="178" fontId="6" fillId="0" borderId="1" xfId="50" applyNumberFormat="1" applyFont="1" applyFill="1" applyBorder="1" applyAlignment="1">
      <alignment horizontal="center" vertical="center" wrapText="1"/>
    </xf>
    <xf numFmtId="178" fontId="2" fillId="0" borderId="1" xfId="50" applyNumberFormat="1" applyFont="1" applyFill="1" applyBorder="1" applyAlignment="1">
      <alignment horizontal="center" vertical="center" wrapText="1"/>
    </xf>
    <xf numFmtId="0" fontId="2" fillId="0" borderId="1" xfId="50" applyFont="1" applyFill="1" applyBorder="1" applyAlignment="1">
      <alignment horizontal="center" vertical="center" wrapText="1"/>
    </xf>
    <xf numFmtId="179" fontId="2" fillId="0" borderId="1" xfId="50" applyNumberFormat="1" applyFont="1" applyFill="1" applyBorder="1" applyAlignment="1">
      <alignment horizontal="center" vertical="center" wrapText="1"/>
    </xf>
    <xf numFmtId="180" fontId="2" fillId="0" borderId="1" xfId="50" applyNumberFormat="1" applyFont="1" applyFill="1" applyBorder="1" applyAlignment="1">
      <alignment horizontal="center" vertical="center" wrapText="1"/>
    </xf>
    <xf numFmtId="177" fontId="2" fillId="0" borderId="1" xfId="50" applyNumberFormat="1" applyFont="1" applyFill="1" applyBorder="1" applyAlignment="1">
      <alignment horizontal="center" vertical="center" wrapText="1"/>
    </xf>
    <xf numFmtId="179" fontId="6" fillId="0" borderId="1" xfId="50" applyNumberFormat="1" applyFont="1" applyFill="1" applyBorder="1" applyAlignment="1">
      <alignment horizontal="center" vertical="center" wrapText="1"/>
    </xf>
    <xf numFmtId="0" fontId="0" fillId="0" borderId="1" xfId="0" applyFill="1" applyBorder="1">
      <alignment vertical="center"/>
    </xf>
    <xf numFmtId="0" fontId="0" fillId="0" borderId="1" xfId="0" applyFill="1" applyBorder="1" applyAlignment="1">
      <alignment vertical="center" wrapText="1"/>
    </xf>
    <xf numFmtId="0" fontId="0" fillId="0" borderId="0" xfId="0" applyFill="1" applyBorder="1">
      <alignment vertical="center"/>
    </xf>
    <xf numFmtId="0" fontId="0" fillId="0" borderId="0" xfId="0" applyFill="1" applyBorder="1" applyAlignment="1">
      <alignment vertical="center" wrapText="1"/>
    </xf>
    <xf numFmtId="177" fontId="2" fillId="0" borderId="1" xfId="52" applyNumberFormat="1" applyFont="1" applyFill="1" applyBorder="1" applyAlignment="1">
      <alignment horizontal="left" vertical="center"/>
    </xf>
    <xf numFmtId="49" fontId="2" fillId="0" borderId="1" xfId="52" applyNumberFormat="1" applyFont="1" applyFill="1" applyBorder="1" applyAlignment="1">
      <alignment horizontal="center" vertical="center"/>
    </xf>
    <xf numFmtId="0" fontId="0" fillId="0" borderId="1" xfId="0" applyFill="1" applyBorder="1" applyAlignment="1">
      <alignment horizontal="justify" vertical="center" wrapText="1"/>
    </xf>
    <xf numFmtId="177" fontId="2" fillId="0" borderId="1" xfId="0" applyNumberFormat="1" applyFont="1" applyFill="1" applyBorder="1" applyAlignment="1">
      <alignment horizontal="center" vertical="center"/>
    </xf>
    <xf numFmtId="0" fontId="6" fillId="0" borderId="3" xfId="50" applyFont="1" applyFill="1" applyBorder="1" applyAlignment="1">
      <alignment horizontal="center" vertical="center" wrapText="1"/>
    </xf>
    <xf numFmtId="0" fontId="6" fillId="0" borderId="4"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2" fillId="0" borderId="1" xfId="50" applyFont="1" applyFill="1" applyBorder="1"/>
    <xf numFmtId="0" fontId="6" fillId="0" borderId="1" xfId="50" applyFont="1" applyFill="1" applyBorder="1" applyAlignment="1">
      <alignment horizontal="left" vertical="center" wrapText="1"/>
    </xf>
    <xf numFmtId="49" fontId="2" fillId="0" borderId="1" xfId="52" applyNumberFormat="1" applyFont="1" applyFill="1" applyBorder="1" applyAlignment="1">
      <alignment horizontal="center" vertical="center" wrapText="1"/>
    </xf>
    <xf numFmtId="177" fontId="2" fillId="0" borderId="1" xfId="52" applyNumberFormat="1" applyFont="1" applyFill="1" applyBorder="1" applyAlignment="1">
      <alignment horizontal="left" vertical="center" wrapText="1"/>
    </xf>
    <xf numFmtId="177" fontId="7" fillId="0" borderId="1" xfId="0" applyNumberFormat="1" applyFont="1" applyFill="1" applyBorder="1" applyAlignment="1">
      <alignment horizontal="center" vertical="center"/>
    </xf>
    <xf numFmtId="180" fontId="6" fillId="0" borderId="1" xfId="50" applyNumberFormat="1" applyFont="1" applyFill="1" applyBorder="1" applyAlignment="1">
      <alignment horizontal="center" vertical="center" wrapText="1"/>
    </xf>
    <xf numFmtId="0" fontId="8" fillId="0" borderId="0" xfId="51" applyFont="1" applyFill="1">
      <alignment vertical="center"/>
    </xf>
    <xf numFmtId="0" fontId="9" fillId="0" borderId="0" xfId="51" applyFont="1" applyFill="1">
      <alignment vertical="center"/>
    </xf>
    <xf numFmtId="0" fontId="10" fillId="0" borderId="0" xfId="51" applyFont="1" applyFill="1">
      <alignment vertical="center"/>
    </xf>
    <xf numFmtId="0" fontId="9" fillId="0" borderId="0" xfId="51" applyFill="1">
      <alignment vertical="center"/>
    </xf>
    <xf numFmtId="49" fontId="9" fillId="0" borderId="0" xfId="51" applyNumberFormat="1" applyFill="1">
      <alignment vertical="center"/>
    </xf>
    <xf numFmtId="181" fontId="9" fillId="0" borderId="0" xfId="51" applyNumberFormat="1" applyFill="1">
      <alignment vertical="center"/>
    </xf>
    <xf numFmtId="49" fontId="11" fillId="0" borderId="6" xfId="51" applyNumberFormat="1" applyFont="1" applyFill="1" applyBorder="1" applyAlignment="1">
      <alignment horizontal="center" vertical="center" wrapText="1"/>
    </xf>
    <xf numFmtId="0" fontId="11" fillId="0" borderId="6" xfId="51" applyFont="1" applyFill="1" applyBorder="1" applyAlignment="1">
      <alignment horizontal="center" vertical="center" wrapText="1"/>
    </xf>
    <xf numFmtId="176" fontId="11" fillId="0" borderId="7" xfId="54" applyFont="1" applyFill="1" applyBorder="1" applyAlignment="1">
      <alignment horizontal="center" vertical="center" wrapText="1"/>
    </xf>
    <xf numFmtId="0" fontId="7" fillId="0" borderId="1" xfId="0" applyFont="1" applyFill="1" applyBorder="1" applyAlignment="1">
      <alignment horizontal="center" vertical="center"/>
    </xf>
    <xf numFmtId="181" fontId="7" fillId="0" borderId="1" xfId="0" applyNumberFormat="1" applyFont="1" applyFill="1" applyBorder="1" applyAlignment="1">
      <alignment horizontal="center" vertical="center"/>
    </xf>
    <xf numFmtId="0" fontId="11" fillId="0" borderId="1" xfId="51" applyFont="1" applyFill="1" applyBorder="1" applyAlignment="1">
      <alignment horizontal="center" vertical="center" wrapText="1"/>
    </xf>
    <xf numFmtId="49" fontId="11" fillId="0" borderId="1" xfId="51" applyNumberFormat="1" applyFont="1" applyFill="1" applyBorder="1" applyAlignment="1">
      <alignment horizontal="center" vertical="center" wrapText="1"/>
    </xf>
    <xf numFmtId="176" fontId="11" fillId="0" borderId="1" xfId="54" applyFont="1" applyFill="1" applyBorder="1" applyAlignment="1">
      <alignment horizontal="center" vertical="center" wrapText="1"/>
    </xf>
    <xf numFmtId="181" fontId="11" fillId="0" borderId="1" xfId="51" applyNumberFormat="1" applyFont="1" applyFill="1" applyBorder="1" applyAlignment="1">
      <alignment horizontal="center" vertical="center" wrapText="1"/>
    </xf>
    <xf numFmtId="0" fontId="12" fillId="0" borderId="1" xfId="51" applyFont="1" applyFill="1" applyBorder="1">
      <alignment vertical="center"/>
    </xf>
    <xf numFmtId="176" fontId="11" fillId="0" borderId="3" xfId="54" applyFont="1" applyFill="1" applyBorder="1" applyAlignment="1">
      <alignment horizontal="center" vertical="center" wrapText="1"/>
    </xf>
    <xf numFmtId="49" fontId="7" fillId="0" borderId="1" xfId="51" applyNumberFormat="1" applyFont="1" applyFill="1" applyBorder="1" applyAlignment="1">
      <alignment horizontal="center" vertical="center" wrapText="1"/>
    </xf>
    <xf numFmtId="0" fontId="7" fillId="0" borderId="1" xfId="51" applyFont="1" applyFill="1" applyBorder="1" applyAlignment="1">
      <alignment horizontal="center" vertical="center" wrapText="1"/>
    </xf>
    <xf numFmtId="176" fontId="7" fillId="0" borderId="3" xfId="54" applyFont="1" applyFill="1" applyBorder="1" applyAlignment="1">
      <alignment horizontal="center" vertical="center" wrapText="1"/>
    </xf>
    <xf numFmtId="181" fontId="7" fillId="0" borderId="1" xfId="51" applyNumberFormat="1" applyFont="1" applyFill="1" applyBorder="1" applyAlignment="1">
      <alignment horizontal="center" vertical="center" wrapText="1"/>
    </xf>
    <xf numFmtId="0" fontId="13" fillId="0" borderId="1" xfId="51" applyFont="1" applyFill="1" applyBorder="1">
      <alignment vertical="center"/>
    </xf>
    <xf numFmtId="178" fontId="7" fillId="0" borderId="1" xfId="51" applyNumberFormat="1" applyFont="1" applyFill="1" applyBorder="1" applyAlignment="1">
      <alignment horizontal="center" vertical="center" wrapText="1"/>
    </xf>
    <xf numFmtId="0" fontId="7" fillId="0" borderId="8" xfId="51" applyFont="1" applyFill="1" applyBorder="1" applyAlignment="1">
      <alignment horizontal="center" vertical="center" wrapText="1"/>
    </xf>
    <xf numFmtId="177" fontId="7" fillId="0" borderId="8" xfId="51" applyNumberFormat="1" applyFont="1" applyFill="1" applyBorder="1" applyAlignment="1">
      <alignment horizontal="center" vertical="center" wrapText="1"/>
    </xf>
    <xf numFmtId="0" fontId="7" fillId="0" borderId="1" xfId="51" applyFont="1" applyFill="1" applyBorder="1" applyAlignment="1">
      <alignment horizontal="center" vertical="center"/>
    </xf>
    <xf numFmtId="181" fontId="7" fillId="0" borderId="8" xfId="51" applyNumberFormat="1" applyFont="1" applyFill="1" applyBorder="1" applyAlignment="1">
      <alignment horizontal="center" vertical="center" wrapText="1"/>
    </xf>
    <xf numFmtId="182" fontId="7" fillId="0" borderId="1" xfId="51" applyNumberFormat="1" applyFont="1" applyFill="1" applyBorder="1" applyAlignment="1">
      <alignment horizontal="center" vertical="center"/>
    </xf>
    <xf numFmtId="181" fontId="7" fillId="0" borderId="1" xfId="51"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5" fillId="0" borderId="0" xfId="50" applyFont="1" applyFill="1" applyBorder="1" applyAlignment="1">
      <alignment vertical="center" wrapText="1"/>
    </xf>
    <xf numFmtId="0" fontId="15" fillId="0" borderId="0" xfId="51" applyFont="1" applyFill="1" applyAlignment="1">
      <alignment horizontal="center" vertical="center" wrapText="1"/>
    </xf>
    <xf numFmtId="0" fontId="9" fillId="0" borderId="0" xfId="51" applyFont="1" applyFill="1" applyBorder="1">
      <alignment vertical="center"/>
    </xf>
    <xf numFmtId="0" fontId="0" fillId="0" borderId="0" xfId="51" applyFont="1" applyFill="1" applyAlignment="1">
      <alignment horizontal="center" vertical="center"/>
    </xf>
    <xf numFmtId="0" fontId="16" fillId="0" borderId="1" xfId="0" applyFont="1" applyFill="1" applyBorder="1" applyAlignment="1">
      <alignment horizontal="left" vertical="center" wrapText="1"/>
    </xf>
    <xf numFmtId="0" fontId="13" fillId="0" borderId="1" xfId="51" applyFont="1" applyFill="1" applyBorder="1" applyAlignment="1">
      <alignment horizontal="center" vertical="center"/>
    </xf>
    <xf numFmtId="0" fontId="12" fillId="0" borderId="1" xfId="51" applyFont="1" applyFill="1" applyBorder="1" applyAlignment="1">
      <alignment horizontal="center" vertical="center"/>
    </xf>
    <xf numFmtId="0" fontId="10" fillId="0" borderId="0" xfId="51" applyFont="1" applyFill="1" applyBorder="1">
      <alignment vertical="center"/>
    </xf>
    <xf numFmtId="0" fontId="13" fillId="0" borderId="1" xfId="51" applyFont="1" applyFill="1" applyBorder="1" applyAlignment="1">
      <alignment horizontal="left" vertical="center"/>
    </xf>
    <xf numFmtId="49" fontId="0" fillId="0" borderId="0" xfId="0" applyNumberFormat="1"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181" fontId="0" fillId="0" borderId="0" xfId="0" applyNumberFormat="1" applyFont="1" applyFill="1" applyAlignment="1">
      <alignment horizontal="center" vertical="center"/>
    </xf>
    <xf numFmtId="181" fontId="0" fillId="0" borderId="0" xfId="0" applyNumberFormat="1" applyFont="1" applyFill="1">
      <alignment vertical="center"/>
    </xf>
    <xf numFmtId="49" fontId="2" fillId="0" borderId="1" xfId="0" applyNumberFormat="1" applyFont="1" applyFill="1" applyBorder="1" applyAlignment="1">
      <alignment horizontal="center" vertical="center"/>
    </xf>
    <xf numFmtId="181" fontId="2"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181" fontId="6" fillId="0" borderId="4" xfId="0" applyNumberFormat="1" applyFont="1" applyFill="1" applyBorder="1" applyAlignment="1">
      <alignment horizontal="center" vertical="center"/>
    </xf>
    <xf numFmtId="49" fontId="2" fillId="0" borderId="1" xfId="0" applyNumberFormat="1" applyFont="1" applyFill="1" applyBorder="1">
      <alignment vertical="center"/>
    </xf>
    <xf numFmtId="0" fontId="2" fillId="0" borderId="1" xfId="0" applyFont="1" applyFill="1" applyBorder="1">
      <alignment vertical="center"/>
    </xf>
    <xf numFmtId="183" fontId="2" fillId="0" borderId="1" xfId="0" applyNumberFormat="1" applyFont="1" applyFill="1" applyBorder="1" applyAlignment="1">
      <alignment horizontal="center" vertical="center"/>
    </xf>
    <xf numFmtId="181" fontId="2" fillId="0" borderId="3" xfId="0" applyNumberFormat="1" applyFont="1" applyFill="1" applyBorder="1" applyAlignment="1">
      <alignment horizontal="center" vertical="center"/>
    </xf>
    <xf numFmtId="181" fontId="2" fillId="0" borderId="0" xfId="0" applyNumberFormat="1" applyFont="1" applyFill="1" applyAlignment="1">
      <alignment horizontal="center" vertical="center"/>
    </xf>
    <xf numFmtId="0" fontId="0" fillId="0" borderId="0" xfId="0" applyFont="1" applyFill="1" applyBorder="1">
      <alignment vertical="center"/>
    </xf>
    <xf numFmtId="0" fontId="0" fillId="0" borderId="0" xfId="0" applyFont="1" applyFill="1" applyBorder="1" applyAlignment="1">
      <alignment vertical="center" wrapText="1"/>
    </xf>
    <xf numFmtId="0" fontId="6" fillId="0" borderId="5" xfId="0" applyFont="1" applyFill="1" applyBorder="1" applyAlignment="1">
      <alignment horizontal="center" vertical="center"/>
    </xf>
    <xf numFmtId="0" fontId="17" fillId="0" borderId="0" xfId="0" applyFont="1" applyFill="1" applyAlignment="1">
      <alignment horizontal="center" vertical="center"/>
    </xf>
    <xf numFmtId="0" fontId="0" fillId="0" borderId="0" xfId="0" applyFont="1" applyFill="1" applyAlignment="1">
      <alignment horizontal="left" vertical="center"/>
    </xf>
    <xf numFmtId="0" fontId="0" fillId="0" borderId="1" xfId="0" applyFont="1" applyFill="1" applyBorder="1" applyAlignment="1">
      <alignment horizontal="center" vertical="center"/>
    </xf>
    <xf numFmtId="181" fontId="18" fillId="0" borderId="0" xfId="0" applyNumberFormat="1" applyFont="1" applyFill="1" applyAlignment="1">
      <alignment horizontal="center" vertical="center" wrapText="1"/>
    </xf>
    <xf numFmtId="0" fontId="0" fillId="0" borderId="3" xfId="0" applyFont="1" applyFill="1" applyBorder="1" applyAlignment="1">
      <alignment horizontal="center" vertical="center"/>
    </xf>
    <xf numFmtId="0" fontId="18" fillId="0" borderId="0" xfId="0" applyFont="1" applyFill="1" applyAlignment="1">
      <alignment horizontal="center" vertical="center" wrapText="1"/>
    </xf>
    <xf numFmtId="0" fontId="0" fillId="0" borderId="0" xfId="0" applyFont="1" applyFill="1" applyBorder="1" applyAlignment="1">
      <alignment horizontal="center" vertical="center"/>
    </xf>
    <xf numFmtId="184" fontId="2" fillId="0" borderId="1" xfId="0" applyNumberFormat="1" applyFont="1" applyFill="1" applyBorder="1" applyAlignment="1">
      <alignment horizontal="center" vertical="center"/>
    </xf>
    <xf numFmtId="10" fontId="0" fillId="0" borderId="0" xfId="3" applyNumberFormat="1" applyFont="1" applyFill="1" applyAlignment="1">
      <alignment horizontal="center" vertical="center"/>
    </xf>
    <xf numFmtId="3" fontId="0" fillId="0" borderId="0" xfId="3" applyNumberFormat="1" applyFont="1" applyFill="1" applyAlignment="1">
      <alignment horizontal="center" vertical="center"/>
    </xf>
    <xf numFmtId="0" fontId="2" fillId="0" borderId="0" xfId="52" applyFont="1" applyFill="1" applyAlignment="1"/>
    <xf numFmtId="0" fontId="19" fillId="0" borderId="0" xfId="52" applyFont="1" applyFill="1" applyAlignment="1"/>
    <xf numFmtId="49" fontId="0" fillId="0" borderId="0" xfId="52" applyNumberFormat="1" applyFont="1" applyFill="1" applyAlignment="1">
      <alignment horizontal="center"/>
    </xf>
    <xf numFmtId="0" fontId="0" fillId="0" borderId="0" xfId="52" applyFont="1" applyFill="1" applyAlignment="1"/>
    <xf numFmtId="0" fontId="0" fillId="0" borderId="0" xfId="52" applyFont="1" applyFill="1" applyAlignment="1">
      <alignment horizontal="center"/>
    </xf>
    <xf numFmtId="179" fontId="0" fillId="0" borderId="0" xfId="52" applyNumberFormat="1" applyFont="1" applyFill="1" applyAlignment="1">
      <alignment horizontal="center"/>
    </xf>
    <xf numFmtId="0" fontId="20" fillId="0" borderId="0" xfId="52" applyFont="1" applyFill="1" applyAlignment="1">
      <alignment horizontal="center"/>
    </xf>
    <xf numFmtId="177" fontId="0" fillId="0" borderId="0" xfId="52" applyNumberFormat="1" applyFont="1" applyFill="1" applyAlignment="1"/>
    <xf numFmtId="10" fontId="0" fillId="0" borderId="0" xfId="52" applyNumberFormat="1" applyFont="1" applyFill="1" applyAlignment="1"/>
    <xf numFmtId="0" fontId="5" fillId="0" borderId="0" xfId="52" applyFont="1" applyFill="1" applyAlignment="1">
      <alignment horizontal="center" vertical="center"/>
    </xf>
    <xf numFmtId="0" fontId="21" fillId="0" borderId="0" xfId="52" applyFont="1" applyFill="1" applyAlignment="1">
      <alignment horizontal="center" vertical="center"/>
    </xf>
    <xf numFmtId="49" fontId="7" fillId="0" borderId="0" xfId="52" applyNumberFormat="1" applyFont="1" applyFill="1" applyAlignment="1">
      <alignment horizontal="left" vertical="center"/>
    </xf>
    <xf numFmtId="49" fontId="7" fillId="0" borderId="1" xfId="52" applyNumberFormat="1" applyFont="1" applyFill="1" applyBorder="1" applyAlignment="1">
      <alignment horizontal="center" vertical="center" wrapText="1"/>
    </xf>
    <xf numFmtId="0" fontId="7" fillId="0" borderId="1" xfId="52" applyFont="1" applyFill="1" applyBorder="1" applyAlignment="1">
      <alignment horizontal="center" vertical="center"/>
    </xf>
    <xf numFmtId="0" fontId="7" fillId="0" borderId="1" xfId="52" applyFont="1" applyFill="1" applyBorder="1" applyAlignment="1">
      <alignment horizontal="center" vertical="center" wrapText="1"/>
    </xf>
    <xf numFmtId="179" fontId="7" fillId="0" borderId="1" xfId="52" applyNumberFormat="1" applyFont="1" applyFill="1" applyBorder="1" applyAlignment="1">
      <alignment horizontal="center" vertical="center" wrapText="1"/>
    </xf>
    <xf numFmtId="49" fontId="11" fillId="0" borderId="1" xfId="52" applyNumberFormat="1" applyFont="1" applyFill="1" applyBorder="1" applyAlignment="1">
      <alignment horizontal="center" vertical="center"/>
    </xf>
    <xf numFmtId="0" fontId="11" fillId="0" borderId="1" xfId="52" applyFont="1" applyFill="1" applyBorder="1" applyAlignment="1">
      <alignment vertical="center"/>
    </xf>
    <xf numFmtId="177" fontId="11" fillId="0" borderId="1" xfId="52" applyNumberFormat="1" applyFont="1" applyFill="1" applyBorder="1" applyAlignment="1">
      <alignment horizontal="center" vertical="center"/>
    </xf>
    <xf numFmtId="179" fontId="11" fillId="0" borderId="1" xfId="52" applyNumberFormat="1" applyFont="1" applyFill="1" applyBorder="1" applyAlignment="1">
      <alignment horizontal="center" vertical="center"/>
    </xf>
    <xf numFmtId="0" fontId="11" fillId="0" borderId="1" xfId="52" applyFont="1" applyFill="1" applyBorder="1" applyAlignment="1">
      <alignment horizontal="center" vertical="center"/>
    </xf>
    <xf numFmtId="49" fontId="7" fillId="0" borderId="1" xfId="52" applyNumberFormat="1" applyFont="1" applyFill="1" applyBorder="1" applyAlignment="1">
      <alignment horizontal="center" vertical="center"/>
    </xf>
    <xf numFmtId="177" fontId="7" fillId="0" borderId="1" xfId="52" applyNumberFormat="1" applyFont="1" applyFill="1" applyBorder="1" applyAlignment="1">
      <alignment horizontal="center" vertical="center"/>
    </xf>
    <xf numFmtId="177" fontId="7" fillId="0" borderId="1" xfId="52" applyNumberFormat="1" applyFont="1" applyFill="1" applyBorder="1" applyAlignment="1">
      <alignment horizontal="left" vertical="center" wrapText="1"/>
    </xf>
    <xf numFmtId="177" fontId="7" fillId="0" borderId="1" xfId="52" applyNumberFormat="1" applyFont="1" applyFill="1" applyBorder="1" applyAlignment="1">
      <alignment horizontal="left" vertical="center"/>
    </xf>
    <xf numFmtId="0" fontId="7" fillId="0" borderId="1" xfId="52" applyFont="1" applyFill="1" applyBorder="1" applyAlignment="1">
      <alignment vertical="center"/>
    </xf>
    <xf numFmtId="177" fontId="7" fillId="0" borderId="1" xfId="53" applyNumberFormat="1" applyFont="1" applyFill="1" applyBorder="1" applyAlignment="1">
      <alignment horizontal="center" vertical="center"/>
    </xf>
    <xf numFmtId="0" fontId="7" fillId="0" borderId="1" xfId="52" applyFont="1" applyFill="1" applyBorder="1" applyAlignment="1" applyProtection="1">
      <alignment vertical="center"/>
    </xf>
    <xf numFmtId="49" fontId="6" fillId="0" borderId="1" xfId="52" applyNumberFormat="1" applyFont="1" applyFill="1" applyBorder="1" applyAlignment="1">
      <alignment horizontal="center" vertical="center"/>
    </xf>
    <xf numFmtId="0" fontId="6" fillId="0" borderId="1" xfId="52" applyFont="1" applyFill="1" applyBorder="1" applyAlignment="1">
      <alignment vertical="center"/>
    </xf>
    <xf numFmtId="177" fontId="6" fillId="0" borderId="1" xfId="52" applyNumberFormat="1" applyFont="1" applyFill="1" applyBorder="1" applyAlignment="1">
      <alignment horizontal="center" vertical="center"/>
    </xf>
    <xf numFmtId="177" fontId="6" fillId="0" borderId="3" xfId="52" applyNumberFormat="1" applyFont="1" applyFill="1" applyBorder="1" applyAlignment="1">
      <alignment horizontal="center" vertical="center"/>
    </xf>
    <xf numFmtId="0" fontId="6" fillId="0" borderId="1" xfId="52" applyFont="1" applyFill="1" applyBorder="1" applyAlignment="1">
      <alignment horizontal="center" vertical="center"/>
    </xf>
    <xf numFmtId="0" fontId="2" fillId="0" borderId="1" xfId="52" applyFont="1" applyFill="1" applyBorder="1" applyAlignment="1">
      <alignment vertical="center"/>
    </xf>
    <xf numFmtId="177" fontId="2" fillId="0" borderId="1" xfId="52" applyNumberFormat="1" applyFont="1" applyFill="1" applyBorder="1" applyAlignment="1">
      <alignment horizontal="center" vertical="center"/>
    </xf>
    <xf numFmtId="0" fontId="2" fillId="0" borderId="1" xfId="52" applyFont="1" applyFill="1" applyBorder="1" applyAlignment="1">
      <alignment horizontal="center" vertical="center"/>
    </xf>
    <xf numFmtId="185" fontId="0" fillId="0" borderId="0" xfId="52" applyNumberFormat="1" applyFont="1" applyFill="1" applyAlignment="1"/>
    <xf numFmtId="0" fontId="2" fillId="0" borderId="1" xfId="52" applyFont="1" applyFill="1" applyBorder="1" applyAlignment="1">
      <alignment horizontal="center"/>
    </xf>
    <xf numFmtId="177" fontId="2" fillId="0" borderId="0" xfId="52" applyNumberFormat="1" applyFont="1" applyFill="1" applyAlignment="1"/>
    <xf numFmtId="0" fontId="22" fillId="0" borderId="1" xfId="52" applyFont="1" applyFill="1" applyBorder="1" applyAlignment="1">
      <alignment horizontal="center"/>
    </xf>
    <xf numFmtId="181" fontId="11" fillId="0" borderId="1" xfId="52" applyNumberFormat="1" applyFont="1" applyFill="1" applyBorder="1" applyAlignment="1">
      <alignment horizontal="center" vertical="center"/>
    </xf>
    <xf numFmtId="10" fontId="11" fillId="0" borderId="1" xfId="52" applyNumberFormat="1" applyFont="1" applyFill="1" applyBorder="1" applyAlignment="1">
      <alignment horizontal="center" vertical="center"/>
    </xf>
    <xf numFmtId="0" fontId="20" fillId="0" borderId="1" xfId="52" applyFont="1" applyFill="1" applyBorder="1" applyAlignment="1">
      <alignment horizontal="center"/>
    </xf>
    <xf numFmtId="177" fontId="19" fillId="0" borderId="0" xfId="52" applyNumberFormat="1" applyFont="1" applyFill="1" applyAlignment="1"/>
    <xf numFmtId="181" fontId="7" fillId="0" borderId="1" xfId="52" applyNumberFormat="1" applyFont="1" applyFill="1" applyBorder="1" applyAlignment="1">
      <alignment horizontal="center" vertical="center"/>
    </xf>
    <xf numFmtId="10" fontId="7" fillId="0" borderId="1" xfId="52" applyNumberFormat="1" applyFont="1" applyFill="1" applyBorder="1" applyAlignment="1">
      <alignment horizontal="center" vertical="center"/>
    </xf>
    <xf numFmtId="181" fontId="23" fillId="0" borderId="1" xfId="0" applyNumberFormat="1" applyFont="1" applyFill="1" applyBorder="1" applyAlignment="1">
      <alignment horizontal="center" vertical="center"/>
    </xf>
    <xf numFmtId="10" fontId="7" fillId="0" borderId="1" xfId="52" applyNumberFormat="1" applyFont="1" applyFill="1" applyBorder="1" applyAlignment="1">
      <alignment vertical="center"/>
    </xf>
    <xf numFmtId="10" fontId="7" fillId="0" borderId="1" xfId="49" applyNumberFormat="1" applyFont="1" applyFill="1" applyBorder="1" applyAlignment="1">
      <alignment horizontal="center" vertical="center"/>
    </xf>
    <xf numFmtId="9" fontId="7" fillId="0" borderId="1" xfId="52" applyNumberFormat="1" applyFont="1" applyFill="1" applyBorder="1" applyAlignment="1">
      <alignment horizontal="center" vertical="center"/>
    </xf>
    <xf numFmtId="10" fontId="6" fillId="0" borderId="1" xfId="52" applyNumberFormat="1" applyFont="1" applyFill="1" applyBorder="1" applyAlignment="1">
      <alignment horizontal="center" vertical="center"/>
    </xf>
    <xf numFmtId="10" fontId="2" fillId="0" borderId="1" xfId="52" applyNumberFormat="1" applyFont="1" applyFill="1" applyBorder="1" applyAlignment="1">
      <alignment horizontal="center" vertical="center"/>
    </xf>
    <xf numFmtId="10" fontId="2" fillId="0" borderId="0" xfId="52" applyNumberFormat="1" applyFont="1" applyFill="1" applyAlignment="1"/>
    <xf numFmtId="10" fontId="19" fillId="0" borderId="0" xfId="52" applyNumberFormat="1" applyFont="1" applyFill="1" applyAlignment="1"/>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3" xfId="51"/>
    <cellStyle name="常规 4" xfId="52"/>
    <cellStyle name="常规_平安集中供热工程修订概算2003-8-12" xfId="53"/>
    <cellStyle name="货币 2" xfId="54"/>
  </cellStyles>
  <dxfs count="1">
    <dxf>
      <fill>
        <patternFill patternType="solid">
          <bgColor indexed="34"/>
        </patternFill>
      </fill>
    </dxf>
  </dxfs>
  <tableStyles count="0" defaultTableStyle="TableStyleMedium2" defaultPivotStyle="PivotStyleLight16"/>
  <colors>
    <mruColors>
      <color rgb="00D272C3"/>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y%20Documents\&#22825;&#27700;&#22825;&#27827;&#27010;&#31639;\WINDOWS\Desktop\&#28205;&#28304;&#32473;&#27700;&#35780;&#2021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础数据"/>
      <sheetName val="固定资产投资估算表"/>
      <sheetName val="投资计划与资金筹措表"/>
      <sheetName val="流动资金估算表"/>
      <sheetName val="总成本费用估算表"/>
      <sheetName val="借款还本付息计算表"/>
      <sheetName val="固定资产折旧费估算表"/>
      <sheetName val="无形及递延资产摊销估算表"/>
      <sheetName val="产品销售收入和税金及附加估算表"/>
      <sheetName val="现金流量表（全部投资）"/>
      <sheetName val="现金流量表（自有资金）"/>
      <sheetName val="损益表"/>
      <sheetName val="资金来源与运用表"/>
      <sheetName val="资产负债表"/>
      <sheetName val="财务敏感性分析"/>
      <sheetName val="Sheet3"/>
      <sheetName val="国民经济效益费用流量表（全部投资）"/>
      <sheetName val="国民经济评价销售收入调整计算表"/>
      <sheetName val="国民经济效益费用流量表（国内投资）"/>
      <sheetName val="国民经济评价投资调整计算表"/>
      <sheetName val="国民经济评价经营费用调整计算表"/>
      <sheetName val="Sheet1"/>
      <sheetName val="Sheet2"/>
      <sheetName val="现金流量表(敏感分析用 投资+20%)"/>
      <sheetName val="现金流量表(敏感分析用 投资+15%)"/>
      <sheetName val="现金流量表(敏感分析用 投资+10%)"/>
      <sheetName val="现金流量表(敏感分析用 投资+5%)"/>
      <sheetName val="现金流量表(敏感分析用 投资-5%)"/>
      <sheetName val="现金流量表(敏感分析用 投资-10%)"/>
      <sheetName val="现金流量表(敏感分析用 投资-15%)"/>
      <sheetName val="现金流量表(敏感分析用 投资-20%)"/>
      <sheetName val="现金流量表(敏感分析用 成本+20%)"/>
      <sheetName val="现金流量表(敏感分析用 成本+15%)"/>
      <sheetName val="现金流量表(敏感分析用 成本+10%)"/>
      <sheetName val="现金流量表(敏感分析用 成本+5%)"/>
      <sheetName val="现金流量表(敏感分析用 成本-5%)"/>
      <sheetName val="现金流量表(敏感分析用 成本-10%)"/>
      <sheetName val="现金流量表(敏感分析用 成本-15%)"/>
      <sheetName val="现金流量表(敏感分析用 成本-20%)"/>
      <sheetName val="现金流量表(敏感分析用 收入+20%)"/>
      <sheetName val="现金流量表(敏感分析用 收入+15%)"/>
      <sheetName val="现金流量表(敏感分析用 收入+10%)"/>
      <sheetName val="现金流量表(敏感分析用 收入+5%)"/>
      <sheetName val="现金流量表(敏感分析用 收入-5%)"/>
      <sheetName val="现金流量表(敏感分析用 收入-10%)"/>
      <sheetName val="现金流量表(敏感分析用 收入-15%)"/>
      <sheetName val="现金流量表(敏感分析用 收入-2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9"/>
  <sheetViews>
    <sheetView tabSelected="1" view="pageBreakPreview" zoomScaleNormal="100" workbookViewId="0">
      <pane ySplit="6" topLeftCell="A11" activePane="bottomLeft" state="frozen"/>
      <selection/>
      <selection pane="bottomLeft" activeCell="E16" sqref="E16"/>
    </sheetView>
  </sheetViews>
  <sheetFormatPr defaultColWidth="9" defaultRowHeight="24.95" customHeight="1"/>
  <cols>
    <col min="1" max="1" width="6.5" style="108" customWidth="1"/>
    <col min="2" max="2" width="26.1" style="109" customWidth="1"/>
    <col min="3" max="3" width="9.25" style="110" customWidth="1"/>
    <col min="4" max="4" width="8.25" style="110" customWidth="1"/>
    <col min="5" max="5" width="11.125" style="110" customWidth="1"/>
    <col min="6" max="6" width="13.25" style="110" customWidth="1"/>
    <col min="7" max="7" width="11.625" style="111" customWidth="1"/>
    <col min="8" max="8" width="6.125" style="110" customWidth="1"/>
    <col min="9" max="9" width="6.75" style="110" customWidth="1"/>
    <col min="10" max="10" width="7.75" style="110" customWidth="1"/>
    <col min="11" max="11" width="9.25" style="109" customWidth="1"/>
    <col min="12" max="12" width="9" style="109" customWidth="1"/>
    <col min="13" max="13" width="14.125" style="109" customWidth="1"/>
    <col min="14" max="14" width="9" style="112" hidden="1" customWidth="1"/>
    <col min="15" max="15" width="14.125" style="113" hidden="1" customWidth="1"/>
    <col min="16" max="16" width="14" style="109"/>
    <col min="17" max="17" width="14" style="114"/>
    <col min="18" max="255" width="9" style="109"/>
    <col min="256" max="256" width="6.5" style="109" customWidth="1"/>
    <col min="257" max="257" width="29.125" style="109" customWidth="1"/>
    <col min="258" max="258" width="7.75" style="109" customWidth="1"/>
    <col min="259" max="259" width="8.25" style="109" customWidth="1"/>
    <col min="260" max="260" width="11.125" style="109" customWidth="1"/>
    <col min="261" max="261" width="9.875" style="109" customWidth="1"/>
    <col min="262" max="262" width="11.625" style="109" customWidth="1"/>
    <col min="263" max="263" width="6.125" style="109" customWidth="1"/>
    <col min="264" max="264" width="9" style="109" customWidth="1"/>
    <col min="265" max="265" width="9.875" style="109" customWidth="1"/>
    <col min="266" max="266" width="9.25" style="109" customWidth="1"/>
    <col min="267" max="511" width="9" style="109"/>
    <col min="512" max="512" width="6.5" style="109" customWidth="1"/>
    <col min="513" max="513" width="29.125" style="109" customWidth="1"/>
    <col min="514" max="514" width="7.75" style="109" customWidth="1"/>
    <col min="515" max="515" width="8.25" style="109" customWidth="1"/>
    <col min="516" max="516" width="11.125" style="109" customWidth="1"/>
    <col min="517" max="517" width="9.875" style="109" customWidth="1"/>
    <col min="518" max="518" width="11.625" style="109" customWidth="1"/>
    <col min="519" max="519" width="6.125" style="109" customWidth="1"/>
    <col min="520" max="520" width="9" style="109" customWidth="1"/>
    <col min="521" max="521" width="9.875" style="109" customWidth="1"/>
    <col min="522" max="522" width="9.25" style="109" customWidth="1"/>
    <col min="523" max="767" width="9" style="109"/>
    <col min="768" max="768" width="6.5" style="109" customWidth="1"/>
    <col min="769" max="769" width="29.125" style="109" customWidth="1"/>
    <col min="770" max="770" width="7.75" style="109" customWidth="1"/>
    <col min="771" max="771" width="8.25" style="109" customWidth="1"/>
    <col min="772" max="772" width="11.125" style="109" customWidth="1"/>
    <col min="773" max="773" width="9.875" style="109" customWidth="1"/>
    <col min="774" max="774" width="11.625" style="109" customWidth="1"/>
    <col min="775" max="775" width="6.125" style="109" customWidth="1"/>
    <col min="776" max="776" width="9" style="109" customWidth="1"/>
    <col min="777" max="777" width="9.875" style="109" customWidth="1"/>
    <col min="778" max="778" width="9.25" style="109" customWidth="1"/>
    <col min="779" max="1023" width="9" style="109"/>
    <col min="1024" max="1024" width="6.5" style="109" customWidth="1"/>
    <col min="1025" max="1025" width="29.125" style="109" customWidth="1"/>
    <col min="1026" max="1026" width="7.75" style="109" customWidth="1"/>
    <col min="1027" max="1027" width="8.25" style="109" customWidth="1"/>
    <col min="1028" max="1028" width="11.125" style="109" customWidth="1"/>
    <col min="1029" max="1029" width="9.875" style="109" customWidth="1"/>
    <col min="1030" max="1030" width="11.625" style="109" customWidth="1"/>
    <col min="1031" max="1031" width="6.125" style="109" customWidth="1"/>
    <col min="1032" max="1032" width="9" style="109" customWidth="1"/>
    <col min="1033" max="1033" width="9.875" style="109" customWidth="1"/>
    <col min="1034" max="1034" width="9.25" style="109" customWidth="1"/>
    <col min="1035" max="1279" width="9" style="109"/>
    <col min="1280" max="1280" width="6.5" style="109" customWidth="1"/>
    <col min="1281" max="1281" width="29.125" style="109" customWidth="1"/>
    <col min="1282" max="1282" width="7.75" style="109" customWidth="1"/>
    <col min="1283" max="1283" width="8.25" style="109" customWidth="1"/>
    <col min="1284" max="1284" width="11.125" style="109" customWidth="1"/>
    <col min="1285" max="1285" width="9.875" style="109" customWidth="1"/>
    <col min="1286" max="1286" width="11.625" style="109" customWidth="1"/>
    <col min="1287" max="1287" width="6.125" style="109" customWidth="1"/>
    <col min="1288" max="1288" width="9" style="109" customWidth="1"/>
    <col min="1289" max="1289" width="9.875" style="109" customWidth="1"/>
    <col min="1290" max="1290" width="9.25" style="109" customWidth="1"/>
    <col min="1291" max="1535" width="9" style="109"/>
    <col min="1536" max="1536" width="6.5" style="109" customWidth="1"/>
    <col min="1537" max="1537" width="29.125" style="109" customWidth="1"/>
    <col min="1538" max="1538" width="7.75" style="109" customWidth="1"/>
    <col min="1539" max="1539" width="8.25" style="109" customWidth="1"/>
    <col min="1540" max="1540" width="11.125" style="109" customWidth="1"/>
    <col min="1541" max="1541" width="9.875" style="109" customWidth="1"/>
    <col min="1542" max="1542" width="11.625" style="109" customWidth="1"/>
    <col min="1543" max="1543" width="6.125" style="109" customWidth="1"/>
    <col min="1544" max="1544" width="9" style="109" customWidth="1"/>
    <col min="1545" max="1545" width="9.875" style="109" customWidth="1"/>
    <col min="1546" max="1546" width="9.25" style="109" customWidth="1"/>
    <col min="1547" max="1791" width="9" style="109"/>
    <col min="1792" max="1792" width="6.5" style="109" customWidth="1"/>
    <col min="1793" max="1793" width="29.125" style="109" customWidth="1"/>
    <col min="1794" max="1794" width="7.75" style="109" customWidth="1"/>
    <col min="1795" max="1795" width="8.25" style="109" customWidth="1"/>
    <col min="1796" max="1796" width="11.125" style="109" customWidth="1"/>
    <col min="1797" max="1797" width="9.875" style="109" customWidth="1"/>
    <col min="1798" max="1798" width="11.625" style="109" customWidth="1"/>
    <col min="1799" max="1799" width="6.125" style="109" customWidth="1"/>
    <col min="1800" max="1800" width="9" style="109" customWidth="1"/>
    <col min="1801" max="1801" width="9.875" style="109" customWidth="1"/>
    <col min="1802" max="1802" width="9.25" style="109" customWidth="1"/>
    <col min="1803" max="2047" width="9" style="109"/>
    <col min="2048" max="2048" width="6.5" style="109" customWidth="1"/>
    <col min="2049" max="2049" width="29.125" style="109" customWidth="1"/>
    <col min="2050" max="2050" width="7.75" style="109" customWidth="1"/>
    <col min="2051" max="2051" width="8.25" style="109" customWidth="1"/>
    <col min="2052" max="2052" width="11.125" style="109" customWidth="1"/>
    <col min="2053" max="2053" width="9.875" style="109" customWidth="1"/>
    <col min="2054" max="2054" width="11.625" style="109" customWidth="1"/>
    <col min="2055" max="2055" width="6.125" style="109" customWidth="1"/>
    <col min="2056" max="2056" width="9" style="109" customWidth="1"/>
    <col min="2057" max="2057" width="9.875" style="109" customWidth="1"/>
    <col min="2058" max="2058" width="9.25" style="109" customWidth="1"/>
    <col min="2059" max="2303" width="9" style="109"/>
    <col min="2304" max="2304" width="6.5" style="109" customWidth="1"/>
    <col min="2305" max="2305" width="29.125" style="109" customWidth="1"/>
    <col min="2306" max="2306" width="7.75" style="109" customWidth="1"/>
    <col min="2307" max="2307" width="8.25" style="109" customWidth="1"/>
    <col min="2308" max="2308" width="11.125" style="109" customWidth="1"/>
    <col min="2309" max="2309" width="9.875" style="109" customWidth="1"/>
    <col min="2310" max="2310" width="11.625" style="109" customWidth="1"/>
    <col min="2311" max="2311" width="6.125" style="109" customWidth="1"/>
    <col min="2312" max="2312" width="9" style="109" customWidth="1"/>
    <col min="2313" max="2313" width="9.875" style="109" customWidth="1"/>
    <col min="2314" max="2314" width="9.25" style="109" customWidth="1"/>
    <col min="2315" max="2559" width="9" style="109"/>
    <col min="2560" max="2560" width="6.5" style="109" customWidth="1"/>
    <col min="2561" max="2561" width="29.125" style="109" customWidth="1"/>
    <col min="2562" max="2562" width="7.75" style="109" customWidth="1"/>
    <col min="2563" max="2563" width="8.25" style="109" customWidth="1"/>
    <col min="2564" max="2564" width="11.125" style="109" customWidth="1"/>
    <col min="2565" max="2565" width="9.875" style="109" customWidth="1"/>
    <col min="2566" max="2566" width="11.625" style="109" customWidth="1"/>
    <col min="2567" max="2567" width="6.125" style="109" customWidth="1"/>
    <col min="2568" max="2568" width="9" style="109" customWidth="1"/>
    <col min="2569" max="2569" width="9.875" style="109" customWidth="1"/>
    <col min="2570" max="2570" width="9.25" style="109" customWidth="1"/>
    <col min="2571" max="2815" width="9" style="109"/>
    <col min="2816" max="2816" width="6.5" style="109" customWidth="1"/>
    <col min="2817" max="2817" width="29.125" style="109" customWidth="1"/>
    <col min="2818" max="2818" width="7.75" style="109" customWidth="1"/>
    <col min="2819" max="2819" width="8.25" style="109" customWidth="1"/>
    <col min="2820" max="2820" width="11.125" style="109" customWidth="1"/>
    <col min="2821" max="2821" width="9.875" style="109" customWidth="1"/>
    <col min="2822" max="2822" width="11.625" style="109" customWidth="1"/>
    <col min="2823" max="2823" width="6.125" style="109" customWidth="1"/>
    <col min="2824" max="2824" width="9" style="109" customWidth="1"/>
    <col min="2825" max="2825" width="9.875" style="109" customWidth="1"/>
    <col min="2826" max="2826" width="9.25" style="109" customWidth="1"/>
    <col min="2827" max="3071" width="9" style="109"/>
    <col min="3072" max="3072" width="6.5" style="109" customWidth="1"/>
    <col min="3073" max="3073" width="29.125" style="109" customWidth="1"/>
    <col min="3074" max="3074" width="7.75" style="109" customWidth="1"/>
    <col min="3075" max="3075" width="8.25" style="109" customWidth="1"/>
    <col min="3076" max="3076" width="11.125" style="109" customWidth="1"/>
    <col min="3077" max="3077" width="9.875" style="109" customWidth="1"/>
    <col min="3078" max="3078" width="11.625" style="109" customWidth="1"/>
    <col min="3079" max="3079" width="6.125" style="109" customWidth="1"/>
    <col min="3080" max="3080" width="9" style="109" customWidth="1"/>
    <col min="3081" max="3081" width="9.875" style="109" customWidth="1"/>
    <col min="3082" max="3082" width="9.25" style="109" customWidth="1"/>
    <col min="3083" max="3327" width="9" style="109"/>
    <col min="3328" max="3328" width="6.5" style="109" customWidth="1"/>
    <col min="3329" max="3329" width="29.125" style="109" customWidth="1"/>
    <col min="3330" max="3330" width="7.75" style="109" customWidth="1"/>
    <col min="3331" max="3331" width="8.25" style="109" customWidth="1"/>
    <col min="3332" max="3332" width="11.125" style="109" customWidth="1"/>
    <col min="3333" max="3333" width="9.875" style="109" customWidth="1"/>
    <col min="3334" max="3334" width="11.625" style="109" customWidth="1"/>
    <col min="3335" max="3335" width="6.125" style="109" customWidth="1"/>
    <col min="3336" max="3336" width="9" style="109" customWidth="1"/>
    <col min="3337" max="3337" width="9.875" style="109" customWidth="1"/>
    <col min="3338" max="3338" width="9.25" style="109" customWidth="1"/>
    <col min="3339" max="3583" width="9" style="109"/>
    <col min="3584" max="3584" width="6.5" style="109" customWidth="1"/>
    <col min="3585" max="3585" width="29.125" style="109" customWidth="1"/>
    <col min="3586" max="3586" width="7.75" style="109" customWidth="1"/>
    <col min="3587" max="3587" width="8.25" style="109" customWidth="1"/>
    <col min="3588" max="3588" width="11.125" style="109" customWidth="1"/>
    <col min="3589" max="3589" width="9.875" style="109" customWidth="1"/>
    <col min="3590" max="3590" width="11.625" style="109" customWidth="1"/>
    <col min="3591" max="3591" width="6.125" style="109" customWidth="1"/>
    <col min="3592" max="3592" width="9" style="109" customWidth="1"/>
    <col min="3593" max="3593" width="9.875" style="109" customWidth="1"/>
    <col min="3594" max="3594" width="9.25" style="109" customWidth="1"/>
    <col min="3595" max="3839" width="9" style="109"/>
    <col min="3840" max="3840" width="6.5" style="109" customWidth="1"/>
    <col min="3841" max="3841" width="29.125" style="109" customWidth="1"/>
    <col min="3842" max="3842" width="7.75" style="109" customWidth="1"/>
    <col min="3843" max="3843" width="8.25" style="109" customWidth="1"/>
    <col min="3844" max="3844" width="11.125" style="109" customWidth="1"/>
    <col min="3845" max="3845" width="9.875" style="109" customWidth="1"/>
    <col min="3846" max="3846" width="11.625" style="109" customWidth="1"/>
    <col min="3847" max="3847" width="6.125" style="109" customWidth="1"/>
    <col min="3848" max="3848" width="9" style="109" customWidth="1"/>
    <col min="3849" max="3849" width="9.875" style="109" customWidth="1"/>
    <col min="3850" max="3850" width="9.25" style="109" customWidth="1"/>
    <col min="3851" max="4095" width="9" style="109"/>
    <col min="4096" max="4096" width="6.5" style="109" customWidth="1"/>
    <col min="4097" max="4097" width="29.125" style="109" customWidth="1"/>
    <col min="4098" max="4098" width="7.75" style="109" customWidth="1"/>
    <col min="4099" max="4099" width="8.25" style="109" customWidth="1"/>
    <col min="4100" max="4100" width="11.125" style="109" customWidth="1"/>
    <col min="4101" max="4101" width="9.875" style="109" customWidth="1"/>
    <col min="4102" max="4102" width="11.625" style="109" customWidth="1"/>
    <col min="4103" max="4103" width="6.125" style="109" customWidth="1"/>
    <col min="4104" max="4104" width="9" style="109" customWidth="1"/>
    <col min="4105" max="4105" width="9.875" style="109" customWidth="1"/>
    <col min="4106" max="4106" width="9.25" style="109" customWidth="1"/>
    <col min="4107" max="4351" width="9" style="109"/>
    <col min="4352" max="4352" width="6.5" style="109" customWidth="1"/>
    <col min="4353" max="4353" width="29.125" style="109" customWidth="1"/>
    <col min="4354" max="4354" width="7.75" style="109" customWidth="1"/>
    <col min="4355" max="4355" width="8.25" style="109" customWidth="1"/>
    <col min="4356" max="4356" width="11.125" style="109" customWidth="1"/>
    <col min="4357" max="4357" width="9.875" style="109" customWidth="1"/>
    <col min="4358" max="4358" width="11.625" style="109" customWidth="1"/>
    <col min="4359" max="4359" width="6.125" style="109" customWidth="1"/>
    <col min="4360" max="4360" width="9" style="109" customWidth="1"/>
    <col min="4361" max="4361" width="9.875" style="109" customWidth="1"/>
    <col min="4362" max="4362" width="9.25" style="109" customWidth="1"/>
    <col min="4363" max="4607" width="9" style="109"/>
    <col min="4608" max="4608" width="6.5" style="109" customWidth="1"/>
    <col min="4609" max="4609" width="29.125" style="109" customWidth="1"/>
    <col min="4610" max="4610" width="7.75" style="109" customWidth="1"/>
    <col min="4611" max="4611" width="8.25" style="109" customWidth="1"/>
    <col min="4612" max="4612" width="11.125" style="109" customWidth="1"/>
    <col min="4613" max="4613" width="9.875" style="109" customWidth="1"/>
    <col min="4614" max="4614" width="11.625" style="109" customWidth="1"/>
    <col min="4615" max="4615" width="6.125" style="109" customWidth="1"/>
    <col min="4616" max="4616" width="9" style="109" customWidth="1"/>
    <col min="4617" max="4617" width="9.875" style="109" customWidth="1"/>
    <col min="4618" max="4618" width="9.25" style="109" customWidth="1"/>
    <col min="4619" max="4863" width="9" style="109"/>
    <col min="4864" max="4864" width="6.5" style="109" customWidth="1"/>
    <col min="4865" max="4865" width="29.125" style="109" customWidth="1"/>
    <col min="4866" max="4866" width="7.75" style="109" customWidth="1"/>
    <col min="4867" max="4867" width="8.25" style="109" customWidth="1"/>
    <col min="4868" max="4868" width="11.125" style="109" customWidth="1"/>
    <col min="4869" max="4869" width="9.875" style="109" customWidth="1"/>
    <col min="4870" max="4870" width="11.625" style="109" customWidth="1"/>
    <col min="4871" max="4871" width="6.125" style="109" customWidth="1"/>
    <col min="4872" max="4872" width="9" style="109" customWidth="1"/>
    <col min="4873" max="4873" width="9.875" style="109" customWidth="1"/>
    <col min="4874" max="4874" width="9.25" style="109" customWidth="1"/>
    <col min="4875" max="5119" width="9" style="109"/>
    <col min="5120" max="5120" width="6.5" style="109" customWidth="1"/>
    <col min="5121" max="5121" width="29.125" style="109" customWidth="1"/>
    <col min="5122" max="5122" width="7.75" style="109" customWidth="1"/>
    <col min="5123" max="5123" width="8.25" style="109" customWidth="1"/>
    <col min="5124" max="5124" width="11.125" style="109" customWidth="1"/>
    <col min="5125" max="5125" width="9.875" style="109" customWidth="1"/>
    <col min="5126" max="5126" width="11.625" style="109" customWidth="1"/>
    <col min="5127" max="5127" width="6.125" style="109" customWidth="1"/>
    <col min="5128" max="5128" width="9" style="109" customWidth="1"/>
    <col min="5129" max="5129" width="9.875" style="109" customWidth="1"/>
    <col min="5130" max="5130" width="9.25" style="109" customWidth="1"/>
    <col min="5131" max="5375" width="9" style="109"/>
    <col min="5376" max="5376" width="6.5" style="109" customWidth="1"/>
    <col min="5377" max="5377" width="29.125" style="109" customWidth="1"/>
    <col min="5378" max="5378" width="7.75" style="109" customWidth="1"/>
    <col min="5379" max="5379" width="8.25" style="109" customWidth="1"/>
    <col min="5380" max="5380" width="11.125" style="109" customWidth="1"/>
    <col min="5381" max="5381" width="9.875" style="109" customWidth="1"/>
    <col min="5382" max="5382" width="11.625" style="109" customWidth="1"/>
    <col min="5383" max="5383" width="6.125" style="109" customWidth="1"/>
    <col min="5384" max="5384" width="9" style="109" customWidth="1"/>
    <col min="5385" max="5385" width="9.875" style="109" customWidth="1"/>
    <col min="5386" max="5386" width="9.25" style="109" customWidth="1"/>
    <col min="5387" max="5631" width="9" style="109"/>
    <col min="5632" max="5632" width="6.5" style="109" customWidth="1"/>
    <col min="5633" max="5633" width="29.125" style="109" customWidth="1"/>
    <col min="5634" max="5634" width="7.75" style="109" customWidth="1"/>
    <col min="5635" max="5635" width="8.25" style="109" customWidth="1"/>
    <col min="5636" max="5636" width="11.125" style="109" customWidth="1"/>
    <col min="5637" max="5637" width="9.875" style="109" customWidth="1"/>
    <col min="5638" max="5638" width="11.625" style="109" customWidth="1"/>
    <col min="5639" max="5639" width="6.125" style="109" customWidth="1"/>
    <col min="5640" max="5640" width="9" style="109" customWidth="1"/>
    <col min="5641" max="5641" width="9.875" style="109" customWidth="1"/>
    <col min="5642" max="5642" width="9.25" style="109" customWidth="1"/>
    <col min="5643" max="5887" width="9" style="109"/>
    <col min="5888" max="5888" width="6.5" style="109" customWidth="1"/>
    <col min="5889" max="5889" width="29.125" style="109" customWidth="1"/>
    <col min="5890" max="5890" width="7.75" style="109" customWidth="1"/>
    <col min="5891" max="5891" width="8.25" style="109" customWidth="1"/>
    <col min="5892" max="5892" width="11.125" style="109" customWidth="1"/>
    <col min="5893" max="5893" width="9.875" style="109" customWidth="1"/>
    <col min="5894" max="5894" width="11.625" style="109" customWidth="1"/>
    <col min="5895" max="5895" width="6.125" style="109" customWidth="1"/>
    <col min="5896" max="5896" width="9" style="109" customWidth="1"/>
    <col min="5897" max="5897" width="9.875" style="109" customWidth="1"/>
    <col min="5898" max="5898" width="9.25" style="109" customWidth="1"/>
    <col min="5899" max="6143" width="9" style="109"/>
    <col min="6144" max="6144" width="6.5" style="109" customWidth="1"/>
    <col min="6145" max="6145" width="29.125" style="109" customWidth="1"/>
    <col min="6146" max="6146" width="7.75" style="109" customWidth="1"/>
    <col min="6147" max="6147" width="8.25" style="109" customWidth="1"/>
    <col min="6148" max="6148" width="11.125" style="109" customWidth="1"/>
    <col min="6149" max="6149" width="9.875" style="109" customWidth="1"/>
    <col min="6150" max="6150" width="11.625" style="109" customWidth="1"/>
    <col min="6151" max="6151" width="6.125" style="109" customWidth="1"/>
    <col min="6152" max="6152" width="9" style="109" customWidth="1"/>
    <col min="6153" max="6153" width="9.875" style="109" customWidth="1"/>
    <col min="6154" max="6154" width="9.25" style="109" customWidth="1"/>
    <col min="6155" max="6399" width="9" style="109"/>
    <col min="6400" max="6400" width="6.5" style="109" customWidth="1"/>
    <col min="6401" max="6401" width="29.125" style="109" customWidth="1"/>
    <col min="6402" max="6402" width="7.75" style="109" customWidth="1"/>
    <col min="6403" max="6403" width="8.25" style="109" customWidth="1"/>
    <col min="6404" max="6404" width="11.125" style="109" customWidth="1"/>
    <col min="6405" max="6405" width="9.875" style="109" customWidth="1"/>
    <col min="6406" max="6406" width="11.625" style="109" customWidth="1"/>
    <col min="6407" max="6407" width="6.125" style="109" customWidth="1"/>
    <col min="6408" max="6408" width="9" style="109" customWidth="1"/>
    <col min="6409" max="6409" width="9.875" style="109" customWidth="1"/>
    <col min="6410" max="6410" width="9.25" style="109" customWidth="1"/>
    <col min="6411" max="6655" width="9" style="109"/>
    <col min="6656" max="6656" width="6.5" style="109" customWidth="1"/>
    <col min="6657" max="6657" width="29.125" style="109" customWidth="1"/>
    <col min="6658" max="6658" width="7.75" style="109" customWidth="1"/>
    <col min="6659" max="6659" width="8.25" style="109" customWidth="1"/>
    <col min="6660" max="6660" width="11.125" style="109" customWidth="1"/>
    <col min="6661" max="6661" width="9.875" style="109" customWidth="1"/>
    <col min="6662" max="6662" width="11.625" style="109" customWidth="1"/>
    <col min="6663" max="6663" width="6.125" style="109" customWidth="1"/>
    <col min="6664" max="6664" width="9" style="109" customWidth="1"/>
    <col min="6665" max="6665" width="9.875" style="109" customWidth="1"/>
    <col min="6666" max="6666" width="9.25" style="109" customWidth="1"/>
    <col min="6667" max="6911" width="9" style="109"/>
    <col min="6912" max="6912" width="6.5" style="109" customWidth="1"/>
    <col min="6913" max="6913" width="29.125" style="109" customWidth="1"/>
    <col min="6914" max="6914" width="7.75" style="109" customWidth="1"/>
    <col min="6915" max="6915" width="8.25" style="109" customWidth="1"/>
    <col min="6916" max="6916" width="11.125" style="109" customWidth="1"/>
    <col min="6917" max="6917" width="9.875" style="109" customWidth="1"/>
    <col min="6918" max="6918" width="11.625" style="109" customWidth="1"/>
    <col min="6919" max="6919" width="6.125" style="109" customWidth="1"/>
    <col min="6920" max="6920" width="9" style="109" customWidth="1"/>
    <col min="6921" max="6921" width="9.875" style="109" customWidth="1"/>
    <col min="6922" max="6922" width="9.25" style="109" customWidth="1"/>
    <col min="6923" max="7167" width="9" style="109"/>
    <col min="7168" max="7168" width="6.5" style="109" customWidth="1"/>
    <col min="7169" max="7169" width="29.125" style="109" customWidth="1"/>
    <col min="7170" max="7170" width="7.75" style="109" customWidth="1"/>
    <col min="7171" max="7171" width="8.25" style="109" customWidth="1"/>
    <col min="7172" max="7172" width="11.125" style="109" customWidth="1"/>
    <col min="7173" max="7173" width="9.875" style="109" customWidth="1"/>
    <col min="7174" max="7174" width="11.625" style="109" customWidth="1"/>
    <col min="7175" max="7175" width="6.125" style="109" customWidth="1"/>
    <col min="7176" max="7176" width="9" style="109" customWidth="1"/>
    <col min="7177" max="7177" width="9.875" style="109" customWidth="1"/>
    <col min="7178" max="7178" width="9.25" style="109" customWidth="1"/>
    <col min="7179" max="7423" width="9" style="109"/>
    <col min="7424" max="7424" width="6.5" style="109" customWidth="1"/>
    <col min="7425" max="7425" width="29.125" style="109" customWidth="1"/>
    <col min="7426" max="7426" width="7.75" style="109" customWidth="1"/>
    <col min="7427" max="7427" width="8.25" style="109" customWidth="1"/>
    <col min="7428" max="7428" width="11.125" style="109" customWidth="1"/>
    <col min="7429" max="7429" width="9.875" style="109" customWidth="1"/>
    <col min="7430" max="7430" width="11.625" style="109" customWidth="1"/>
    <col min="7431" max="7431" width="6.125" style="109" customWidth="1"/>
    <col min="7432" max="7432" width="9" style="109" customWidth="1"/>
    <col min="7433" max="7433" width="9.875" style="109" customWidth="1"/>
    <col min="7434" max="7434" width="9.25" style="109" customWidth="1"/>
    <col min="7435" max="7679" width="9" style="109"/>
    <col min="7680" max="7680" width="6.5" style="109" customWidth="1"/>
    <col min="7681" max="7681" width="29.125" style="109" customWidth="1"/>
    <col min="7682" max="7682" width="7.75" style="109" customWidth="1"/>
    <col min="7683" max="7683" width="8.25" style="109" customWidth="1"/>
    <col min="7684" max="7684" width="11.125" style="109" customWidth="1"/>
    <col min="7685" max="7685" width="9.875" style="109" customWidth="1"/>
    <col min="7686" max="7686" width="11.625" style="109" customWidth="1"/>
    <col min="7687" max="7687" width="6.125" style="109" customWidth="1"/>
    <col min="7688" max="7688" width="9" style="109" customWidth="1"/>
    <col min="7689" max="7689" width="9.875" style="109" customWidth="1"/>
    <col min="7690" max="7690" width="9.25" style="109" customWidth="1"/>
    <col min="7691" max="7935" width="9" style="109"/>
    <col min="7936" max="7936" width="6.5" style="109" customWidth="1"/>
    <col min="7937" max="7937" width="29.125" style="109" customWidth="1"/>
    <col min="7938" max="7938" width="7.75" style="109" customWidth="1"/>
    <col min="7939" max="7939" width="8.25" style="109" customWidth="1"/>
    <col min="7940" max="7940" width="11.125" style="109" customWidth="1"/>
    <col min="7941" max="7941" width="9.875" style="109" customWidth="1"/>
    <col min="7942" max="7942" width="11.625" style="109" customWidth="1"/>
    <col min="7943" max="7943" width="6.125" style="109" customWidth="1"/>
    <col min="7944" max="7944" width="9" style="109" customWidth="1"/>
    <col min="7945" max="7945" width="9.875" style="109" customWidth="1"/>
    <col min="7946" max="7946" width="9.25" style="109" customWidth="1"/>
    <col min="7947" max="8191" width="9" style="109"/>
    <col min="8192" max="8192" width="6.5" style="109" customWidth="1"/>
    <col min="8193" max="8193" width="29.125" style="109" customWidth="1"/>
    <col min="8194" max="8194" width="7.75" style="109" customWidth="1"/>
    <col min="8195" max="8195" width="8.25" style="109" customWidth="1"/>
    <col min="8196" max="8196" width="11.125" style="109" customWidth="1"/>
    <col min="8197" max="8197" width="9.875" style="109" customWidth="1"/>
    <col min="8198" max="8198" width="11.625" style="109" customWidth="1"/>
    <col min="8199" max="8199" width="6.125" style="109" customWidth="1"/>
    <col min="8200" max="8200" width="9" style="109" customWidth="1"/>
    <col min="8201" max="8201" width="9.875" style="109" customWidth="1"/>
    <col min="8202" max="8202" width="9.25" style="109" customWidth="1"/>
    <col min="8203" max="8447" width="9" style="109"/>
    <col min="8448" max="8448" width="6.5" style="109" customWidth="1"/>
    <col min="8449" max="8449" width="29.125" style="109" customWidth="1"/>
    <col min="8450" max="8450" width="7.75" style="109" customWidth="1"/>
    <col min="8451" max="8451" width="8.25" style="109" customWidth="1"/>
    <col min="8452" max="8452" width="11.125" style="109" customWidth="1"/>
    <col min="8453" max="8453" width="9.875" style="109" customWidth="1"/>
    <col min="8454" max="8454" width="11.625" style="109" customWidth="1"/>
    <col min="8455" max="8455" width="6.125" style="109" customWidth="1"/>
    <col min="8456" max="8456" width="9" style="109" customWidth="1"/>
    <col min="8457" max="8457" width="9.875" style="109" customWidth="1"/>
    <col min="8458" max="8458" width="9.25" style="109" customWidth="1"/>
    <col min="8459" max="8703" width="9" style="109"/>
    <col min="8704" max="8704" width="6.5" style="109" customWidth="1"/>
    <col min="8705" max="8705" width="29.125" style="109" customWidth="1"/>
    <col min="8706" max="8706" width="7.75" style="109" customWidth="1"/>
    <col min="8707" max="8707" width="8.25" style="109" customWidth="1"/>
    <col min="8708" max="8708" width="11.125" style="109" customWidth="1"/>
    <col min="8709" max="8709" width="9.875" style="109" customWidth="1"/>
    <col min="8710" max="8710" width="11.625" style="109" customWidth="1"/>
    <col min="8711" max="8711" width="6.125" style="109" customWidth="1"/>
    <col min="8712" max="8712" width="9" style="109" customWidth="1"/>
    <col min="8713" max="8713" width="9.875" style="109" customWidth="1"/>
    <col min="8714" max="8714" width="9.25" style="109" customWidth="1"/>
    <col min="8715" max="8959" width="9" style="109"/>
    <col min="8960" max="8960" width="6.5" style="109" customWidth="1"/>
    <col min="8961" max="8961" width="29.125" style="109" customWidth="1"/>
    <col min="8962" max="8962" width="7.75" style="109" customWidth="1"/>
    <col min="8963" max="8963" width="8.25" style="109" customWidth="1"/>
    <col min="8964" max="8964" width="11.125" style="109" customWidth="1"/>
    <col min="8965" max="8965" width="9.875" style="109" customWidth="1"/>
    <col min="8966" max="8966" width="11.625" style="109" customWidth="1"/>
    <col min="8967" max="8967" width="6.125" style="109" customWidth="1"/>
    <col min="8968" max="8968" width="9" style="109" customWidth="1"/>
    <col min="8969" max="8969" width="9.875" style="109" customWidth="1"/>
    <col min="8970" max="8970" width="9.25" style="109" customWidth="1"/>
    <col min="8971" max="9215" width="9" style="109"/>
    <col min="9216" max="9216" width="6.5" style="109" customWidth="1"/>
    <col min="9217" max="9217" width="29.125" style="109" customWidth="1"/>
    <col min="9218" max="9218" width="7.75" style="109" customWidth="1"/>
    <col min="9219" max="9219" width="8.25" style="109" customWidth="1"/>
    <col min="9220" max="9220" width="11.125" style="109" customWidth="1"/>
    <col min="9221" max="9221" width="9.875" style="109" customWidth="1"/>
    <col min="9222" max="9222" width="11.625" style="109" customWidth="1"/>
    <col min="9223" max="9223" width="6.125" style="109" customWidth="1"/>
    <col min="9224" max="9224" width="9" style="109" customWidth="1"/>
    <col min="9225" max="9225" width="9.875" style="109" customWidth="1"/>
    <col min="9226" max="9226" width="9.25" style="109" customWidth="1"/>
    <col min="9227" max="9471" width="9" style="109"/>
    <col min="9472" max="9472" width="6.5" style="109" customWidth="1"/>
    <col min="9473" max="9473" width="29.125" style="109" customWidth="1"/>
    <col min="9474" max="9474" width="7.75" style="109" customWidth="1"/>
    <col min="9475" max="9475" width="8.25" style="109" customWidth="1"/>
    <col min="9476" max="9476" width="11.125" style="109" customWidth="1"/>
    <col min="9477" max="9477" width="9.875" style="109" customWidth="1"/>
    <col min="9478" max="9478" width="11.625" style="109" customWidth="1"/>
    <col min="9479" max="9479" width="6.125" style="109" customWidth="1"/>
    <col min="9480" max="9480" width="9" style="109" customWidth="1"/>
    <col min="9481" max="9481" width="9.875" style="109" customWidth="1"/>
    <col min="9482" max="9482" width="9.25" style="109" customWidth="1"/>
    <col min="9483" max="9727" width="9" style="109"/>
    <col min="9728" max="9728" width="6.5" style="109" customWidth="1"/>
    <col min="9729" max="9729" width="29.125" style="109" customWidth="1"/>
    <col min="9730" max="9730" width="7.75" style="109" customWidth="1"/>
    <col min="9731" max="9731" width="8.25" style="109" customWidth="1"/>
    <col min="9732" max="9732" width="11.125" style="109" customWidth="1"/>
    <col min="9733" max="9733" width="9.875" style="109" customWidth="1"/>
    <col min="9734" max="9734" width="11.625" style="109" customWidth="1"/>
    <col min="9735" max="9735" width="6.125" style="109" customWidth="1"/>
    <col min="9736" max="9736" width="9" style="109" customWidth="1"/>
    <col min="9737" max="9737" width="9.875" style="109" customWidth="1"/>
    <col min="9738" max="9738" width="9.25" style="109" customWidth="1"/>
    <col min="9739" max="9983" width="9" style="109"/>
    <col min="9984" max="9984" width="6.5" style="109" customWidth="1"/>
    <col min="9985" max="9985" width="29.125" style="109" customWidth="1"/>
    <col min="9986" max="9986" width="7.75" style="109" customWidth="1"/>
    <col min="9987" max="9987" width="8.25" style="109" customWidth="1"/>
    <col min="9988" max="9988" width="11.125" style="109" customWidth="1"/>
    <col min="9989" max="9989" width="9.875" style="109" customWidth="1"/>
    <col min="9990" max="9990" width="11.625" style="109" customWidth="1"/>
    <col min="9991" max="9991" width="6.125" style="109" customWidth="1"/>
    <col min="9992" max="9992" width="9" style="109" customWidth="1"/>
    <col min="9993" max="9993" width="9.875" style="109" customWidth="1"/>
    <col min="9994" max="9994" width="9.25" style="109" customWidth="1"/>
    <col min="9995" max="10239" width="9" style="109"/>
    <col min="10240" max="10240" width="6.5" style="109" customWidth="1"/>
    <col min="10241" max="10241" width="29.125" style="109" customWidth="1"/>
    <col min="10242" max="10242" width="7.75" style="109" customWidth="1"/>
    <col min="10243" max="10243" width="8.25" style="109" customWidth="1"/>
    <col min="10244" max="10244" width="11.125" style="109" customWidth="1"/>
    <col min="10245" max="10245" width="9.875" style="109" customWidth="1"/>
    <col min="10246" max="10246" width="11.625" style="109" customWidth="1"/>
    <col min="10247" max="10247" width="6.125" style="109" customWidth="1"/>
    <col min="10248" max="10248" width="9" style="109" customWidth="1"/>
    <col min="10249" max="10249" width="9.875" style="109" customWidth="1"/>
    <col min="10250" max="10250" width="9.25" style="109" customWidth="1"/>
    <col min="10251" max="10495" width="9" style="109"/>
    <col min="10496" max="10496" width="6.5" style="109" customWidth="1"/>
    <col min="10497" max="10497" width="29.125" style="109" customWidth="1"/>
    <col min="10498" max="10498" width="7.75" style="109" customWidth="1"/>
    <col min="10499" max="10499" width="8.25" style="109" customWidth="1"/>
    <col min="10500" max="10500" width="11.125" style="109" customWidth="1"/>
    <col min="10501" max="10501" width="9.875" style="109" customWidth="1"/>
    <col min="10502" max="10502" width="11.625" style="109" customWidth="1"/>
    <col min="10503" max="10503" width="6.125" style="109" customWidth="1"/>
    <col min="10504" max="10504" width="9" style="109" customWidth="1"/>
    <col min="10505" max="10505" width="9.875" style="109" customWidth="1"/>
    <col min="10506" max="10506" width="9.25" style="109" customWidth="1"/>
    <col min="10507" max="10751" width="9" style="109"/>
    <col min="10752" max="10752" width="6.5" style="109" customWidth="1"/>
    <col min="10753" max="10753" width="29.125" style="109" customWidth="1"/>
    <col min="10754" max="10754" width="7.75" style="109" customWidth="1"/>
    <col min="10755" max="10755" width="8.25" style="109" customWidth="1"/>
    <col min="10756" max="10756" width="11.125" style="109" customWidth="1"/>
    <col min="10757" max="10757" width="9.875" style="109" customWidth="1"/>
    <col min="10758" max="10758" width="11.625" style="109" customWidth="1"/>
    <col min="10759" max="10759" width="6.125" style="109" customWidth="1"/>
    <col min="10760" max="10760" width="9" style="109" customWidth="1"/>
    <col min="10761" max="10761" width="9.875" style="109" customWidth="1"/>
    <col min="10762" max="10762" width="9.25" style="109" customWidth="1"/>
    <col min="10763" max="11007" width="9" style="109"/>
    <col min="11008" max="11008" width="6.5" style="109" customWidth="1"/>
    <col min="11009" max="11009" width="29.125" style="109" customWidth="1"/>
    <col min="11010" max="11010" width="7.75" style="109" customWidth="1"/>
    <col min="11011" max="11011" width="8.25" style="109" customWidth="1"/>
    <col min="11012" max="11012" width="11.125" style="109" customWidth="1"/>
    <col min="11013" max="11013" width="9.875" style="109" customWidth="1"/>
    <col min="11014" max="11014" width="11.625" style="109" customWidth="1"/>
    <col min="11015" max="11015" width="6.125" style="109" customWidth="1"/>
    <col min="11016" max="11016" width="9" style="109" customWidth="1"/>
    <col min="11017" max="11017" width="9.875" style="109" customWidth="1"/>
    <col min="11018" max="11018" width="9.25" style="109" customWidth="1"/>
    <col min="11019" max="11263" width="9" style="109"/>
    <col min="11264" max="11264" width="6.5" style="109" customWidth="1"/>
    <col min="11265" max="11265" width="29.125" style="109" customWidth="1"/>
    <col min="11266" max="11266" width="7.75" style="109" customWidth="1"/>
    <col min="11267" max="11267" width="8.25" style="109" customWidth="1"/>
    <col min="11268" max="11268" width="11.125" style="109" customWidth="1"/>
    <col min="11269" max="11269" width="9.875" style="109" customWidth="1"/>
    <col min="11270" max="11270" width="11.625" style="109" customWidth="1"/>
    <col min="11271" max="11271" width="6.125" style="109" customWidth="1"/>
    <col min="11272" max="11272" width="9" style="109" customWidth="1"/>
    <col min="11273" max="11273" width="9.875" style="109" customWidth="1"/>
    <col min="11274" max="11274" width="9.25" style="109" customWidth="1"/>
    <col min="11275" max="11519" width="9" style="109"/>
    <col min="11520" max="11520" width="6.5" style="109" customWidth="1"/>
    <col min="11521" max="11521" width="29.125" style="109" customWidth="1"/>
    <col min="11522" max="11522" width="7.75" style="109" customWidth="1"/>
    <col min="11523" max="11523" width="8.25" style="109" customWidth="1"/>
    <col min="11524" max="11524" width="11.125" style="109" customWidth="1"/>
    <col min="11525" max="11525" width="9.875" style="109" customWidth="1"/>
    <col min="11526" max="11526" width="11.625" style="109" customWidth="1"/>
    <col min="11527" max="11527" width="6.125" style="109" customWidth="1"/>
    <col min="11528" max="11528" width="9" style="109" customWidth="1"/>
    <col min="11529" max="11529" width="9.875" style="109" customWidth="1"/>
    <col min="11530" max="11530" width="9.25" style="109" customWidth="1"/>
    <col min="11531" max="11775" width="9" style="109"/>
    <col min="11776" max="11776" width="6.5" style="109" customWidth="1"/>
    <col min="11777" max="11777" width="29.125" style="109" customWidth="1"/>
    <col min="11778" max="11778" width="7.75" style="109" customWidth="1"/>
    <col min="11779" max="11779" width="8.25" style="109" customWidth="1"/>
    <col min="11780" max="11780" width="11.125" style="109" customWidth="1"/>
    <col min="11781" max="11781" width="9.875" style="109" customWidth="1"/>
    <col min="11782" max="11782" width="11.625" style="109" customWidth="1"/>
    <col min="11783" max="11783" width="6.125" style="109" customWidth="1"/>
    <col min="11784" max="11784" width="9" style="109" customWidth="1"/>
    <col min="11785" max="11785" width="9.875" style="109" customWidth="1"/>
    <col min="11786" max="11786" width="9.25" style="109" customWidth="1"/>
    <col min="11787" max="12031" width="9" style="109"/>
    <col min="12032" max="12032" width="6.5" style="109" customWidth="1"/>
    <col min="12033" max="12033" width="29.125" style="109" customWidth="1"/>
    <col min="12034" max="12034" width="7.75" style="109" customWidth="1"/>
    <col min="12035" max="12035" width="8.25" style="109" customWidth="1"/>
    <col min="12036" max="12036" width="11.125" style="109" customWidth="1"/>
    <col min="12037" max="12037" width="9.875" style="109" customWidth="1"/>
    <col min="12038" max="12038" width="11.625" style="109" customWidth="1"/>
    <col min="12039" max="12039" width="6.125" style="109" customWidth="1"/>
    <col min="12040" max="12040" width="9" style="109" customWidth="1"/>
    <col min="12041" max="12041" width="9.875" style="109" customWidth="1"/>
    <col min="12042" max="12042" width="9.25" style="109" customWidth="1"/>
    <col min="12043" max="12287" width="9" style="109"/>
    <col min="12288" max="12288" width="6.5" style="109" customWidth="1"/>
    <col min="12289" max="12289" width="29.125" style="109" customWidth="1"/>
    <col min="12290" max="12290" width="7.75" style="109" customWidth="1"/>
    <col min="12291" max="12291" width="8.25" style="109" customWidth="1"/>
    <col min="12292" max="12292" width="11.125" style="109" customWidth="1"/>
    <col min="12293" max="12293" width="9.875" style="109" customWidth="1"/>
    <col min="12294" max="12294" width="11.625" style="109" customWidth="1"/>
    <col min="12295" max="12295" width="6.125" style="109" customWidth="1"/>
    <col min="12296" max="12296" width="9" style="109" customWidth="1"/>
    <col min="12297" max="12297" width="9.875" style="109" customWidth="1"/>
    <col min="12298" max="12298" width="9.25" style="109" customWidth="1"/>
    <col min="12299" max="12543" width="9" style="109"/>
    <col min="12544" max="12544" width="6.5" style="109" customWidth="1"/>
    <col min="12545" max="12545" width="29.125" style="109" customWidth="1"/>
    <col min="12546" max="12546" width="7.75" style="109" customWidth="1"/>
    <col min="12547" max="12547" width="8.25" style="109" customWidth="1"/>
    <col min="12548" max="12548" width="11.125" style="109" customWidth="1"/>
    <col min="12549" max="12549" width="9.875" style="109" customWidth="1"/>
    <col min="12550" max="12550" width="11.625" style="109" customWidth="1"/>
    <col min="12551" max="12551" width="6.125" style="109" customWidth="1"/>
    <col min="12552" max="12552" width="9" style="109" customWidth="1"/>
    <col min="12553" max="12553" width="9.875" style="109" customWidth="1"/>
    <col min="12554" max="12554" width="9.25" style="109" customWidth="1"/>
    <col min="12555" max="12799" width="9" style="109"/>
    <col min="12800" max="12800" width="6.5" style="109" customWidth="1"/>
    <col min="12801" max="12801" width="29.125" style="109" customWidth="1"/>
    <col min="12802" max="12802" width="7.75" style="109" customWidth="1"/>
    <col min="12803" max="12803" width="8.25" style="109" customWidth="1"/>
    <col min="12804" max="12804" width="11.125" style="109" customWidth="1"/>
    <col min="12805" max="12805" width="9.875" style="109" customWidth="1"/>
    <col min="12806" max="12806" width="11.625" style="109" customWidth="1"/>
    <col min="12807" max="12807" width="6.125" style="109" customWidth="1"/>
    <col min="12808" max="12808" width="9" style="109" customWidth="1"/>
    <col min="12809" max="12809" width="9.875" style="109" customWidth="1"/>
    <col min="12810" max="12810" width="9.25" style="109" customWidth="1"/>
    <col min="12811" max="13055" width="9" style="109"/>
    <col min="13056" max="13056" width="6.5" style="109" customWidth="1"/>
    <col min="13057" max="13057" width="29.125" style="109" customWidth="1"/>
    <col min="13058" max="13058" width="7.75" style="109" customWidth="1"/>
    <col min="13059" max="13059" width="8.25" style="109" customWidth="1"/>
    <col min="13060" max="13060" width="11.125" style="109" customWidth="1"/>
    <col min="13061" max="13061" width="9.875" style="109" customWidth="1"/>
    <col min="13062" max="13062" width="11.625" style="109" customWidth="1"/>
    <col min="13063" max="13063" width="6.125" style="109" customWidth="1"/>
    <col min="13064" max="13064" width="9" style="109" customWidth="1"/>
    <col min="13065" max="13065" width="9.875" style="109" customWidth="1"/>
    <col min="13066" max="13066" width="9.25" style="109" customWidth="1"/>
    <col min="13067" max="13311" width="9" style="109"/>
    <col min="13312" max="13312" width="6.5" style="109" customWidth="1"/>
    <col min="13313" max="13313" width="29.125" style="109" customWidth="1"/>
    <col min="13314" max="13314" width="7.75" style="109" customWidth="1"/>
    <col min="13315" max="13315" width="8.25" style="109" customWidth="1"/>
    <col min="13316" max="13316" width="11.125" style="109" customWidth="1"/>
    <col min="13317" max="13317" width="9.875" style="109" customWidth="1"/>
    <col min="13318" max="13318" width="11.625" style="109" customWidth="1"/>
    <col min="13319" max="13319" width="6.125" style="109" customWidth="1"/>
    <col min="13320" max="13320" width="9" style="109" customWidth="1"/>
    <col min="13321" max="13321" width="9.875" style="109" customWidth="1"/>
    <col min="13322" max="13322" width="9.25" style="109" customWidth="1"/>
    <col min="13323" max="13567" width="9" style="109"/>
    <col min="13568" max="13568" width="6.5" style="109" customWidth="1"/>
    <col min="13569" max="13569" width="29.125" style="109" customWidth="1"/>
    <col min="13570" max="13570" width="7.75" style="109" customWidth="1"/>
    <col min="13571" max="13571" width="8.25" style="109" customWidth="1"/>
    <col min="13572" max="13572" width="11.125" style="109" customWidth="1"/>
    <col min="13573" max="13573" width="9.875" style="109" customWidth="1"/>
    <col min="13574" max="13574" width="11.625" style="109" customWidth="1"/>
    <col min="13575" max="13575" width="6.125" style="109" customWidth="1"/>
    <col min="13576" max="13576" width="9" style="109" customWidth="1"/>
    <col min="13577" max="13577" width="9.875" style="109" customWidth="1"/>
    <col min="13578" max="13578" width="9.25" style="109" customWidth="1"/>
    <col min="13579" max="13823" width="9" style="109"/>
    <col min="13824" max="13824" width="6.5" style="109" customWidth="1"/>
    <col min="13825" max="13825" width="29.125" style="109" customWidth="1"/>
    <col min="13826" max="13826" width="7.75" style="109" customWidth="1"/>
    <col min="13827" max="13827" width="8.25" style="109" customWidth="1"/>
    <col min="13828" max="13828" width="11.125" style="109" customWidth="1"/>
    <col min="13829" max="13829" width="9.875" style="109" customWidth="1"/>
    <col min="13830" max="13830" width="11.625" style="109" customWidth="1"/>
    <col min="13831" max="13831" width="6.125" style="109" customWidth="1"/>
    <col min="13832" max="13832" width="9" style="109" customWidth="1"/>
    <col min="13833" max="13833" width="9.875" style="109" customWidth="1"/>
    <col min="13834" max="13834" width="9.25" style="109" customWidth="1"/>
    <col min="13835" max="14079" width="9" style="109"/>
    <col min="14080" max="14080" width="6.5" style="109" customWidth="1"/>
    <col min="14081" max="14081" width="29.125" style="109" customWidth="1"/>
    <col min="14082" max="14082" width="7.75" style="109" customWidth="1"/>
    <col min="14083" max="14083" width="8.25" style="109" customWidth="1"/>
    <col min="14084" max="14084" width="11.125" style="109" customWidth="1"/>
    <col min="14085" max="14085" width="9.875" style="109" customWidth="1"/>
    <col min="14086" max="14086" width="11.625" style="109" customWidth="1"/>
    <col min="14087" max="14087" width="6.125" style="109" customWidth="1"/>
    <col min="14088" max="14088" width="9" style="109" customWidth="1"/>
    <col min="14089" max="14089" width="9.875" style="109" customWidth="1"/>
    <col min="14090" max="14090" width="9.25" style="109" customWidth="1"/>
    <col min="14091" max="14335" width="9" style="109"/>
    <col min="14336" max="14336" width="6.5" style="109" customWidth="1"/>
    <col min="14337" max="14337" width="29.125" style="109" customWidth="1"/>
    <col min="14338" max="14338" width="7.75" style="109" customWidth="1"/>
    <col min="14339" max="14339" width="8.25" style="109" customWidth="1"/>
    <col min="14340" max="14340" width="11.125" style="109" customWidth="1"/>
    <col min="14341" max="14341" width="9.875" style="109" customWidth="1"/>
    <col min="14342" max="14342" width="11.625" style="109" customWidth="1"/>
    <col min="14343" max="14343" width="6.125" style="109" customWidth="1"/>
    <col min="14344" max="14344" width="9" style="109" customWidth="1"/>
    <col min="14345" max="14345" width="9.875" style="109" customWidth="1"/>
    <col min="14346" max="14346" width="9.25" style="109" customWidth="1"/>
    <col min="14347" max="14591" width="9" style="109"/>
    <col min="14592" max="14592" width="6.5" style="109" customWidth="1"/>
    <col min="14593" max="14593" width="29.125" style="109" customWidth="1"/>
    <col min="14594" max="14594" width="7.75" style="109" customWidth="1"/>
    <col min="14595" max="14595" width="8.25" style="109" customWidth="1"/>
    <col min="14596" max="14596" width="11.125" style="109" customWidth="1"/>
    <col min="14597" max="14597" width="9.875" style="109" customWidth="1"/>
    <col min="14598" max="14598" width="11.625" style="109" customWidth="1"/>
    <col min="14599" max="14599" width="6.125" style="109" customWidth="1"/>
    <col min="14600" max="14600" width="9" style="109" customWidth="1"/>
    <col min="14601" max="14601" width="9.875" style="109" customWidth="1"/>
    <col min="14602" max="14602" width="9.25" style="109" customWidth="1"/>
    <col min="14603" max="14847" width="9" style="109"/>
    <col min="14848" max="14848" width="6.5" style="109" customWidth="1"/>
    <col min="14849" max="14849" width="29.125" style="109" customWidth="1"/>
    <col min="14850" max="14850" width="7.75" style="109" customWidth="1"/>
    <col min="14851" max="14851" width="8.25" style="109" customWidth="1"/>
    <col min="14852" max="14852" width="11.125" style="109" customWidth="1"/>
    <col min="14853" max="14853" width="9.875" style="109" customWidth="1"/>
    <col min="14854" max="14854" width="11.625" style="109" customWidth="1"/>
    <col min="14855" max="14855" width="6.125" style="109" customWidth="1"/>
    <col min="14856" max="14856" width="9" style="109" customWidth="1"/>
    <col min="14857" max="14857" width="9.875" style="109" customWidth="1"/>
    <col min="14858" max="14858" width="9.25" style="109" customWidth="1"/>
    <col min="14859" max="15103" width="9" style="109"/>
    <col min="15104" max="15104" width="6.5" style="109" customWidth="1"/>
    <col min="15105" max="15105" width="29.125" style="109" customWidth="1"/>
    <col min="15106" max="15106" width="7.75" style="109" customWidth="1"/>
    <col min="15107" max="15107" width="8.25" style="109" customWidth="1"/>
    <col min="15108" max="15108" width="11.125" style="109" customWidth="1"/>
    <col min="15109" max="15109" width="9.875" style="109" customWidth="1"/>
    <col min="15110" max="15110" width="11.625" style="109" customWidth="1"/>
    <col min="15111" max="15111" width="6.125" style="109" customWidth="1"/>
    <col min="15112" max="15112" width="9" style="109" customWidth="1"/>
    <col min="15113" max="15113" width="9.875" style="109" customWidth="1"/>
    <col min="15114" max="15114" width="9.25" style="109" customWidth="1"/>
    <col min="15115" max="15359" width="9" style="109"/>
    <col min="15360" max="15360" width="6.5" style="109" customWidth="1"/>
    <col min="15361" max="15361" width="29.125" style="109" customWidth="1"/>
    <col min="15362" max="15362" width="7.75" style="109" customWidth="1"/>
    <col min="15363" max="15363" width="8.25" style="109" customWidth="1"/>
    <col min="15364" max="15364" width="11.125" style="109" customWidth="1"/>
    <col min="15365" max="15365" width="9.875" style="109" customWidth="1"/>
    <col min="15366" max="15366" width="11.625" style="109" customWidth="1"/>
    <col min="15367" max="15367" width="6.125" style="109" customWidth="1"/>
    <col min="15368" max="15368" width="9" style="109" customWidth="1"/>
    <col min="15369" max="15369" width="9.875" style="109" customWidth="1"/>
    <col min="15370" max="15370" width="9.25" style="109" customWidth="1"/>
    <col min="15371" max="15615" width="9" style="109"/>
    <col min="15616" max="15616" width="6.5" style="109" customWidth="1"/>
    <col min="15617" max="15617" width="29.125" style="109" customWidth="1"/>
    <col min="15618" max="15618" width="7.75" style="109" customWidth="1"/>
    <col min="15619" max="15619" width="8.25" style="109" customWidth="1"/>
    <col min="15620" max="15620" width="11.125" style="109" customWidth="1"/>
    <col min="15621" max="15621" width="9.875" style="109" customWidth="1"/>
    <col min="15622" max="15622" width="11.625" style="109" customWidth="1"/>
    <col min="15623" max="15623" width="6.125" style="109" customWidth="1"/>
    <col min="15624" max="15624" width="9" style="109" customWidth="1"/>
    <col min="15625" max="15625" width="9.875" style="109" customWidth="1"/>
    <col min="15626" max="15626" width="9.25" style="109" customWidth="1"/>
    <col min="15627" max="15871" width="9" style="109"/>
    <col min="15872" max="15872" width="6.5" style="109" customWidth="1"/>
    <col min="15873" max="15873" width="29.125" style="109" customWidth="1"/>
    <col min="15874" max="15874" width="7.75" style="109" customWidth="1"/>
    <col min="15875" max="15875" width="8.25" style="109" customWidth="1"/>
    <col min="15876" max="15876" width="11.125" style="109" customWidth="1"/>
    <col min="15877" max="15877" width="9.875" style="109" customWidth="1"/>
    <col min="15878" max="15878" width="11.625" style="109" customWidth="1"/>
    <col min="15879" max="15879" width="6.125" style="109" customWidth="1"/>
    <col min="15880" max="15880" width="9" style="109" customWidth="1"/>
    <col min="15881" max="15881" width="9.875" style="109" customWidth="1"/>
    <col min="15882" max="15882" width="9.25" style="109" customWidth="1"/>
    <col min="15883" max="16127" width="9" style="109"/>
    <col min="16128" max="16128" width="6.5" style="109" customWidth="1"/>
    <col min="16129" max="16129" width="29.125" style="109" customWidth="1"/>
    <col min="16130" max="16130" width="7.75" style="109" customWidth="1"/>
    <col min="16131" max="16131" width="8.25" style="109" customWidth="1"/>
    <col min="16132" max="16132" width="11.125" style="109" customWidth="1"/>
    <col min="16133" max="16133" width="9.875" style="109" customWidth="1"/>
    <col min="16134" max="16134" width="11.625" style="109" customWidth="1"/>
    <col min="16135" max="16135" width="6.125" style="109" customWidth="1"/>
    <col min="16136" max="16136" width="9" style="109" customWidth="1"/>
    <col min="16137" max="16137" width="9.875" style="109" customWidth="1"/>
    <col min="16138" max="16138" width="9.25" style="109" customWidth="1"/>
    <col min="16139" max="16384" width="9" style="109"/>
  </cols>
  <sheetData>
    <row r="1" ht="24.75" customHeight="1" spans="1:11">
      <c r="A1" s="115" t="s">
        <v>0</v>
      </c>
      <c r="B1" s="116"/>
      <c r="C1" s="116"/>
      <c r="D1" s="116"/>
      <c r="E1" s="116"/>
      <c r="F1" s="116"/>
      <c r="G1" s="116"/>
      <c r="H1" s="116"/>
      <c r="I1" s="116"/>
      <c r="J1" s="116"/>
      <c r="K1" s="116"/>
    </row>
    <row r="2" s="106" customFormat="1" ht="19.5" customHeight="1" spans="1:17">
      <c r="A2" s="117" t="s">
        <v>1</v>
      </c>
      <c r="B2" s="117"/>
      <c r="C2" s="117"/>
      <c r="D2" s="117"/>
      <c r="E2" s="117"/>
      <c r="F2" s="117"/>
      <c r="G2" s="117"/>
      <c r="H2" s="117"/>
      <c r="I2" s="117"/>
      <c r="J2" s="117"/>
      <c r="K2" s="117"/>
      <c r="N2" s="143"/>
      <c r="O2" s="144"/>
      <c r="Q2" s="158"/>
    </row>
    <row r="3" s="106" customFormat="1" ht="15" customHeight="1" spans="1:17">
      <c r="A3" s="118" t="s">
        <v>2</v>
      </c>
      <c r="B3" s="119" t="s">
        <v>3</v>
      </c>
      <c r="C3" s="119" t="s">
        <v>4</v>
      </c>
      <c r="D3" s="119"/>
      <c r="E3" s="119"/>
      <c r="F3" s="119"/>
      <c r="G3" s="119"/>
      <c r="H3" s="119" t="s">
        <v>5</v>
      </c>
      <c r="I3" s="119"/>
      <c r="J3" s="119"/>
      <c r="K3" s="120" t="s">
        <v>6</v>
      </c>
      <c r="N3" s="145"/>
      <c r="O3" s="144"/>
      <c r="Q3" s="158"/>
    </row>
    <row r="4" s="106" customFormat="1" ht="12" customHeight="1" spans="1:17">
      <c r="A4" s="118"/>
      <c r="B4" s="119"/>
      <c r="C4" s="120" t="s">
        <v>7</v>
      </c>
      <c r="D4" s="120" t="s">
        <v>8</v>
      </c>
      <c r="E4" s="120" t="s">
        <v>9</v>
      </c>
      <c r="F4" s="120" t="s">
        <v>10</v>
      </c>
      <c r="G4" s="121" t="s">
        <v>11</v>
      </c>
      <c r="H4" s="119" t="s">
        <v>12</v>
      </c>
      <c r="I4" s="119" t="s">
        <v>13</v>
      </c>
      <c r="J4" s="119" t="s">
        <v>14</v>
      </c>
      <c r="K4" s="119"/>
      <c r="N4" s="145"/>
      <c r="O4" s="144"/>
      <c r="Q4" s="158"/>
    </row>
    <row r="5" s="107" customFormat="1" ht="18" customHeight="1" spans="1:17">
      <c r="A5" s="122"/>
      <c r="B5" s="123" t="s">
        <v>15</v>
      </c>
      <c r="C5" s="124">
        <f>C8</f>
        <v>577.9634942</v>
      </c>
      <c r="D5" s="124">
        <f>SUM(D8,D29,D43,D46,D47)</f>
        <v>0</v>
      </c>
      <c r="E5" s="124">
        <f>E8</f>
        <v>3747.738755465</v>
      </c>
      <c r="F5" s="124">
        <f>F29+F43</f>
        <v>502.407577889791</v>
      </c>
      <c r="G5" s="125">
        <f>C5+D5+E5+F5-0.01</f>
        <v>4828.09982755479</v>
      </c>
      <c r="H5" s="126"/>
      <c r="I5" s="126"/>
      <c r="J5" s="146"/>
      <c r="K5" s="147">
        <f>G5/G$5</f>
        <v>1</v>
      </c>
      <c r="N5" s="148"/>
      <c r="O5" s="149"/>
      <c r="Q5" s="159"/>
    </row>
    <row r="6" ht="18" hidden="1" customHeight="1" spans="1:14">
      <c r="A6" s="127"/>
      <c r="B6" s="123" t="s">
        <v>16</v>
      </c>
      <c r="C6" s="124">
        <f>SUM(C8,C29,C43)</f>
        <v>577.9634942</v>
      </c>
      <c r="D6" s="124">
        <f>SUM(D8,D29,D43)</f>
        <v>0</v>
      </c>
      <c r="E6" s="124">
        <f>SUM(E8,E29,E43)</f>
        <v>3747.738755465</v>
      </c>
      <c r="F6" s="124">
        <f>SUM(F8,F29,F43)</f>
        <v>502.407577889791</v>
      </c>
      <c r="G6" s="125">
        <f>SUM(C6:F6)</f>
        <v>4828.10982755479</v>
      </c>
      <c r="H6" s="119"/>
      <c r="I6" s="119"/>
      <c r="J6" s="150"/>
      <c r="K6" s="151">
        <f>G6/G$5</f>
        <v>1.00000207120821</v>
      </c>
      <c r="N6" s="148"/>
    </row>
    <row r="7" ht="18" hidden="1" customHeight="1" spans="1:14">
      <c r="A7" s="127"/>
      <c r="B7" s="123"/>
      <c r="C7" s="124"/>
      <c r="D7" s="124"/>
      <c r="E7" s="124"/>
      <c r="F7" s="124"/>
      <c r="G7" s="124"/>
      <c r="H7" s="119"/>
      <c r="I7" s="119"/>
      <c r="J7" s="150"/>
      <c r="K7" s="151"/>
      <c r="N7" s="148"/>
    </row>
    <row r="8" s="107" customFormat="1" ht="18" customHeight="1" spans="1:17">
      <c r="A8" s="122" t="s">
        <v>17</v>
      </c>
      <c r="B8" s="123" t="s">
        <v>18</v>
      </c>
      <c r="C8" s="124">
        <f>C9+C16+C22</f>
        <v>577.9634942</v>
      </c>
      <c r="D8" s="124">
        <f>SUM(D9,D16,D22)</f>
        <v>0</v>
      </c>
      <c r="E8" s="124">
        <f>E9+E16+E22</f>
        <v>3747.738755465</v>
      </c>
      <c r="F8" s="124">
        <f>SUM(F9,F16,F22)</f>
        <v>0</v>
      </c>
      <c r="G8" s="124">
        <f>SUM(G9,G16,G22)</f>
        <v>4325.702249665</v>
      </c>
      <c r="H8" s="119"/>
      <c r="I8" s="150"/>
      <c r="J8" s="128"/>
      <c r="K8" s="147">
        <f>G8/G$5</f>
        <v>0.895943001214987</v>
      </c>
      <c r="N8" s="148"/>
      <c r="O8" s="149"/>
      <c r="Q8" s="159"/>
    </row>
    <row r="9" s="107" customFormat="1" ht="18" customHeight="1" spans="1:17">
      <c r="A9" s="122" t="s">
        <v>19</v>
      </c>
      <c r="B9" s="123" t="s">
        <v>20</v>
      </c>
      <c r="C9" s="124">
        <f>SUM(C10:C15)</f>
        <v>0</v>
      </c>
      <c r="D9" s="124">
        <f>SUM(D10:D15)</f>
        <v>0</v>
      </c>
      <c r="E9" s="124">
        <f>SUM(E10:E15)</f>
        <v>1546.449089465</v>
      </c>
      <c r="F9" s="124">
        <f>SUM(F10:F15)</f>
        <v>0</v>
      </c>
      <c r="G9" s="125">
        <f>SUM(C9:F9)</f>
        <v>1546.449089465</v>
      </c>
      <c r="H9" s="128" t="s">
        <v>21</v>
      </c>
      <c r="I9" s="150">
        <f>SUM(I10:I15)</f>
        <v>49190</v>
      </c>
      <c r="J9" s="128">
        <f>G9/I9*10000</f>
        <v>314.382819570035</v>
      </c>
      <c r="K9" s="147"/>
      <c r="N9" s="148"/>
      <c r="O9" s="149"/>
      <c r="Q9" s="159"/>
    </row>
    <row r="10" s="107" customFormat="1" ht="15.75" spans="1:17">
      <c r="A10" s="127" t="s">
        <v>22</v>
      </c>
      <c r="B10" s="129" t="s">
        <v>23</v>
      </c>
      <c r="C10" s="128"/>
      <c r="D10" s="128"/>
      <c r="E10" s="128">
        <f>'2024燃气概算'!H59/10000</f>
        <v>245.074900405</v>
      </c>
      <c r="F10" s="128"/>
      <c r="G10" s="128">
        <f t="shared" ref="G10:G36" si="0">SUM(C10:F10)</f>
        <v>245.074900405</v>
      </c>
      <c r="H10" s="128" t="s">
        <v>21</v>
      </c>
      <c r="I10" s="150">
        <v>7729</v>
      </c>
      <c r="J10" s="128">
        <f t="shared" ref="J10:J28" si="1">G10/I10*10000</f>
        <v>317.084875669556</v>
      </c>
      <c r="K10" s="151"/>
      <c r="N10" s="148"/>
      <c r="O10" s="149"/>
      <c r="Q10" s="159"/>
    </row>
    <row r="11" s="107" customFormat="1" ht="18" customHeight="1" spans="1:17">
      <c r="A11" s="127" t="s">
        <v>24</v>
      </c>
      <c r="B11" s="130" t="s">
        <v>25</v>
      </c>
      <c r="C11" s="128"/>
      <c r="D11" s="128"/>
      <c r="E11" s="128">
        <f>'2024燃气概算'!H121/10000</f>
        <v>109.606300105</v>
      </c>
      <c r="F11" s="128"/>
      <c r="G11" s="128">
        <f t="shared" si="0"/>
        <v>109.606300105</v>
      </c>
      <c r="H11" s="128" t="s">
        <v>21</v>
      </c>
      <c r="I11" s="150">
        <v>3602</v>
      </c>
      <c r="J11" s="128">
        <f t="shared" si="1"/>
        <v>304.292893128817</v>
      </c>
      <c r="K11" s="151"/>
      <c r="N11" s="148"/>
      <c r="O11" s="149"/>
      <c r="Q11" s="159"/>
    </row>
    <row r="12" s="107" customFormat="1" ht="18" customHeight="1" spans="1:17">
      <c r="A12" s="127" t="s">
        <v>26</v>
      </c>
      <c r="B12" s="130" t="s">
        <v>27</v>
      </c>
      <c r="C12" s="128"/>
      <c r="D12" s="128"/>
      <c r="E12" s="128">
        <f>'2024燃气概算'!H198/10000</f>
        <v>488.31638072</v>
      </c>
      <c r="F12" s="128"/>
      <c r="G12" s="128">
        <f t="shared" si="0"/>
        <v>488.31638072</v>
      </c>
      <c r="H12" s="128" t="s">
        <v>21</v>
      </c>
      <c r="I12" s="150">
        <v>15475</v>
      </c>
      <c r="J12" s="128">
        <f t="shared" si="1"/>
        <v>315.551780756058</v>
      </c>
      <c r="K12" s="151"/>
      <c r="N12" s="148"/>
      <c r="O12" s="149"/>
      <c r="Q12" s="159"/>
    </row>
    <row r="13" s="107" customFormat="1" ht="18" customHeight="1" spans="1:17">
      <c r="A13" s="127" t="s">
        <v>28</v>
      </c>
      <c r="B13" s="130" t="s">
        <v>29</v>
      </c>
      <c r="C13" s="128"/>
      <c r="D13" s="128"/>
      <c r="E13" s="128">
        <f>'2024燃气概算'!H261/10000</f>
        <v>263.569739715</v>
      </c>
      <c r="F13" s="128"/>
      <c r="G13" s="128">
        <f t="shared" si="0"/>
        <v>263.569739715</v>
      </c>
      <c r="H13" s="128" t="s">
        <v>21</v>
      </c>
      <c r="I13" s="150">
        <v>7975</v>
      </c>
      <c r="J13" s="128">
        <f t="shared" si="1"/>
        <v>330.494971429467</v>
      </c>
      <c r="K13" s="151"/>
      <c r="N13" s="148"/>
      <c r="O13" s="149"/>
      <c r="Q13" s="159"/>
    </row>
    <row r="14" s="107" customFormat="1" ht="17.25" customHeight="1" spans="1:17">
      <c r="A14" s="127" t="s">
        <v>30</v>
      </c>
      <c r="B14" s="130" t="s">
        <v>31</v>
      </c>
      <c r="C14" s="128"/>
      <c r="D14" s="128"/>
      <c r="E14" s="128">
        <f>'2024燃气概算'!H316/10000</f>
        <v>89.041302105</v>
      </c>
      <c r="F14" s="128"/>
      <c r="G14" s="128">
        <f t="shared" si="0"/>
        <v>89.041302105</v>
      </c>
      <c r="H14" s="128" t="s">
        <v>21</v>
      </c>
      <c r="I14" s="150">
        <v>3266</v>
      </c>
      <c r="J14" s="128">
        <f t="shared" si="1"/>
        <v>272.631053597673</v>
      </c>
      <c r="K14" s="151"/>
      <c r="N14" s="148"/>
      <c r="O14" s="149"/>
      <c r="Q14" s="159"/>
    </row>
    <row r="15" s="107" customFormat="1" ht="18" customHeight="1" spans="1:17">
      <c r="A15" s="127" t="s">
        <v>32</v>
      </c>
      <c r="B15" s="130" t="s">
        <v>33</v>
      </c>
      <c r="C15" s="128"/>
      <c r="D15" s="128"/>
      <c r="E15" s="128">
        <f>'2024燃气概算'!H391/10000</f>
        <v>350.840466415</v>
      </c>
      <c r="F15" s="128"/>
      <c r="G15" s="128">
        <f t="shared" si="0"/>
        <v>350.840466415</v>
      </c>
      <c r="H15" s="128" t="s">
        <v>21</v>
      </c>
      <c r="I15" s="150">
        <v>11143</v>
      </c>
      <c r="J15" s="128">
        <f t="shared" si="1"/>
        <v>314.852792259715</v>
      </c>
      <c r="K15" s="151"/>
      <c r="N15" s="148"/>
      <c r="O15" s="149"/>
      <c r="Q15" s="159"/>
    </row>
    <row r="16" s="107" customFormat="1" ht="18" customHeight="1" spans="1:17">
      <c r="A16" s="122" t="s">
        <v>34</v>
      </c>
      <c r="B16" s="123" t="s">
        <v>35</v>
      </c>
      <c r="C16" s="124">
        <f>SUM(C17:C21)</f>
        <v>467.0584802</v>
      </c>
      <c r="D16" s="124">
        <f>SUM(D17:D21)</f>
        <v>0</v>
      </c>
      <c r="E16" s="124">
        <f>SUM(E17:E21)</f>
        <v>1487.701217</v>
      </c>
      <c r="F16" s="124">
        <f>SUM(F17:F21)</f>
        <v>0</v>
      </c>
      <c r="G16" s="125">
        <f t="shared" si="0"/>
        <v>1954.7596972</v>
      </c>
      <c r="H16" s="128" t="s">
        <v>21</v>
      </c>
      <c r="I16" s="150">
        <f>SUM(I17:I21)</f>
        <v>29368</v>
      </c>
      <c r="J16" s="128">
        <f t="shared" si="1"/>
        <v>665.608722827567</v>
      </c>
      <c r="K16" s="147"/>
      <c r="N16" s="148"/>
      <c r="O16" s="149"/>
      <c r="Q16" s="159"/>
    </row>
    <row r="17" s="107" customFormat="1" ht="20.25" customHeight="1" spans="1:17">
      <c r="A17" s="127" t="s">
        <v>22</v>
      </c>
      <c r="B17" s="129" t="s">
        <v>25</v>
      </c>
      <c r="C17" s="128">
        <f>'2024供热概算'!G53/10000</f>
        <v>83.083424</v>
      </c>
      <c r="D17" s="128"/>
      <c r="E17" s="128">
        <f>'2024供热概算'!G49/10000</f>
        <v>193.81453</v>
      </c>
      <c r="F17" s="128"/>
      <c r="G17" s="128">
        <f t="shared" si="0"/>
        <v>276.897954</v>
      </c>
      <c r="H17" s="128" t="s">
        <v>21</v>
      </c>
      <c r="I17" s="150">
        <v>4494</v>
      </c>
      <c r="J17" s="128">
        <f t="shared" si="1"/>
        <v>616.150320427236</v>
      </c>
      <c r="K17" s="151"/>
      <c r="N17" s="148"/>
      <c r="O17" s="149"/>
      <c r="Q17" s="159"/>
    </row>
    <row r="18" s="107" customFormat="1" ht="18" customHeight="1" spans="1:17">
      <c r="A18" s="127" t="s">
        <v>24</v>
      </c>
      <c r="B18" s="130" t="s">
        <v>27</v>
      </c>
      <c r="C18" s="128">
        <f>'2024供热概算'!G104/10000</f>
        <v>144.1748162</v>
      </c>
      <c r="D18" s="124"/>
      <c r="E18" s="128">
        <f>'2024供热概算'!G100/10000</f>
        <v>419.251353</v>
      </c>
      <c r="F18" s="124"/>
      <c r="G18" s="128">
        <f t="shared" si="0"/>
        <v>563.4261692</v>
      </c>
      <c r="H18" s="128" t="s">
        <v>21</v>
      </c>
      <c r="I18" s="150">
        <v>9074</v>
      </c>
      <c r="J18" s="128">
        <f t="shared" si="1"/>
        <v>620.92370420983</v>
      </c>
      <c r="K18" s="147"/>
      <c r="N18" s="148"/>
      <c r="O18" s="149"/>
      <c r="Q18" s="159"/>
    </row>
    <row r="19" s="107" customFormat="1" ht="18" customHeight="1" spans="1:17">
      <c r="A19" s="127" t="s">
        <v>26</v>
      </c>
      <c r="B19" s="130" t="s">
        <v>33</v>
      </c>
      <c r="C19" s="128">
        <f>'2024供热概算'!G165/10000</f>
        <v>71.563036</v>
      </c>
      <c r="D19" s="128"/>
      <c r="E19" s="128">
        <f>'2024供热概算'!G161/10000</f>
        <v>165.419735</v>
      </c>
      <c r="F19" s="128"/>
      <c r="G19" s="128">
        <f t="shared" si="0"/>
        <v>236.982771</v>
      </c>
      <c r="H19" s="128" t="s">
        <v>21</v>
      </c>
      <c r="I19" s="150">
        <v>3974</v>
      </c>
      <c r="J19" s="128">
        <f t="shared" si="1"/>
        <v>596.333092601912</v>
      </c>
      <c r="K19" s="151"/>
      <c r="N19" s="148"/>
      <c r="O19" s="149"/>
      <c r="Q19" s="159"/>
    </row>
    <row r="20" s="107" customFormat="1" ht="18" customHeight="1" spans="1:17">
      <c r="A20" s="127" t="s">
        <v>28</v>
      </c>
      <c r="B20" s="130" t="s">
        <v>29</v>
      </c>
      <c r="C20" s="128">
        <f>'2024供热概算'!G196/10000</f>
        <v>84.23654</v>
      </c>
      <c r="D20" s="128"/>
      <c r="E20" s="128">
        <f>'2024供热概算'!G192/10000</f>
        <v>476.493788</v>
      </c>
      <c r="F20" s="128"/>
      <c r="G20" s="128">
        <f t="shared" si="0"/>
        <v>560.730328</v>
      </c>
      <c r="H20" s="128" t="s">
        <v>21</v>
      </c>
      <c r="I20" s="150">
        <v>6718</v>
      </c>
      <c r="J20" s="128">
        <f t="shared" si="1"/>
        <v>834.668544209586</v>
      </c>
      <c r="K20" s="151"/>
      <c r="N20" s="148"/>
      <c r="O20" s="149"/>
      <c r="Q20" s="159"/>
    </row>
    <row r="21" s="107" customFormat="1" ht="18" customHeight="1" spans="1:17">
      <c r="A21" s="127" t="s">
        <v>30</v>
      </c>
      <c r="B21" s="130" t="s">
        <v>31</v>
      </c>
      <c r="C21" s="128">
        <f>'2024供热概算'!G247/10000</f>
        <v>84.000664</v>
      </c>
      <c r="D21" s="128"/>
      <c r="E21" s="128">
        <f>'2024供热概算'!G243/10000</f>
        <v>232.721811</v>
      </c>
      <c r="F21" s="128"/>
      <c r="G21" s="128">
        <f t="shared" si="0"/>
        <v>316.722475</v>
      </c>
      <c r="H21" s="128" t="s">
        <v>21</v>
      </c>
      <c r="I21" s="150">
        <v>5108</v>
      </c>
      <c r="J21" s="128">
        <f t="shared" si="1"/>
        <v>620.05183046202</v>
      </c>
      <c r="K21" s="151"/>
      <c r="N21" s="148"/>
      <c r="O21" s="149"/>
      <c r="Q21" s="159"/>
    </row>
    <row r="22" s="107" customFormat="1" ht="18" customHeight="1" spans="1:17">
      <c r="A22" s="122" t="s">
        <v>36</v>
      </c>
      <c r="B22" s="123" t="s">
        <v>37</v>
      </c>
      <c r="C22" s="124">
        <f>SUM(C23:C28)</f>
        <v>110.905014</v>
      </c>
      <c r="D22" s="124">
        <f t="shared" ref="D22:F22" si="2">SUM(D23:D28)</f>
        <v>0</v>
      </c>
      <c r="E22" s="124">
        <f t="shared" si="2"/>
        <v>713.588449</v>
      </c>
      <c r="F22" s="124">
        <f t="shared" si="2"/>
        <v>0</v>
      </c>
      <c r="G22" s="125">
        <f t="shared" si="0"/>
        <v>824.493463</v>
      </c>
      <c r="H22" s="128" t="s">
        <v>21</v>
      </c>
      <c r="I22" s="150">
        <f>SUM(I23:I28)</f>
        <v>13022</v>
      </c>
      <c r="J22" s="128">
        <f t="shared" si="1"/>
        <v>633.154248963293</v>
      </c>
      <c r="K22" s="147"/>
      <c r="N22" s="148"/>
      <c r="O22" s="149"/>
      <c r="Q22" s="159"/>
    </row>
    <row r="23" s="107" customFormat="1" ht="18" customHeight="1" spans="1:17">
      <c r="A23" s="127" t="s">
        <v>22</v>
      </c>
      <c r="B23" s="130" t="s">
        <v>23</v>
      </c>
      <c r="C23" s="128">
        <f>'2024给水概算'!H85/10000</f>
        <v>21.142189</v>
      </c>
      <c r="D23" s="128"/>
      <c r="E23" s="128">
        <f>('2024给水概算'!H86-'2024给水概算'!H85)/10000</f>
        <v>136.6307</v>
      </c>
      <c r="F23" s="128"/>
      <c r="G23" s="128">
        <f t="shared" si="0"/>
        <v>157.772889</v>
      </c>
      <c r="H23" s="128" t="s">
        <v>21</v>
      </c>
      <c r="I23" s="150">
        <v>2399</v>
      </c>
      <c r="J23" s="128">
        <f t="shared" si="1"/>
        <v>657.661062942893</v>
      </c>
      <c r="K23" s="151"/>
      <c r="N23" s="148"/>
      <c r="O23" s="149"/>
      <c r="Q23" s="159"/>
    </row>
    <row r="24" s="107" customFormat="1" ht="18" customHeight="1" spans="1:17">
      <c r="A24" s="127" t="s">
        <v>24</v>
      </c>
      <c r="B24" s="130" t="s">
        <v>25</v>
      </c>
      <c r="C24" s="128">
        <f>'2024给水概算'!H147/10000</f>
        <v>35.257</v>
      </c>
      <c r="D24" s="128"/>
      <c r="E24" s="128">
        <f>('2024给水概算'!H148-'2024给水概算'!H147)/10000</f>
        <v>105.153272</v>
      </c>
      <c r="F24" s="128"/>
      <c r="G24" s="128">
        <f t="shared" si="0"/>
        <v>140.410272</v>
      </c>
      <c r="H24" s="128" t="s">
        <v>21</v>
      </c>
      <c r="I24" s="150">
        <v>3167</v>
      </c>
      <c r="J24" s="128">
        <f t="shared" si="1"/>
        <v>443.354190085254</v>
      </c>
      <c r="K24" s="151"/>
      <c r="N24" s="152"/>
      <c r="O24" s="149"/>
      <c r="Q24" s="159"/>
    </row>
    <row r="25" s="107" customFormat="1" ht="18" customHeight="1" spans="1:17">
      <c r="A25" s="127" t="s">
        <v>26</v>
      </c>
      <c r="B25" s="131" t="s">
        <v>38</v>
      </c>
      <c r="C25" s="124"/>
      <c r="D25" s="124"/>
      <c r="E25" s="128">
        <f>'2024给水概算'!H155/10000</f>
        <v>27.8635</v>
      </c>
      <c r="F25" s="124"/>
      <c r="G25" s="128">
        <f t="shared" si="0"/>
        <v>27.8635</v>
      </c>
      <c r="H25" s="128"/>
      <c r="I25" s="150"/>
      <c r="J25" s="128"/>
      <c r="K25" s="147"/>
      <c r="N25" s="148"/>
      <c r="O25" s="149"/>
      <c r="Q25" s="159"/>
    </row>
    <row r="26" s="107" customFormat="1" ht="18" customHeight="1" spans="1:17">
      <c r="A26" s="127" t="s">
        <v>28</v>
      </c>
      <c r="B26" s="130" t="s">
        <v>39</v>
      </c>
      <c r="C26" s="128">
        <f>'2024给水概算'!H242/10000</f>
        <v>24.82435</v>
      </c>
      <c r="D26" s="128"/>
      <c r="E26" s="128">
        <f>('2024给水概算'!H248-'2024给水概算'!H242)/10000</f>
        <v>237.496967</v>
      </c>
      <c r="F26" s="128"/>
      <c r="G26" s="128">
        <f t="shared" si="0"/>
        <v>262.321317</v>
      </c>
      <c r="H26" s="128" t="s">
        <v>21</v>
      </c>
      <c r="I26" s="150">
        <v>2417</v>
      </c>
      <c r="J26" s="128">
        <f t="shared" si="1"/>
        <v>1085.31781961109</v>
      </c>
      <c r="K26" s="151"/>
      <c r="N26" s="148"/>
      <c r="O26" s="149"/>
      <c r="Q26" s="159"/>
    </row>
    <row r="27" s="107" customFormat="1" ht="18" customHeight="1" spans="1:17">
      <c r="A27" s="127" t="s">
        <v>30</v>
      </c>
      <c r="B27" s="131" t="s">
        <v>29</v>
      </c>
      <c r="C27" s="124">
        <f>'2024给水概算'!H328/10000</f>
        <v>11.019475</v>
      </c>
      <c r="D27" s="124"/>
      <c r="E27" s="128">
        <f>('2024给水概算'!H329-'2024给水概算'!H328)/10000</f>
        <v>86.86773</v>
      </c>
      <c r="F27" s="124"/>
      <c r="G27" s="128">
        <f t="shared" si="0"/>
        <v>97.887205</v>
      </c>
      <c r="H27" s="128" t="s">
        <v>21</v>
      </c>
      <c r="I27" s="150">
        <v>2184</v>
      </c>
      <c r="J27" s="128">
        <f t="shared" si="1"/>
        <v>448.201488095238</v>
      </c>
      <c r="K27" s="147"/>
      <c r="N27" s="148"/>
      <c r="O27" s="149"/>
      <c r="Q27" s="159"/>
    </row>
    <row r="28" s="107" customFormat="1" ht="20.25" customHeight="1" spans="1:17">
      <c r="A28" s="127" t="s">
        <v>32</v>
      </c>
      <c r="B28" s="129" t="s">
        <v>40</v>
      </c>
      <c r="C28" s="128">
        <f>'2024给水概算'!H434/10000</f>
        <v>18.662</v>
      </c>
      <c r="D28" s="128"/>
      <c r="E28" s="128">
        <f>('2024给水概算'!H435-'2024给水概算'!H434)/10000</f>
        <v>119.57628</v>
      </c>
      <c r="F28" s="128"/>
      <c r="G28" s="128">
        <f t="shared" si="0"/>
        <v>138.23828</v>
      </c>
      <c r="H28" s="128" t="s">
        <v>21</v>
      </c>
      <c r="I28" s="150">
        <v>2855</v>
      </c>
      <c r="J28" s="128">
        <f t="shared" si="1"/>
        <v>484.197127845884</v>
      </c>
      <c r="K28" s="151"/>
      <c r="N28" s="152"/>
      <c r="O28" s="149"/>
      <c r="Q28" s="159"/>
    </row>
    <row r="29" s="107" customFormat="1" ht="18" customHeight="1" spans="1:17">
      <c r="A29" s="122" t="s">
        <v>41</v>
      </c>
      <c r="B29" s="123" t="s">
        <v>42</v>
      </c>
      <c r="C29" s="124"/>
      <c r="D29" s="124"/>
      <c r="E29" s="124"/>
      <c r="F29" s="124">
        <f>SUM(F30:F42)</f>
        <v>361.783019805671</v>
      </c>
      <c r="G29" s="124">
        <f t="shared" si="0"/>
        <v>361.783019805671</v>
      </c>
      <c r="H29" s="126"/>
      <c r="I29" s="126"/>
      <c r="J29" s="124"/>
      <c r="K29" s="147">
        <f>G29/G$5</f>
        <v>0.074932796074537</v>
      </c>
      <c r="N29" s="148"/>
      <c r="O29" s="149"/>
      <c r="Q29" s="159"/>
    </row>
    <row r="30" s="107" customFormat="1" ht="18" customHeight="1" spans="1:17">
      <c r="A30" s="127">
        <v>1</v>
      </c>
      <c r="B30" s="131" t="s">
        <v>43</v>
      </c>
      <c r="C30" s="128"/>
      <c r="D30" s="128"/>
      <c r="E30" s="128"/>
      <c r="F30" s="128">
        <f>G8*I30</f>
        <v>43.25702249665</v>
      </c>
      <c r="G30" s="128">
        <f t="shared" si="0"/>
        <v>43.25702249665</v>
      </c>
      <c r="H30" s="119"/>
      <c r="I30" s="151">
        <v>0.01</v>
      </c>
      <c r="J30" s="119"/>
      <c r="K30" s="153"/>
      <c r="N30" s="112"/>
      <c r="O30" s="149"/>
      <c r="Q30" s="159"/>
    </row>
    <row r="31" ht="18" customHeight="1" spans="1:11">
      <c r="A31" s="127">
        <v>2</v>
      </c>
      <c r="B31" s="131" t="s">
        <v>44</v>
      </c>
      <c r="C31" s="128"/>
      <c r="D31" s="128"/>
      <c r="E31" s="119"/>
      <c r="F31" s="128">
        <f>G8*I31</f>
        <v>86.5140449933</v>
      </c>
      <c r="G31" s="128">
        <f t="shared" si="0"/>
        <v>86.5140449933</v>
      </c>
      <c r="H31" s="119"/>
      <c r="I31" s="151">
        <v>0.02</v>
      </c>
      <c r="J31" s="119"/>
      <c r="K31" s="153"/>
    </row>
    <row r="32" ht="18" customHeight="1" spans="1:11">
      <c r="A32" s="127">
        <v>3</v>
      </c>
      <c r="B32" s="131" t="s">
        <v>45</v>
      </c>
      <c r="C32" s="128"/>
      <c r="D32" s="128"/>
      <c r="E32" s="119"/>
      <c r="F32" s="128">
        <v>99.14</v>
      </c>
      <c r="G32" s="128">
        <f t="shared" si="0"/>
        <v>99.14</v>
      </c>
      <c r="H32" s="119"/>
      <c r="I32" s="151"/>
      <c r="J32" s="119"/>
      <c r="K32" s="153"/>
    </row>
    <row r="33" ht="18" customHeight="1" spans="1:11">
      <c r="A33" s="127">
        <v>4</v>
      </c>
      <c r="B33" s="131" t="s">
        <v>46</v>
      </c>
      <c r="C33" s="128"/>
      <c r="D33" s="128"/>
      <c r="E33" s="119"/>
      <c r="F33" s="128">
        <f>G8*I33</f>
        <v>8.65140449933</v>
      </c>
      <c r="G33" s="128">
        <f t="shared" si="0"/>
        <v>8.65140449933</v>
      </c>
      <c r="H33" s="119"/>
      <c r="I33" s="151">
        <v>0.002</v>
      </c>
      <c r="J33" s="119"/>
      <c r="K33" s="153"/>
    </row>
    <row r="34" ht="18" customHeight="1" spans="1:11">
      <c r="A34" s="127">
        <v>5</v>
      </c>
      <c r="B34" s="131" t="s">
        <v>47</v>
      </c>
      <c r="C34" s="128"/>
      <c r="D34" s="128"/>
      <c r="E34" s="119"/>
      <c r="F34" s="128">
        <f>G8*I34</f>
        <v>8.65140449933</v>
      </c>
      <c r="G34" s="128">
        <f t="shared" si="0"/>
        <v>8.65140449933</v>
      </c>
      <c r="H34" s="119"/>
      <c r="I34" s="151">
        <v>0.002</v>
      </c>
      <c r="J34" s="119"/>
      <c r="K34" s="153"/>
    </row>
    <row r="35" ht="18" customHeight="1" spans="1:11">
      <c r="A35" s="127">
        <v>6</v>
      </c>
      <c r="B35" s="131" t="s">
        <v>48</v>
      </c>
      <c r="C35" s="128"/>
      <c r="D35" s="128"/>
      <c r="E35" s="119"/>
      <c r="F35" s="128">
        <f>G8*I35</f>
        <v>18.6005196735595</v>
      </c>
      <c r="G35" s="128">
        <f t="shared" si="0"/>
        <v>18.6005196735595</v>
      </c>
      <c r="H35" s="119"/>
      <c r="I35" s="151">
        <v>0.0043</v>
      </c>
      <c r="J35" s="119"/>
      <c r="K35" s="153"/>
    </row>
    <row r="36" ht="18" customHeight="1" spans="1:11">
      <c r="A36" s="127">
        <v>7</v>
      </c>
      <c r="B36" s="131" t="s">
        <v>49</v>
      </c>
      <c r="C36" s="128"/>
      <c r="D36" s="128"/>
      <c r="E36" s="119"/>
      <c r="F36" s="128">
        <f>G8*I36</f>
        <v>8.65140449933</v>
      </c>
      <c r="G36" s="128">
        <f t="shared" si="0"/>
        <v>8.65140449933</v>
      </c>
      <c r="H36" s="119"/>
      <c r="I36" s="151">
        <v>0.002</v>
      </c>
      <c r="J36" s="119"/>
      <c r="K36" s="153"/>
    </row>
    <row r="37" ht="18" customHeight="1" spans="1:11">
      <c r="A37" s="127">
        <v>8</v>
      </c>
      <c r="B37" s="131" t="s">
        <v>50</v>
      </c>
      <c r="C37" s="128"/>
      <c r="D37" s="128"/>
      <c r="E37" s="119"/>
      <c r="F37" s="128">
        <f>G8*I37</f>
        <v>27.684494397856</v>
      </c>
      <c r="G37" s="128">
        <f t="shared" ref="G37:G44" si="3">SUM(C37:F37)</f>
        <v>27.684494397856</v>
      </c>
      <c r="H37" s="119"/>
      <c r="I37" s="151">
        <v>0.0064</v>
      </c>
      <c r="J37" s="119"/>
      <c r="K37" s="153"/>
    </row>
    <row r="38" ht="18" customHeight="1" spans="1:11">
      <c r="A38" s="127">
        <v>9</v>
      </c>
      <c r="B38" s="131" t="s">
        <v>51</v>
      </c>
      <c r="C38" s="128"/>
      <c r="D38" s="128"/>
      <c r="E38" s="119"/>
      <c r="F38" s="128">
        <f>G8*I38</f>
        <v>10.8142556241625</v>
      </c>
      <c r="G38" s="128">
        <f t="shared" si="3"/>
        <v>10.8142556241625</v>
      </c>
      <c r="H38" s="119"/>
      <c r="I38" s="151">
        <v>0.0025</v>
      </c>
      <c r="J38" s="119"/>
      <c r="K38" s="153"/>
    </row>
    <row r="39" ht="18" customHeight="1" spans="1:11">
      <c r="A39" s="127">
        <v>10</v>
      </c>
      <c r="B39" s="131" t="s">
        <v>52</v>
      </c>
      <c r="C39" s="128"/>
      <c r="D39" s="128"/>
      <c r="E39" s="119"/>
      <c r="F39" s="128">
        <f>G8*I39</f>
        <v>8.65140449933</v>
      </c>
      <c r="G39" s="128">
        <f t="shared" si="3"/>
        <v>8.65140449933</v>
      </c>
      <c r="H39" s="119"/>
      <c r="I39" s="151">
        <v>0.002</v>
      </c>
      <c r="J39" s="119"/>
      <c r="K39" s="153"/>
    </row>
    <row r="40" ht="18" customHeight="1" spans="1:11">
      <c r="A40" s="127">
        <v>11</v>
      </c>
      <c r="B40" s="131" t="s">
        <v>53</v>
      </c>
      <c r="C40" s="128"/>
      <c r="D40" s="128"/>
      <c r="E40" s="119"/>
      <c r="F40" s="132">
        <f>IF(G8&lt;=100,G8*1%,IF(G8&lt;=500,1+(G8-100)*0.7%,IF(G8&lt;=1000,1+2.8+(G8-500)*0.55%,IF(G8&lt;=5000,1+2.8+2.75+(G8-1000)*0.35%,IF(G8&lt;=10000,1+2.8+2.75+14+(G8-5000)*0.2%,IF(G8&lt;=100000,1+2.8+2.75+14+10+(G8-10000)*0.05%,1+2.8+2.75+14+10+45+(G8-100000)*0.01%))))))</f>
        <v>18.1899578738275</v>
      </c>
      <c r="G40" s="128">
        <f t="shared" si="3"/>
        <v>18.1899578738275</v>
      </c>
      <c r="H40" s="119"/>
      <c r="I40" s="154">
        <f>G40/G8</f>
        <v>0.00420508782712361</v>
      </c>
      <c r="J40" s="119"/>
      <c r="K40" s="153"/>
    </row>
    <row r="41" ht="17.25" customHeight="1" spans="1:11">
      <c r="A41" s="127">
        <v>12</v>
      </c>
      <c r="B41" s="133" t="s">
        <v>54</v>
      </c>
      <c r="C41" s="128"/>
      <c r="D41" s="128"/>
      <c r="E41" s="119"/>
      <c r="F41" s="128">
        <f>G8*I41</f>
        <v>12.977106748995</v>
      </c>
      <c r="G41" s="128">
        <f t="shared" si="3"/>
        <v>12.977106748995</v>
      </c>
      <c r="H41" s="119"/>
      <c r="I41" s="151">
        <v>0.003</v>
      </c>
      <c r="J41" s="119"/>
      <c r="K41" s="153"/>
    </row>
    <row r="42" ht="18" customHeight="1" spans="1:11">
      <c r="A42" s="127">
        <v>13</v>
      </c>
      <c r="B42" s="131" t="s">
        <v>55</v>
      </c>
      <c r="C42" s="128"/>
      <c r="D42" s="128"/>
      <c r="E42" s="119"/>
      <c r="F42" s="128">
        <v>10</v>
      </c>
      <c r="G42" s="128">
        <f t="shared" si="3"/>
        <v>10</v>
      </c>
      <c r="H42" s="119"/>
      <c r="I42" s="151"/>
      <c r="J42" s="119"/>
      <c r="K42" s="153"/>
    </row>
    <row r="43" ht="18" customHeight="1" spans="1:11">
      <c r="A43" s="122" t="s">
        <v>56</v>
      </c>
      <c r="B43" s="123" t="s">
        <v>57</v>
      </c>
      <c r="C43" s="124"/>
      <c r="D43" s="124"/>
      <c r="E43" s="124"/>
      <c r="F43" s="124">
        <f>SUM(F44:F44)</f>
        <v>140.62455808412</v>
      </c>
      <c r="G43" s="124">
        <f t="shared" si="3"/>
        <v>140.62455808412</v>
      </c>
      <c r="H43" s="126"/>
      <c r="I43" s="147"/>
      <c r="J43" s="124"/>
      <c r="K43" s="147">
        <f>G43/G$5</f>
        <v>0.0291262739186857</v>
      </c>
    </row>
    <row r="44" s="107" customFormat="1" ht="18" customHeight="1" spans="1:17">
      <c r="A44" s="127">
        <v>1</v>
      </c>
      <c r="B44" s="131" t="s">
        <v>58</v>
      </c>
      <c r="C44" s="128"/>
      <c r="D44" s="128"/>
      <c r="E44" s="128"/>
      <c r="F44" s="128">
        <f>(G8+G29)*I44</f>
        <v>140.62455808412</v>
      </c>
      <c r="G44" s="128">
        <f t="shared" si="3"/>
        <v>140.62455808412</v>
      </c>
      <c r="H44" s="119"/>
      <c r="I44" s="151">
        <v>0.03</v>
      </c>
      <c r="J44" s="119"/>
      <c r="K44" s="151"/>
      <c r="N44" s="112"/>
      <c r="O44" s="149"/>
      <c r="Q44" s="159"/>
    </row>
    <row r="45" ht="18" customHeight="1" spans="1:11">
      <c r="A45" s="127"/>
      <c r="B45" s="131"/>
      <c r="C45" s="128"/>
      <c r="D45" s="128"/>
      <c r="E45" s="128"/>
      <c r="F45" s="128"/>
      <c r="G45" s="128"/>
      <c r="H45" s="119"/>
      <c r="I45" s="155"/>
      <c r="J45" s="119"/>
      <c r="K45" s="151"/>
    </row>
    <row r="46" ht="18" hidden="1" customHeight="1" spans="1:11">
      <c r="A46" s="134" t="s">
        <v>59</v>
      </c>
      <c r="B46" s="135" t="s">
        <v>60</v>
      </c>
      <c r="C46" s="136"/>
      <c r="D46" s="136"/>
      <c r="E46" s="136"/>
      <c r="F46" s="136"/>
      <c r="G46" s="137">
        <f>SUM(C46:F46)</f>
        <v>0</v>
      </c>
      <c r="H46" s="138"/>
      <c r="I46" s="138"/>
      <c r="J46" s="136"/>
      <c r="K46" s="156">
        <f>G46/G$5</f>
        <v>0</v>
      </c>
    </row>
    <row r="47" s="107" customFormat="1" ht="18" hidden="1" customHeight="1" spans="1:17">
      <c r="A47" s="134" t="s">
        <v>61</v>
      </c>
      <c r="B47" s="135" t="s">
        <v>62</v>
      </c>
      <c r="C47" s="136"/>
      <c r="D47" s="136"/>
      <c r="E47" s="136"/>
      <c r="F47" s="136">
        <v>0</v>
      </c>
      <c r="G47" s="137">
        <f>SUM(C47:F47)</f>
        <v>0</v>
      </c>
      <c r="H47" s="138"/>
      <c r="I47" s="138"/>
      <c r="J47" s="136"/>
      <c r="K47" s="156">
        <f>G47/G$5</f>
        <v>0</v>
      </c>
      <c r="N47" s="112"/>
      <c r="O47" s="149"/>
      <c r="Q47" s="159"/>
    </row>
    <row r="48" s="107" customFormat="1" ht="18" hidden="1" customHeight="1" spans="1:17">
      <c r="A48" s="26"/>
      <c r="B48" s="139"/>
      <c r="C48" s="140"/>
      <c r="D48" s="140"/>
      <c r="E48" s="140"/>
      <c r="F48" s="140"/>
      <c r="G48" s="140"/>
      <c r="H48" s="141"/>
      <c r="I48" s="141"/>
      <c r="J48" s="141"/>
      <c r="K48" s="157"/>
      <c r="N48" s="112"/>
      <c r="O48" s="149"/>
      <c r="Q48" s="159"/>
    </row>
    <row r="49" ht="18" hidden="1" customHeight="1"/>
    <row r="54" customHeight="1" spans="2:2">
      <c r="B54" s="142"/>
    </row>
    <row r="55" customHeight="1" spans="2:2">
      <c r="B55" s="142"/>
    </row>
    <row r="56" customHeight="1" spans="2:2">
      <c r="B56" s="142"/>
    </row>
    <row r="57" customHeight="1" spans="2:2">
      <c r="B57" s="142"/>
    </row>
    <row r="58" customHeight="1" spans="2:2">
      <c r="B58" s="142"/>
    </row>
    <row r="59" customHeight="1" spans="2:2">
      <c r="B59" s="142"/>
    </row>
  </sheetData>
  <mergeCells count="7">
    <mergeCell ref="A1:K1"/>
    <mergeCell ref="A2:K2"/>
    <mergeCell ref="C3:G3"/>
    <mergeCell ref="H3:J3"/>
    <mergeCell ref="A3:A4"/>
    <mergeCell ref="B3:B4"/>
    <mergeCell ref="K3:K4"/>
  </mergeCells>
  <conditionalFormatting sqref="G9:G44 G3:G6 G49:G65548 G46:G47">
    <cfRule type="cellIs" dxfId="0" priority="2" stopIfTrue="1" operator="equal">
      <formula>0</formula>
    </cfRule>
  </conditionalFormatting>
  <printOptions horizontalCentered="1"/>
  <pageMargins left="0.748031496062992" right="0.748031496062992" top="0.984251968503937" bottom="0.984251968503937" header="0.511811023622047" footer="0.511811023622047"/>
  <pageSetup paperSize="9" firstPageNumber="3" orientation="landscape" useFirstPageNumber="1"/>
  <headerFooter alignWithMargins="0" scaleWithDoc="0">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O392"/>
  <sheetViews>
    <sheetView view="pageBreakPreview" zoomScaleNormal="100" workbookViewId="0">
      <pane ySplit="3" topLeftCell="A42" activePane="bottomLeft" state="frozen"/>
      <selection/>
      <selection pane="bottomLeft" activeCell="F48" sqref="F48"/>
    </sheetView>
  </sheetViews>
  <sheetFormatPr defaultColWidth="9" defaultRowHeight="24.95" customHeight="1"/>
  <cols>
    <col min="1" max="1" width="5.375" style="77" customWidth="1"/>
    <col min="2" max="2" width="27.125" style="78" customWidth="1"/>
    <col min="3" max="3" width="12.625" style="78" customWidth="1"/>
    <col min="4" max="4" width="12.5" style="78" customWidth="1"/>
    <col min="5" max="5" width="7" style="79" customWidth="1"/>
    <col min="6" max="6" width="9.125" style="80" customWidth="1"/>
    <col min="7" max="7" width="10.625" style="79" customWidth="1"/>
    <col min="8" max="8" width="9.125" style="79" customWidth="1"/>
    <col min="9" max="9" width="25.5" style="78" customWidth="1"/>
    <col min="10" max="10" width="25.5" style="78" hidden="1" customWidth="1"/>
    <col min="11" max="11" width="9" style="78" hidden="1" customWidth="1"/>
    <col min="12" max="12" width="31.625" style="78" hidden="1" customWidth="1"/>
    <col min="13" max="13" width="13.625" style="78" hidden="1" customWidth="1"/>
    <col min="14" max="14" width="10.75" style="81" hidden="1" customWidth="1"/>
    <col min="15" max="15" width="9" style="78" customWidth="1"/>
    <col min="16" max="16" width="17.375" style="78" customWidth="1"/>
    <col min="17" max="18" width="9" style="78"/>
    <col min="19" max="19" width="17.375" style="78" customWidth="1"/>
    <col min="20" max="16384" width="9" style="78"/>
  </cols>
  <sheetData>
    <row r="1" ht="20.25" customHeight="1" spans="1:15">
      <c r="A1" s="9" t="s">
        <v>63</v>
      </c>
      <c r="B1" s="9"/>
      <c r="C1" s="9"/>
      <c r="D1" s="9"/>
      <c r="E1" s="9"/>
      <c r="F1" s="9"/>
      <c r="G1" s="9"/>
      <c r="H1" s="9"/>
      <c r="I1" s="9"/>
      <c r="K1" s="93"/>
      <c r="L1" s="93"/>
      <c r="M1" s="93"/>
      <c r="N1" s="94"/>
      <c r="O1" s="93"/>
    </row>
    <row r="2" ht="18" customHeight="1" spans="1:15">
      <c r="A2" s="10" t="s">
        <v>64</v>
      </c>
      <c r="B2" s="10"/>
      <c r="C2" s="10"/>
      <c r="D2" s="10"/>
      <c r="E2" s="10"/>
      <c r="F2" s="9"/>
      <c r="G2" s="9"/>
      <c r="H2" s="9"/>
      <c r="I2" s="9"/>
      <c r="K2" s="93"/>
      <c r="L2" s="93"/>
      <c r="M2" s="93"/>
      <c r="N2" s="94"/>
      <c r="O2" s="93"/>
    </row>
    <row r="3" ht="18.75" customHeight="1" spans="1:10">
      <c r="A3" s="82" t="s">
        <v>65</v>
      </c>
      <c r="B3" s="2" t="s">
        <v>66</v>
      </c>
      <c r="C3" s="2" t="s">
        <v>67</v>
      </c>
      <c r="D3" s="2" t="s">
        <v>68</v>
      </c>
      <c r="E3" s="2" t="s">
        <v>12</v>
      </c>
      <c r="F3" s="83" t="s">
        <v>69</v>
      </c>
      <c r="G3" s="2" t="s">
        <v>70</v>
      </c>
      <c r="H3" s="2" t="s">
        <v>71</v>
      </c>
      <c r="I3" s="2" t="s">
        <v>72</v>
      </c>
      <c r="J3" s="79"/>
    </row>
    <row r="4" ht="18.75" customHeight="1" spans="1:10">
      <c r="A4" s="84" t="s">
        <v>22</v>
      </c>
      <c r="B4" s="85" t="s">
        <v>23</v>
      </c>
      <c r="C4" s="86"/>
      <c r="D4" s="86"/>
      <c r="E4" s="86"/>
      <c r="F4" s="87"/>
      <c r="G4" s="86"/>
      <c r="H4" s="86"/>
      <c r="I4" s="95"/>
      <c r="J4" s="96"/>
    </row>
    <row r="5" ht="18.75" customHeight="1" spans="1:15">
      <c r="A5" s="88" t="s">
        <v>73</v>
      </c>
      <c r="B5" s="89" t="s">
        <v>74</v>
      </c>
      <c r="C5" s="89" t="s">
        <v>75</v>
      </c>
      <c r="D5" s="89" t="s">
        <v>76</v>
      </c>
      <c r="E5" s="2" t="s">
        <v>21</v>
      </c>
      <c r="F5" s="83">
        <v>554</v>
      </c>
      <c r="G5" s="28">
        <v>167.58</v>
      </c>
      <c r="H5" s="90">
        <f t="shared" ref="H5:H47" si="0">F5*G5</f>
        <v>92839.32</v>
      </c>
      <c r="I5" s="89"/>
      <c r="K5" s="79"/>
      <c r="L5" s="97"/>
      <c r="M5" s="98">
        <v>370</v>
      </c>
      <c r="N5" s="99">
        <v>555</v>
      </c>
      <c r="O5" s="79"/>
    </row>
    <row r="6" ht="18.75" customHeight="1" spans="1:15">
      <c r="A6" s="88" t="s">
        <v>77</v>
      </c>
      <c r="B6" s="89" t="s">
        <v>74</v>
      </c>
      <c r="C6" s="89" t="s">
        <v>78</v>
      </c>
      <c r="D6" s="89" t="s">
        <v>76</v>
      </c>
      <c r="E6" s="2" t="s">
        <v>21</v>
      </c>
      <c r="F6" s="91">
        <v>450</v>
      </c>
      <c r="G6" s="28">
        <v>78.32</v>
      </c>
      <c r="H6" s="90">
        <f t="shared" si="0"/>
        <v>35244</v>
      </c>
      <c r="I6" s="89"/>
      <c r="K6" s="79"/>
      <c r="L6" s="97"/>
      <c r="M6" s="100">
        <v>463</v>
      </c>
      <c r="N6" s="99">
        <v>694.5</v>
      </c>
      <c r="O6" s="79"/>
    </row>
    <row r="7" ht="18.75" customHeight="1" spans="1:15">
      <c r="A7" s="88" t="s">
        <v>79</v>
      </c>
      <c r="B7" s="89" t="s">
        <v>74</v>
      </c>
      <c r="C7" s="89" t="s">
        <v>80</v>
      </c>
      <c r="D7" s="89" t="s">
        <v>76</v>
      </c>
      <c r="E7" s="2" t="s">
        <v>21</v>
      </c>
      <c r="F7" s="92">
        <v>165</v>
      </c>
      <c r="G7" s="28">
        <v>67.71</v>
      </c>
      <c r="H7" s="90">
        <f t="shared" si="0"/>
        <v>11172.15</v>
      </c>
      <c r="I7" s="89"/>
      <c r="K7" s="79"/>
      <c r="L7" s="97"/>
      <c r="M7" s="79">
        <v>145</v>
      </c>
      <c r="N7" s="99">
        <v>217.5</v>
      </c>
      <c r="O7" s="79"/>
    </row>
    <row r="8" ht="18.75" customHeight="1" spans="1:15">
      <c r="A8" s="88" t="s">
        <v>81</v>
      </c>
      <c r="B8" s="89" t="s">
        <v>82</v>
      </c>
      <c r="C8" s="89" t="s">
        <v>83</v>
      </c>
      <c r="D8" s="89" t="s">
        <v>84</v>
      </c>
      <c r="E8" s="2" t="s">
        <v>21</v>
      </c>
      <c r="F8" s="83">
        <v>1104</v>
      </c>
      <c r="G8" s="28">
        <v>160.1</v>
      </c>
      <c r="H8" s="90">
        <f t="shared" si="0"/>
        <v>176750.4</v>
      </c>
      <c r="I8" s="89"/>
      <c r="K8" s="101"/>
      <c r="L8" s="101"/>
      <c r="M8" s="98">
        <v>2413</v>
      </c>
      <c r="N8" s="99">
        <v>3619.5</v>
      </c>
      <c r="O8" s="101"/>
    </row>
    <row r="9" ht="18.75" customHeight="1" spans="1:15">
      <c r="A9" s="88" t="s">
        <v>85</v>
      </c>
      <c r="B9" s="89" t="s">
        <v>82</v>
      </c>
      <c r="C9" s="89" t="s">
        <v>86</v>
      </c>
      <c r="D9" s="89" t="s">
        <v>84</v>
      </c>
      <c r="E9" s="2" t="s">
        <v>21</v>
      </c>
      <c r="F9" s="83">
        <v>1664</v>
      </c>
      <c r="G9" s="28">
        <v>131.63</v>
      </c>
      <c r="H9" s="90">
        <f t="shared" si="0"/>
        <v>219032.32</v>
      </c>
      <c r="I9" s="89"/>
      <c r="K9" s="101"/>
      <c r="L9" s="101"/>
      <c r="M9" s="98">
        <v>38</v>
      </c>
      <c r="N9" s="99">
        <v>57</v>
      </c>
      <c r="O9" s="101"/>
    </row>
    <row r="10" ht="18.75" customHeight="1" spans="1:15">
      <c r="A10" s="88" t="s">
        <v>87</v>
      </c>
      <c r="B10" s="89" t="s">
        <v>82</v>
      </c>
      <c r="C10" s="89" t="s">
        <v>88</v>
      </c>
      <c r="D10" s="89" t="s">
        <v>84</v>
      </c>
      <c r="E10" s="2" t="s">
        <v>21</v>
      </c>
      <c r="F10" s="83">
        <v>3792</v>
      </c>
      <c r="G10" s="28">
        <v>55.67</v>
      </c>
      <c r="H10" s="90">
        <f t="shared" ref="H10" si="1">F10*G10</f>
        <v>211100.64</v>
      </c>
      <c r="I10" s="89"/>
      <c r="K10" s="101">
        <f>SUM(F7:F10)</f>
        <v>6725</v>
      </c>
      <c r="L10" s="101"/>
      <c r="M10" s="98">
        <v>120</v>
      </c>
      <c r="N10" s="81">
        <v>258.425196850394</v>
      </c>
      <c r="O10" s="101"/>
    </row>
    <row r="11" ht="18.75" customHeight="1" spans="1:12">
      <c r="A11" s="88" t="s">
        <v>89</v>
      </c>
      <c r="B11" s="89" t="s">
        <v>90</v>
      </c>
      <c r="C11" s="89" t="s">
        <v>91</v>
      </c>
      <c r="D11" s="89" t="s">
        <v>92</v>
      </c>
      <c r="E11" s="2" t="s">
        <v>93</v>
      </c>
      <c r="F11" s="83">
        <v>28</v>
      </c>
      <c r="G11" s="28">
        <v>206.38</v>
      </c>
      <c r="H11" s="90">
        <f t="shared" si="0"/>
        <v>5778.64</v>
      </c>
      <c r="I11" s="89"/>
      <c r="L11" s="97"/>
    </row>
    <row r="12" ht="18.75" customHeight="1" spans="1:12">
      <c r="A12" s="88" t="s">
        <v>94</v>
      </c>
      <c r="B12" s="89" t="s">
        <v>95</v>
      </c>
      <c r="C12" s="89" t="s">
        <v>96</v>
      </c>
      <c r="D12" s="89"/>
      <c r="E12" s="2" t="s">
        <v>93</v>
      </c>
      <c r="F12" s="83">
        <v>90</v>
      </c>
      <c r="G12" s="28">
        <v>209.92</v>
      </c>
      <c r="H12" s="90">
        <f t="shared" si="0"/>
        <v>18892.8</v>
      </c>
      <c r="I12" s="89"/>
      <c r="L12" s="97"/>
    </row>
    <row r="13" ht="18.75" customHeight="1" spans="1:12">
      <c r="A13" s="88" t="s">
        <v>97</v>
      </c>
      <c r="B13" s="89" t="s">
        <v>95</v>
      </c>
      <c r="C13" s="89" t="s">
        <v>98</v>
      </c>
      <c r="D13" s="89"/>
      <c r="E13" s="2" t="s">
        <v>93</v>
      </c>
      <c r="F13" s="83">
        <v>148</v>
      </c>
      <c r="G13" s="28">
        <v>190.02</v>
      </c>
      <c r="H13" s="90">
        <f t="shared" si="0"/>
        <v>28122.96</v>
      </c>
      <c r="I13" s="89"/>
      <c r="L13" s="97"/>
    </row>
    <row r="14" ht="18.75" customHeight="1" spans="1:12">
      <c r="A14" s="88" t="s">
        <v>99</v>
      </c>
      <c r="B14" s="89" t="s">
        <v>100</v>
      </c>
      <c r="C14" s="89" t="s">
        <v>101</v>
      </c>
      <c r="D14" s="89"/>
      <c r="E14" s="2" t="s">
        <v>93</v>
      </c>
      <c r="F14" s="83">
        <v>338</v>
      </c>
      <c r="G14" s="28">
        <v>142.52</v>
      </c>
      <c r="H14" s="90">
        <f t="shared" si="0"/>
        <v>48171.76</v>
      </c>
      <c r="I14" s="89"/>
      <c r="L14" s="97"/>
    </row>
    <row r="15" ht="18.75" customHeight="1" spans="1:12">
      <c r="A15" s="88" t="s">
        <v>102</v>
      </c>
      <c r="B15" s="89" t="s">
        <v>100</v>
      </c>
      <c r="C15" s="89" t="s">
        <v>103</v>
      </c>
      <c r="D15" s="89"/>
      <c r="E15" s="2" t="s">
        <v>93</v>
      </c>
      <c r="F15" s="83">
        <v>308</v>
      </c>
      <c r="G15" s="28">
        <v>132.78</v>
      </c>
      <c r="H15" s="90">
        <f t="shared" si="0"/>
        <v>40896.24</v>
      </c>
      <c r="I15" s="89"/>
      <c r="L15" s="97"/>
    </row>
    <row r="16" ht="18.75" customHeight="1" spans="1:12">
      <c r="A16" s="88" t="s">
        <v>104</v>
      </c>
      <c r="B16" s="89" t="s">
        <v>105</v>
      </c>
      <c r="C16" s="89" t="s">
        <v>106</v>
      </c>
      <c r="D16" s="89"/>
      <c r="E16" s="2" t="s">
        <v>93</v>
      </c>
      <c r="F16" s="83">
        <v>6</v>
      </c>
      <c r="G16" s="28">
        <v>431.29</v>
      </c>
      <c r="H16" s="90">
        <f t="shared" si="0"/>
        <v>2587.74</v>
      </c>
      <c r="I16" s="89"/>
      <c r="L16" s="97"/>
    </row>
    <row r="17" ht="18.75" customHeight="1" spans="1:12">
      <c r="A17" s="88" t="s">
        <v>107</v>
      </c>
      <c r="B17" s="89" t="s">
        <v>105</v>
      </c>
      <c r="C17" s="89" t="s">
        <v>108</v>
      </c>
      <c r="D17" s="89"/>
      <c r="E17" s="2" t="s">
        <v>93</v>
      </c>
      <c r="F17" s="83">
        <v>9</v>
      </c>
      <c r="G17" s="28">
        <v>91.72</v>
      </c>
      <c r="H17" s="90">
        <f t="shared" si="0"/>
        <v>825.48</v>
      </c>
      <c r="I17" s="89"/>
      <c r="L17" s="97"/>
    </row>
    <row r="18" ht="18.75" customHeight="1" spans="1:12">
      <c r="A18" s="88" t="s">
        <v>109</v>
      </c>
      <c r="B18" s="89" t="s">
        <v>105</v>
      </c>
      <c r="C18" s="89" t="s">
        <v>110</v>
      </c>
      <c r="D18" s="89"/>
      <c r="E18" s="2" t="s">
        <v>93</v>
      </c>
      <c r="F18" s="83">
        <v>7</v>
      </c>
      <c r="G18" s="28">
        <v>90.8</v>
      </c>
      <c r="H18" s="90">
        <f t="shared" si="0"/>
        <v>635.6</v>
      </c>
      <c r="I18" s="89"/>
      <c r="L18" s="97"/>
    </row>
    <row r="19" ht="18.75" customHeight="1" spans="1:12">
      <c r="A19" s="88" t="s">
        <v>111</v>
      </c>
      <c r="B19" s="89" t="s">
        <v>112</v>
      </c>
      <c r="C19" s="89" t="s">
        <v>113</v>
      </c>
      <c r="D19" s="89"/>
      <c r="E19" s="2" t="s">
        <v>93</v>
      </c>
      <c r="F19" s="83">
        <v>5</v>
      </c>
      <c r="G19" s="28">
        <v>461.53</v>
      </c>
      <c r="H19" s="90">
        <f t="shared" si="0"/>
        <v>2307.65</v>
      </c>
      <c r="I19" s="89"/>
      <c r="L19" s="97"/>
    </row>
    <row r="20" ht="18.75" customHeight="1" spans="1:12">
      <c r="A20" s="88" t="s">
        <v>114</v>
      </c>
      <c r="B20" s="89" t="s">
        <v>112</v>
      </c>
      <c r="C20" s="89" t="s">
        <v>115</v>
      </c>
      <c r="D20" s="89"/>
      <c r="E20" s="2" t="s">
        <v>93</v>
      </c>
      <c r="F20" s="83">
        <v>4</v>
      </c>
      <c r="G20" s="28">
        <v>447.64</v>
      </c>
      <c r="H20" s="90">
        <f t="shared" si="0"/>
        <v>1790.56</v>
      </c>
      <c r="I20" s="89"/>
      <c r="L20" s="97"/>
    </row>
    <row r="21" ht="18.75" customHeight="1" spans="1:12">
      <c r="A21" s="88" t="s">
        <v>116</v>
      </c>
      <c r="B21" s="89" t="s">
        <v>112</v>
      </c>
      <c r="C21" s="89" t="s">
        <v>117</v>
      </c>
      <c r="D21" s="89"/>
      <c r="E21" s="2" t="s">
        <v>93</v>
      </c>
      <c r="F21" s="83">
        <v>10</v>
      </c>
      <c r="G21" s="28">
        <v>94.07</v>
      </c>
      <c r="H21" s="90">
        <f t="shared" si="0"/>
        <v>940.7</v>
      </c>
      <c r="I21" s="89"/>
      <c r="L21" s="97"/>
    </row>
    <row r="22" ht="18.75" customHeight="1" spans="1:12">
      <c r="A22" s="88" t="s">
        <v>118</v>
      </c>
      <c r="B22" s="89" t="s">
        <v>112</v>
      </c>
      <c r="C22" s="89" t="s">
        <v>119</v>
      </c>
      <c r="D22" s="89"/>
      <c r="E22" s="2" t="s">
        <v>93</v>
      </c>
      <c r="F22" s="83">
        <v>5</v>
      </c>
      <c r="G22" s="28">
        <v>98.97</v>
      </c>
      <c r="H22" s="90">
        <f t="shared" si="0"/>
        <v>494.85</v>
      </c>
      <c r="I22" s="89"/>
      <c r="L22" s="97"/>
    </row>
    <row r="23" ht="18.75" customHeight="1" spans="1:12">
      <c r="A23" s="88" t="s">
        <v>120</v>
      </c>
      <c r="B23" s="89" t="s">
        <v>112</v>
      </c>
      <c r="C23" s="89" t="s">
        <v>121</v>
      </c>
      <c r="D23" s="89"/>
      <c r="E23" s="2" t="s">
        <v>93</v>
      </c>
      <c r="F23" s="83">
        <v>3</v>
      </c>
      <c r="G23" s="28">
        <v>98.97</v>
      </c>
      <c r="H23" s="90">
        <f t="shared" si="0"/>
        <v>296.91</v>
      </c>
      <c r="I23" s="89"/>
      <c r="L23" s="97"/>
    </row>
    <row r="24" ht="18.75" customHeight="1" spans="1:12">
      <c r="A24" s="88" t="s">
        <v>122</v>
      </c>
      <c r="B24" s="89" t="s">
        <v>123</v>
      </c>
      <c r="C24" s="89" t="s">
        <v>115</v>
      </c>
      <c r="D24" s="89"/>
      <c r="E24" s="2" t="s">
        <v>93</v>
      </c>
      <c r="F24" s="83">
        <v>8</v>
      </c>
      <c r="G24" s="28">
        <v>165.36</v>
      </c>
      <c r="H24" s="90">
        <f t="shared" si="0"/>
        <v>1322.88</v>
      </c>
      <c r="I24" s="89"/>
      <c r="L24" s="97"/>
    </row>
    <row r="25" ht="18.75" customHeight="1" spans="1:12">
      <c r="A25" s="88" t="s">
        <v>124</v>
      </c>
      <c r="B25" s="89" t="s">
        <v>123</v>
      </c>
      <c r="C25" s="89" t="s">
        <v>121</v>
      </c>
      <c r="D25" s="89"/>
      <c r="E25" s="2" t="s">
        <v>93</v>
      </c>
      <c r="F25" s="83">
        <v>5</v>
      </c>
      <c r="G25" s="28">
        <v>99.52</v>
      </c>
      <c r="H25" s="90">
        <f t="shared" si="0"/>
        <v>497.6</v>
      </c>
      <c r="I25" s="89"/>
      <c r="L25" s="97"/>
    </row>
    <row r="26" ht="18.75" customHeight="1" spans="1:12">
      <c r="A26" s="88" t="s">
        <v>125</v>
      </c>
      <c r="B26" s="89" t="s">
        <v>126</v>
      </c>
      <c r="C26" s="89" t="s">
        <v>127</v>
      </c>
      <c r="D26" s="89"/>
      <c r="E26" s="2" t="s">
        <v>93</v>
      </c>
      <c r="F26" s="83">
        <v>1</v>
      </c>
      <c r="G26" s="28">
        <v>514.2</v>
      </c>
      <c r="H26" s="90">
        <f t="shared" si="0"/>
        <v>514.2</v>
      </c>
      <c r="I26" s="89"/>
      <c r="L26" s="97"/>
    </row>
    <row r="27" ht="18.75" customHeight="1" spans="1:12">
      <c r="A27" s="88" t="s">
        <v>128</v>
      </c>
      <c r="B27" s="89" t="s">
        <v>126</v>
      </c>
      <c r="C27" s="89" t="s">
        <v>129</v>
      </c>
      <c r="D27" s="89"/>
      <c r="E27" s="2" t="s">
        <v>93</v>
      </c>
      <c r="F27" s="83">
        <v>10</v>
      </c>
      <c r="G27" s="28">
        <v>376.13</v>
      </c>
      <c r="H27" s="90">
        <f t="shared" si="0"/>
        <v>3761.3</v>
      </c>
      <c r="I27" s="89"/>
      <c r="L27" s="97"/>
    </row>
    <row r="28" ht="18.75" customHeight="1" spans="1:12">
      <c r="A28" s="88" t="s">
        <v>130</v>
      </c>
      <c r="B28" s="89" t="s">
        <v>126</v>
      </c>
      <c r="C28" s="89" t="s">
        <v>131</v>
      </c>
      <c r="D28" s="89"/>
      <c r="E28" s="2" t="s">
        <v>93</v>
      </c>
      <c r="F28" s="83">
        <v>18</v>
      </c>
      <c r="G28" s="28">
        <v>263.71</v>
      </c>
      <c r="H28" s="90">
        <f t="shared" si="0"/>
        <v>4746.78</v>
      </c>
      <c r="I28" s="89"/>
      <c r="L28" s="97"/>
    </row>
    <row r="29" ht="18.75" customHeight="1" spans="1:12">
      <c r="A29" s="88" t="s">
        <v>132</v>
      </c>
      <c r="B29" s="89" t="s">
        <v>133</v>
      </c>
      <c r="C29" s="89" t="s">
        <v>106</v>
      </c>
      <c r="D29" s="89"/>
      <c r="E29" s="2" t="s">
        <v>93</v>
      </c>
      <c r="F29" s="83">
        <v>27</v>
      </c>
      <c r="G29" s="28">
        <v>151.7</v>
      </c>
      <c r="H29" s="90">
        <f t="shared" si="0"/>
        <v>4095.9</v>
      </c>
      <c r="I29" s="89"/>
      <c r="L29" s="97"/>
    </row>
    <row r="30" ht="18.75" customHeight="1" spans="1:12">
      <c r="A30" s="88" t="s">
        <v>134</v>
      </c>
      <c r="B30" s="89" t="s">
        <v>133</v>
      </c>
      <c r="C30" s="89" t="s">
        <v>108</v>
      </c>
      <c r="D30" s="89"/>
      <c r="E30" s="2" t="s">
        <v>93</v>
      </c>
      <c r="F30" s="83">
        <v>22</v>
      </c>
      <c r="G30" s="28">
        <v>101.7</v>
      </c>
      <c r="H30" s="90">
        <f t="shared" si="0"/>
        <v>2237.4</v>
      </c>
      <c r="I30" s="89"/>
      <c r="L30" s="97"/>
    </row>
    <row r="31" ht="18.75" customHeight="1" spans="1:12">
      <c r="A31" s="88" t="s">
        <v>135</v>
      </c>
      <c r="B31" s="89" t="s">
        <v>133</v>
      </c>
      <c r="C31" s="89" t="s">
        <v>110</v>
      </c>
      <c r="D31" s="89"/>
      <c r="E31" s="2" t="s">
        <v>93</v>
      </c>
      <c r="F31" s="83">
        <v>8</v>
      </c>
      <c r="G31" s="28">
        <v>96.25</v>
      </c>
      <c r="H31" s="90">
        <f t="shared" si="0"/>
        <v>770</v>
      </c>
      <c r="I31" s="89"/>
      <c r="L31" s="97"/>
    </row>
    <row r="32" ht="18.75" customHeight="1" spans="1:12">
      <c r="A32" s="88" t="s">
        <v>136</v>
      </c>
      <c r="B32" s="89" t="s">
        <v>137</v>
      </c>
      <c r="C32" s="89" t="s">
        <v>101</v>
      </c>
      <c r="D32" s="89"/>
      <c r="E32" s="2" t="s">
        <v>93</v>
      </c>
      <c r="F32" s="83">
        <v>10</v>
      </c>
      <c r="G32" s="28">
        <v>959.44</v>
      </c>
      <c r="H32" s="90">
        <f t="shared" si="0"/>
        <v>9594.4</v>
      </c>
      <c r="I32" s="89" t="s">
        <v>138</v>
      </c>
      <c r="L32" s="97"/>
    </row>
    <row r="33" ht="18.75" customHeight="1" spans="1:12">
      <c r="A33" s="88" t="s">
        <v>139</v>
      </c>
      <c r="B33" s="89" t="s">
        <v>137</v>
      </c>
      <c r="C33" s="89" t="s">
        <v>103</v>
      </c>
      <c r="D33" s="89"/>
      <c r="E33" s="2" t="s">
        <v>93</v>
      </c>
      <c r="F33" s="83">
        <v>18</v>
      </c>
      <c r="G33" s="28">
        <v>771.19</v>
      </c>
      <c r="H33" s="90">
        <f t="shared" si="0"/>
        <v>13881.42</v>
      </c>
      <c r="I33" s="89" t="s">
        <v>138</v>
      </c>
      <c r="L33" s="97"/>
    </row>
    <row r="34" ht="18.75" customHeight="1" spans="1:12">
      <c r="A34" s="88" t="s">
        <v>140</v>
      </c>
      <c r="B34" s="89" t="s">
        <v>137</v>
      </c>
      <c r="C34" s="89" t="s">
        <v>141</v>
      </c>
      <c r="D34" s="89"/>
      <c r="E34" s="2" t="s">
        <v>93</v>
      </c>
      <c r="F34" s="83">
        <v>238</v>
      </c>
      <c r="G34" s="28">
        <v>360.55</v>
      </c>
      <c r="H34" s="90">
        <f t="shared" si="0"/>
        <v>85810.9</v>
      </c>
      <c r="I34" s="89" t="s">
        <v>138</v>
      </c>
      <c r="L34" s="97"/>
    </row>
    <row r="35" ht="18.75" customHeight="1" spans="1:12">
      <c r="A35" s="88" t="s">
        <v>142</v>
      </c>
      <c r="B35" s="89" t="s">
        <v>143</v>
      </c>
      <c r="C35" s="89"/>
      <c r="D35" s="89"/>
      <c r="E35" s="2" t="s">
        <v>21</v>
      </c>
      <c r="F35" s="83">
        <v>1169</v>
      </c>
      <c r="G35" s="28">
        <v>1.89</v>
      </c>
      <c r="H35" s="90">
        <f t="shared" si="0"/>
        <v>2209.41</v>
      </c>
      <c r="I35" s="89"/>
      <c r="K35" s="78">
        <v>1003</v>
      </c>
      <c r="L35" s="97"/>
    </row>
    <row r="36" ht="18.75" customHeight="1" spans="1:12">
      <c r="A36" s="88" t="s">
        <v>144</v>
      </c>
      <c r="B36" s="89" t="s">
        <v>145</v>
      </c>
      <c r="C36" s="89"/>
      <c r="D36" s="89"/>
      <c r="E36" s="2" t="s">
        <v>21</v>
      </c>
      <c r="F36" s="83">
        <v>1169</v>
      </c>
      <c r="G36" s="28">
        <v>6.04</v>
      </c>
      <c r="H36" s="90">
        <f t="shared" si="0"/>
        <v>7060.76</v>
      </c>
      <c r="I36" s="89"/>
      <c r="L36" s="97"/>
    </row>
    <row r="37" ht="18.75" customHeight="1" spans="1:14">
      <c r="A37" s="88" t="s">
        <v>146</v>
      </c>
      <c r="B37" s="89" t="s">
        <v>147</v>
      </c>
      <c r="C37" s="89" t="s">
        <v>148</v>
      </c>
      <c r="D37" s="89"/>
      <c r="E37" s="2" t="s">
        <v>93</v>
      </c>
      <c r="F37" s="83">
        <v>1</v>
      </c>
      <c r="G37" s="28">
        <v>118773.96</v>
      </c>
      <c r="H37" s="90">
        <f t="shared" ref="H37:H43" si="2">F37*G37</f>
        <v>118773.96</v>
      </c>
      <c r="I37" s="89"/>
      <c r="M37" s="98">
        <v>3</v>
      </c>
      <c r="N37" s="81">
        <v>6.46062992125984</v>
      </c>
    </row>
    <row r="38" ht="18.75" customHeight="1" spans="1:14">
      <c r="A38" s="88" t="s">
        <v>149</v>
      </c>
      <c r="B38" s="89" t="s">
        <v>147</v>
      </c>
      <c r="C38" s="89" t="s">
        <v>150</v>
      </c>
      <c r="D38" s="89"/>
      <c r="E38" s="2" t="s">
        <v>93</v>
      </c>
      <c r="F38" s="83">
        <v>2</v>
      </c>
      <c r="G38" s="28">
        <v>93703.96</v>
      </c>
      <c r="H38" s="90">
        <f t="shared" ref="H38" si="3">F38*G38</f>
        <v>187407.92</v>
      </c>
      <c r="I38" s="89"/>
      <c r="M38" s="98">
        <v>3</v>
      </c>
      <c r="N38" s="81">
        <v>6.46062992125984</v>
      </c>
    </row>
    <row r="39" ht="18.75" customHeight="1" spans="1:13">
      <c r="A39" s="88" t="s">
        <v>151</v>
      </c>
      <c r="B39" s="89" t="s">
        <v>152</v>
      </c>
      <c r="C39" s="89" t="s">
        <v>153</v>
      </c>
      <c r="D39" s="89"/>
      <c r="E39" s="2" t="s">
        <v>154</v>
      </c>
      <c r="F39" s="83">
        <v>2768</v>
      </c>
      <c r="G39" s="28">
        <f>0.04*7.85*4*5.5*1.35</f>
        <v>9.3258</v>
      </c>
      <c r="H39" s="90">
        <f t="shared" si="2"/>
        <v>25813.8144</v>
      </c>
      <c r="I39" s="89"/>
      <c r="M39" s="102"/>
    </row>
    <row r="40" ht="18.75" customHeight="1" spans="1:13">
      <c r="A40" s="88" t="s">
        <v>155</v>
      </c>
      <c r="B40" s="89" t="s">
        <v>156</v>
      </c>
      <c r="C40" s="89" t="s">
        <v>157</v>
      </c>
      <c r="D40" s="89"/>
      <c r="E40" s="2" t="s">
        <v>158</v>
      </c>
      <c r="F40" s="83">
        <v>6</v>
      </c>
      <c r="G40" s="28">
        <f>3.77*5.5*1.35</f>
        <v>27.99225</v>
      </c>
      <c r="H40" s="90">
        <f t="shared" si="2"/>
        <v>167.9535</v>
      </c>
      <c r="I40" s="89"/>
      <c r="M40" s="102"/>
    </row>
    <row r="41" ht="18.75" customHeight="1" spans="1:13">
      <c r="A41" s="88" t="s">
        <v>159</v>
      </c>
      <c r="B41" s="89" t="s">
        <v>160</v>
      </c>
      <c r="C41" s="89" t="s">
        <v>101</v>
      </c>
      <c r="D41" s="89" t="s">
        <v>84</v>
      </c>
      <c r="E41" s="2" t="s">
        <v>93</v>
      </c>
      <c r="F41" s="83">
        <v>70</v>
      </c>
      <c r="G41" s="28">
        <v>102.91</v>
      </c>
      <c r="H41" s="90">
        <f t="shared" si="2"/>
        <v>7203.7</v>
      </c>
      <c r="I41" s="89"/>
      <c r="M41" s="102"/>
    </row>
    <row r="42" ht="18.75" customHeight="1" spans="1:13">
      <c r="A42" s="88" t="s">
        <v>161</v>
      </c>
      <c r="B42" s="89" t="s">
        <v>160</v>
      </c>
      <c r="C42" s="89" t="s">
        <v>103</v>
      </c>
      <c r="D42" s="89" t="s">
        <v>84</v>
      </c>
      <c r="E42" s="2" t="s">
        <v>93</v>
      </c>
      <c r="F42" s="83">
        <v>256</v>
      </c>
      <c r="G42" s="28">
        <v>97.1</v>
      </c>
      <c r="H42" s="90">
        <f t="shared" si="2"/>
        <v>24857.6</v>
      </c>
      <c r="I42" s="89"/>
      <c r="M42" s="102"/>
    </row>
    <row r="43" ht="18" customHeight="1" spans="1:13">
      <c r="A43" s="88" t="s">
        <v>162</v>
      </c>
      <c r="B43" s="89" t="s">
        <v>160</v>
      </c>
      <c r="C43" s="89" t="s">
        <v>141</v>
      </c>
      <c r="D43" s="89" t="s">
        <v>84</v>
      </c>
      <c r="E43" s="2" t="s">
        <v>93</v>
      </c>
      <c r="F43" s="83">
        <v>1264</v>
      </c>
      <c r="G43" s="28">
        <v>31.24</v>
      </c>
      <c r="H43" s="90">
        <f t="shared" si="2"/>
        <v>39487.36</v>
      </c>
      <c r="I43" s="89"/>
      <c r="M43" s="102"/>
    </row>
    <row r="44" ht="18.75" customHeight="1" spans="1:12">
      <c r="A44" s="88" t="s">
        <v>163</v>
      </c>
      <c r="B44" s="89" t="s">
        <v>164</v>
      </c>
      <c r="C44" s="89"/>
      <c r="D44" s="89"/>
      <c r="E44" s="2" t="s">
        <v>154</v>
      </c>
      <c r="F44" s="83">
        <v>36</v>
      </c>
      <c r="G44" s="28">
        <v>312.6</v>
      </c>
      <c r="H44" s="90">
        <f t="shared" si="0"/>
        <v>11253.6</v>
      </c>
      <c r="I44" s="89"/>
      <c r="K44" s="78" t="s">
        <v>165</v>
      </c>
      <c r="L44" s="97"/>
    </row>
    <row r="45" ht="18.75" customHeight="1" spans="1:12">
      <c r="A45" s="88" t="s">
        <v>166</v>
      </c>
      <c r="B45" s="89" t="s">
        <v>167</v>
      </c>
      <c r="C45" s="89" t="s">
        <v>101</v>
      </c>
      <c r="D45" s="89"/>
      <c r="E45" s="2" t="s">
        <v>168</v>
      </c>
      <c r="F45" s="83">
        <v>1</v>
      </c>
      <c r="G45" s="28">
        <v>13898.1</v>
      </c>
      <c r="H45" s="90">
        <f t="shared" si="0"/>
        <v>13898.1</v>
      </c>
      <c r="I45" s="89"/>
      <c r="L45" s="97"/>
    </row>
    <row r="46" ht="18.75" customHeight="1" spans="1:12">
      <c r="A46" s="88" t="s">
        <v>169</v>
      </c>
      <c r="B46" s="89" t="s">
        <v>170</v>
      </c>
      <c r="C46" s="89" t="s">
        <v>171</v>
      </c>
      <c r="D46" s="89" t="s">
        <v>172</v>
      </c>
      <c r="E46" s="2" t="s">
        <v>173</v>
      </c>
      <c r="F46" s="83">
        <v>1264</v>
      </c>
      <c r="G46" s="28">
        <v>327.12</v>
      </c>
      <c r="H46" s="90">
        <f t="shared" si="0"/>
        <v>413479.68</v>
      </c>
      <c r="I46" s="89" t="s">
        <v>174</v>
      </c>
      <c r="L46" s="97"/>
    </row>
    <row r="47" ht="18.75" customHeight="1" spans="1:12">
      <c r="A47" s="88" t="s">
        <v>175</v>
      </c>
      <c r="B47" s="89" t="s">
        <v>176</v>
      </c>
      <c r="C47" s="89" t="s">
        <v>177</v>
      </c>
      <c r="D47" s="89"/>
      <c r="E47" s="2" t="s">
        <v>93</v>
      </c>
      <c r="F47" s="83">
        <v>2528</v>
      </c>
      <c r="G47" s="28">
        <v>61.86</v>
      </c>
      <c r="H47" s="90">
        <f t="shared" si="0"/>
        <v>156382.08</v>
      </c>
      <c r="I47" s="89"/>
      <c r="L47" s="97"/>
    </row>
    <row r="48" ht="18.75" customHeight="1" spans="1:12">
      <c r="A48" s="88" t="s">
        <v>178</v>
      </c>
      <c r="B48" s="89" t="s">
        <v>179</v>
      </c>
      <c r="C48" s="89" t="s">
        <v>177</v>
      </c>
      <c r="D48" s="89"/>
      <c r="E48" s="2" t="s">
        <v>154</v>
      </c>
      <c r="F48" s="83">
        <v>3792</v>
      </c>
      <c r="G48" s="28">
        <v>46.6</v>
      </c>
      <c r="H48" s="90">
        <f t="shared" ref="H48:H53" si="4">F48*G48</f>
        <v>176707.2</v>
      </c>
      <c r="I48" s="89"/>
      <c r="K48" s="78" t="s">
        <v>180</v>
      </c>
      <c r="L48" s="97"/>
    </row>
    <row r="49" ht="18.75" customHeight="1" spans="1:12">
      <c r="A49" s="88" t="s">
        <v>181</v>
      </c>
      <c r="B49" s="89" t="s">
        <v>182</v>
      </c>
      <c r="C49" s="89" t="s">
        <v>183</v>
      </c>
      <c r="D49" s="89"/>
      <c r="E49" s="2" t="s">
        <v>93</v>
      </c>
      <c r="F49" s="83">
        <v>1264</v>
      </c>
      <c r="G49" s="28">
        <v>2.74</v>
      </c>
      <c r="H49" s="90">
        <f t="shared" si="4"/>
        <v>3463.36</v>
      </c>
      <c r="I49" s="89"/>
      <c r="L49" s="97"/>
    </row>
    <row r="50" ht="18.75" customHeight="1" spans="1:12">
      <c r="A50" s="88" t="s">
        <v>184</v>
      </c>
      <c r="B50" s="89" t="s">
        <v>185</v>
      </c>
      <c r="C50" s="89" t="s">
        <v>177</v>
      </c>
      <c r="D50" s="89"/>
      <c r="E50" s="2" t="s">
        <v>93</v>
      </c>
      <c r="F50" s="83">
        <v>6320</v>
      </c>
      <c r="G50" s="28">
        <v>2.06</v>
      </c>
      <c r="H50" s="90">
        <f t="shared" si="4"/>
        <v>13019.2</v>
      </c>
      <c r="I50" s="89"/>
      <c r="L50" s="97"/>
    </row>
    <row r="51" ht="18.75" customHeight="1" spans="1:12">
      <c r="A51" s="88" t="s">
        <v>186</v>
      </c>
      <c r="B51" s="89" t="s">
        <v>187</v>
      </c>
      <c r="C51" s="89" t="s">
        <v>177</v>
      </c>
      <c r="D51" s="89"/>
      <c r="E51" s="2" t="s">
        <v>93</v>
      </c>
      <c r="F51" s="83">
        <v>2528</v>
      </c>
      <c r="G51" s="28">
        <v>1.85</v>
      </c>
      <c r="H51" s="90">
        <f t="shared" si="4"/>
        <v>4676.8</v>
      </c>
      <c r="I51" s="89"/>
      <c r="L51" s="97"/>
    </row>
    <row r="52" ht="18.75" customHeight="1" spans="1:12">
      <c r="A52" s="88" t="s">
        <v>188</v>
      </c>
      <c r="B52" s="89" t="s">
        <v>189</v>
      </c>
      <c r="C52" s="89" t="s">
        <v>141</v>
      </c>
      <c r="D52" s="89" t="s">
        <v>172</v>
      </c>
      <c r="E52" s="2" t="s">
        <v>93</v>
      </c>
      <c r="F52" s="83">
        <v>1264</v>
      </c>
      <c r="G52" s="28">
        <v>20.15</v>
      </c>
      <c r="H52" s="90">
        <f t="shared" si="4"/>
        <v>25469.6</v>
      </c>
      <c r="I52" s="89"/>
      <c r="L52" s="97"/>
    </row>
    <row r="53" ht="18.75" customHeight="1" spans="1:12">
      <c r="A53" s="88" t="s">
        <v>190</v>
      </c>
      <c r="B53" s="89" t="s">
        <v>191</v>
      </c>
      <c r="C53" s="89" t="s">
        <v>192</v>
      </c>
      <c r="D53" s="89"/>
      <c r="E53" s="2" t="s">
        <v>193</v>
      </c>
      <c r="F53" s="83">
        <f>1169*0.9</f>
        <v>1052.1</v>
      </c>
      <c r="G53" s="28">
        <v>104.45</v>
      </c>
      <c r="H53" s="90">
        <f t="shared" si="4"/>
        <v>109891.845</v>
      </c>
      <c r="I53" s="89"/>
      <c r="K53" s="78">
        <v>2</v>
      </c>
      <c r="L53" s="97"/>
    </row>
    <row r="54" ht="18.75" customHeight="1" spans="1:12">
      <c r="A54" s="88" t="s">
        <v>194</v>
      </c>
      <c r="B54" s="89" t="s">
        <v>195</v>
      </c>
      <c r="C54" s="89"/>
      <c r="D54" s="89"/>
      <c r="E54" s="2" t="s">
        <v>196</v>
      </c>
      <c r="F54" s="83">
        <f>1169*(0.9*1.9)</f>
        <v>1998.99</v>
      </c>
      <c r="G54" s="28">
        <v>10.03</v>
      </c>
      <c r="H54" s="90">
        <f t="shared" ref="H54:H58" si="5">F54*G54</f>
        <v>20049.8697</v>
      </c>
      <c r="I54" s="89"/>
      <c r="L54" s="97"/>
    </row>
    <row r="55" ht="18.75" customHeight="1" spans="1:12">
      <c r="A55" s="88" t="s">
        <v>197</v>
      </c>
      <c r="B55" s="89" t="s">
        <v>198</v>
      </c>
      <c r="C55" s="89"/>
      <c r="D55" s="89"/>
      <c r="E55" s="2" t="s">
        <v>196</v>
      </c>
      <c r="F55" s="83">
        <f>1169*(0.9*1.7)</f>
        <v>1788.57</v>
      </c>
      <c r="G55" s="28">
        <v>14.82</v>
      </c>
      <c r="H55" s="90">
        <f t="shared" si="5"/>
        <v>26506.6074</v>
      </c>
      <c r="I55" s="89"/>
      <c r="L55" s="97"/>
    </row>
    <row r="56" ht="18.75" customHeight="1" spans="1:12">
      <c r="A56" s="88" t="s">
        <v>199</v>
      </c>
      <c r="B56" s="89" t="s">
        <v>200</v>
      </c>
      <c r="C56" s="89"/>
      <c r="D56" s="89"/>
      <c r="E56" s="2" t="s">
        <v>196</v>
      </c>
      <c r="F56" s="83">
        <f>1169*(0.9*0.15)</f>
        <v>157.815</v>
      </c>
      <c r="G56" s="28">
        <v>30.63</v>
      </c>
      <c r="H56" s="90">
        <f t="shared" si="5"/>
        <v>4833.87345</v>
      </c>
      <c r="I56" s="89"/>
      <c r="L56" s="97"/>
    </row>
    <row r="57" ht="18.75" customHeight="1" spans="1:12">
      <c r="A57" s="88" t="s">
        <v>201</v>
      </c>
      <c r="B57" s="89" t="s">
        <v>202</v>
      </c>
      <c r="C57" s="89"/>
      <c r="D57" s="89"/>
      <c r="E57" s="2" t="s">
        <v>196</v>
      </c>
      <c r="F57" s="83">
        <f>1169*(0.9*0.15)</f>
        <v>157.815</v>
      </c>
      <c r="G57" s="28">
        <v>209.24</v>
      </c>
      <c r="H57" s="90">
        <f t="shared" si="5"/>
        <v>33021.2106</v>
      </c>
      <c r="I57" s="89"/>
      <c r="L57" s="97"/>
    </row>
    <row r="58" ht="18.75" hidden="1" customHeight="1" spans="1:12">
      <c r="A58" s="88" t="s">
        <v>203</v>
      </c>
      <c r="B58" s="89" t="s">
        <v>204</v>
      </c>
      <c r="C58" s="89"/>
      <c r="D58" s="89"/>
      <c r="E58" s="2" t="s">
        <v>196</v>
      </c>
      <c r="F58" s="83">
        <f>1169*(0.9*0.3)*0</f>
        <v>0</v>
      </c>
      <c r="G58" s="28">
        <v>215.73</v>
      </c>
      <c r="H58" s="90">
        <f t="shared" si="5"/>
        <v>0</v>
      </c>
      <c r="I58" s="89"/>
      <c r="L58" s="97"/>
    </row>
    <row r="59" ht="18.75" customHeight="1" spans="1:12">
      <c r="A59" s="88"/>
      <c r="B59" s="89" t="s">
        <v>205</v>
      </c>
      <c r="C59" s="89"/>
      <c r="D59" s="89"/>
      <c r="E59" s="2" t="s">
        <v>206</v>
      </c>
      <c r="F59" s="83"/>
      <c r="G59" s="28"/>
      <c r="H59" s="90">
        <f>SUM(H5:H58)</f>
        <v>2450749.00405</v>
      </c>
      <c r="I59" s="89"/>
      <c r="L59" s="97"/>
    </row>
    <row r="60" ht="18.75" customHeight="1" spans="1:10">
      <c r="A60" s="84" t="s">
        <v>24</v>
      </c>
      <c r="B60" s="85" t="s">
        <v>25</v>
      </c>
      <c r="C60" s="86"/>
      <c r="D60" s="86"/>
      <c r="E60" s="86"/>
      <c r="F60" s="87"/>
      <c r="G60" s="86"/>
      <c r="H60" s="86"/>
      <c r="I60" s="95"/>
      <c r="J60" s="96"/>
    </row>
    <row r="61" ht="18.75" customHeight="1" spans="1:15">
      <c r="A61" s="88" t="s">
        <v>207</v>
      </c>
      <c r="B61" s="89" t="s">
        <v>74</v>
      </c>
      <c r="C61" s="89" t="s">
        <v>75</v>
      </c>
      <c r="D61" s="89" t="s">
        <v>76</v>
      </c>
      <c r="E61" s="2" t="s">
        <v>21</v>
      </c>
      <c r="F61" s="83">
        <v>250</v>
      </c>
      <c r="G61" s="28">
        <v>167.58</v>
      </c>
      <c r="H61" s="90">
        <f t="shared" ref="H61:H63" si="6">F61*G61</f>
        <v>41895</v>
      </c>
      <c r="I61" s="89"/>
      <c r="K61" s="79"/>
      <c r="L61" s="97"/>
      <c r="M61" s="98">
        <v>370</v>
      </c>
      <c r="N61" s="99">
        <v>555</v>
      </c>
      <c r="O61" s="79"/>
    </row>
    <row r="62" ht="18.75" customHeight="1" spans="1:15">
      <c r="A62" s="88" t="s">
        <v>208</v>
      </c>
      <c r="B62" s="89" t="s">
        <v>74</v>
      </c>
      <c r="C62" s="89" t="s">
        <v>78</v>
      </c>
      <c r="D62" s="89" t="s">
        <v>76</v>
      </c>
      <c r="E62" s="2" t="s">
        <v>21</v>
      </c>
      <c r="F62" s="91"/>
      <c r="G62" s="28">
        <v>78.32</v>
      </c>
      <c r="H62" s="90">
        <f t="shared" si="6"/>
        <v>0</v>
      </c>
      <c r="I62" s="89"/>
      <c r="K62" s="79"/>
      <c r="L62" s="97"/>
      <c r="M62" s="100">
        <v>463</v>
      </c>
      <c r="N62" s="99">
        <v>694.5</v>
      </c>
      <c r="O62" s="79"/>
    </row>
    <row r="63" ht="18.75" customHeight="1" spans="1:15">
      <c r="A63" s="88" t="s">
        <v>209</v>
      </c>
      <c r="B63" s="89" t="s">
        <v>74</v>
      </c>
      <c r="C63" s="89" t="s">
        <v>80</v>
      </c>
      <c r="D63" s="89" t="s">
        <v>76</v>
      </c>
      <c r="E63" s="2" t="s">
        <v>21</v>
      </c>
      <c r="F63" s="92">
        <v>159</v>
      </c>
      <c r="G63" s="28">
        <v>67.71</v>
      </c>
      <c r="H63" s="90">
        <f t="shared" si="6"/>
        <v>10765.89</v>
      </c>
      <c r="I63" s="89"/>
      <c r="K63" s="79"/>
      <c r="L63" s="97"/>
      <c r="M63" s="79">
        <v>145</v>
      </c>
      <c r="N63" s="99">
        <v>217.5</v>
      </c>
      <c r="O63" s="79"/>
    </row>
    <row r="64" ht="18.75" customHeight="1" spans="1:15">
      <c r="A64" s="88" t="s">
        <v>210</v>
      </c>
      <c r="B64" s="89" t="s">
        <v>74</v>
      </c>
      <c r="C64" s="89" t="s">
        <v>211</v>
      </c>
      <c r="D64" s="89" t="s">
        <v>76</v>
      </c>
      <c r="E64" s="2" t="s">
        <v>21</v>
      </c>
      <c r="F64" s="92">
        <v>70</v>
      </c>
      <c r="G64" s="28">
        <v>39.37</v>
      </c>
      <c r="H64" s="90">
        <f t="shared" ref="H64:H67" si="7">F64*G64</f>
        <v>2755.9</v>
      </c>
      <c r="I64" s="89"/>
      <c r="K64" s="79"/>
      <c r="L64" s="97"/>
      <c r="M64" s="79">
        <v>145</v>
      </c>
      <c r="N64" s="99">
        <v>217.5</v>
      </c>
      <c r="O64" s="79"/>
    </row>
    <row r="65" ht="18.75" customHeight="1" spans="1:15">
      <c r="A65" s="88" t="s">
        <v>212</v>
      </c>
      <c r="B65" s="89" t="s">
        <v>82</v>
      </c>
      <c r="C65" s="89" t="s">
        <v>83</v>
      </c>
      <c r="D65" s="89" t="s">
        <v>84</v>
      </c>
      <c r="E65" s="2" t="s">
        <v>21</v>
      </c>
      <c r="F65" s="83">
        <v>10</v>
      </c>
      <c r="G65" s="28">
        <v>160.1</v>
      </c>
      <c r="H65" s="90">
        <f t="shared" si="7"/>
        <v>1601</v>
      </c>
      <c r="I65" s="89"/>
      <c r="K65" s="101"/>
      <c r="L65" s="101"/>
      <c r="M65" s="98">
        <v>2413</v>
      </c>
      <c r="N65" s="99">
        <v>3619.5</v>
      </c>
      <c r="O65" s="101"/>
    </row>
    <row r="66" ht="18.75" customHeight="1" spans="1:15">
      <c r="A66" s="88" t="s">
        <v>213</v>
      </c>
      <c r="B66" s="89" t="s">
        <v>82</v>
      </c>
      <c r="C66" s="89" t="s">
        <v>86</v>
      </c>
      <c r="D66" s="89" t="s">
        <v>84</v>
      </c>
      <c r="E66" s="2" t="s">
        <v>21</v>
      </c>
      <c r="F66" s="83">
        <v>437</v>
      </c>
      <c r="G66" s="28">
        <v>131.63</v>
      </c>
      <c r="H66" s="90">
        <f t="shared" si="7"/>
        <v>57522.31</v>
      </c>
      <c r="I66" s="89"/>
      <c r="K66" s="101"/>
      <c r="L66" s="101"/>
      <c r="M66" s="98">
        <v>38</v>
      </c>
      <c r="N66" s="99">
        <v>57</v>
      </c>
      <c r="O66" s="101"/>
    </row>
    <row r="67" ht="18.75" customHeight="1" spans="1:15">
      <c r="A67" s="88" t="s">
        <v>214</v>
      </c>
      <c r="B67" s="89" t="s">
        <v>82</v>
      </c>
      <c r="C67" s="89" t="s">
        <v>215</v>
      </c>
      <c r="D67" s="89" t="s">
        <v>84</v>
      </c>
      <c r="E67" s="2" t="s">
        <v>21</v>
      </c>
      <c r="F67" s="83">
        <v>609</v>
      </c>
      <c r="G67" s="28">
        <v>69.95</v>
      </c>
      <c r="H67" s="90">
        <f t="shared" si="7"/>
        <v>42599.55</v>
      </c>
      <c r="I67" s="89"/>
      <c r="K67" s="101"/>
      <c r="L67" s="101"/>
      <c r="M67" s="98">
        <v>38</v>
      </c>
      <c r="N67" s="99">
        <v>57</v>
      </c>
      <c r="O67" s="101"/>
    </row>
    <row r="68" ht="18.75" customHeight="1" spans="1:15">
      <c r="A68" s="88" t="s">
        <v>216</v>
      </c>
      <c r="B68" s="89" t="s">
        <v>82</v>
      </c>
      <c r="C68" s="89" t="s">
        <v>217</v>
      </c>
      <c r="D68" s="89" t="s">
        <v>84</v>
      </c>
      <c r="E68" s="2" t="s">
        <v>21</v>
      </c>
      <c r="F68" s="83">
        <v>2067</v>
      </c>
      <c r="G68" s="28">
        <v>50.23</v>
      </c>
      <c r="H68" s="90">
        <f t="shared" ref="H68:H100" si="8">F68*G68</f>
        <v>103825.41</v>
      </c>
      <c r="I68" s="89"/>
      <c r="K68" s="101">
        <f>SUM(F63:F68)</f>
        <v>3352</v>
      </c>
      <c r="L68" s="101"/>
      <c r="M68" s="98">
        <v>120</v>
      </c>
      <c r="N68" s="81">
        <v>258.425196850394</v>
      </c>
      <c r="O68" s="101"/>
    </row>
    <row r="69" ht="18.75" customHeight="1" spans="1:12">
      <c r="A69" s="88" t="s">
        <v>218</v>
      </c>
      <c r="B69" s="89" t="s">
        <v>90</v>
      </c>
      <c r="C69" s="89" t="s">
        <v>91</v>
      </c>
      <c r="D69" s="89" t="s">
        <v>92</v>
      </c>
      <c r="E69" s="2" t="s">
        <v>93</v>
      </c>
      <c r="F69" s="83">
        <v>18</v>
      </c>
      <c r="G69" s="28">
        <v>206.38</v>
      </c>
      <c r="H69" s="90">
        <f t="shared" si="8"/>
        <v>3714.84</v>
      </c>
      <c r="I69" s="89"/>
      <c r="L69" s="97"/>
    </row>
    <row r="70" ht="18.75" customHeight="1" spans="1:12">
      <c r="A70" s="88" t="s">
        <v>219</v>
      </c>
      <c r="B70" s="89" t="s">
        <v>95</v>
      </c>
      <c r="C70" s="89" t="s">
        <v>220</v>
      </c>
      <c r="D70" s="89"/>
      <c r="E70" s="2" t="s">
        <v>93</v>
      </c>
      <c r="F70" s="83">
        <v>1</v>
      </c>
      <c r="G70" s="28">
        <v>320.53</v>
      </c>
      <c r="H70" s="90">
        <f t="shared" si="8"/>
        <v>320.53</v>
      </c>
      <c r="I70" s="89"/>
      <c r="L70" s="97"/>
    </row>
    <row r="71" ht="18.75" customHeight="1" spans="1:12">
      <c r="A71" s="88" t="s">
        <v>221</v>
      </c>
      <c r="B71" s="89" t="s">
        <v>95</v>
      </c>
      <c r="C71" s="89" t="s">
        <v>222</v>
      </c>
      <c r="D71" s="89"/>
      <c r="E71" s="2" t="s">
        <v>93</v>
      </c>
      <c r="F71" s="83">
        <v>1</v>
      </c>
      <c r="G71" s="28">
        <v>209.92</v>
      </c>
      <c r="H71" s="90">
        <f t="shared" ref="H71" si="9">F71*G71</f>
        <v>209.92</v>
      </c>
      <c r="I71" s="89"/>
      <c r="L71" s="97"/>
    </row>
    <row r="72" ht="18.75" customHeight="1" spans="1:12">
      <c r="A72" s="88" t="s">
        <v>223</v>
      </c>
      <c r="B72" s="89" t="s">
        <v>95</v>
      </c>
      <c r="C72" s="89" t="s">
        <v>224</v>
      </c>
      <c r="D72" s="89"/>
      <c r="E72" s="2" t="s">
        <v>93</v>
      </c>
      <c r="F72" s="83">
        <v>46</v>
      </c>
      <c r="G72" s="28">
        <v>118.34</v>
      </c>
      <c r="H72" s="90">
        <f t="shared" si="8"/>
        <v>5443.64</v>
      </c>
      <c r="I72" s="89"/>
      <c r="L72" s="97"/>
    </row>
    <row r="73" ht="18.75" customHeight="1" spans="1:12">
      <c r="A73" s="88" t="s">
        <v>225</v>
      </c>
      <c r="B73" s="89" t="s">
        <v>95</v>
      </c>
      <c r="C73" s="89" t="s">
        <v>226</v>
      </c>
      <c r="D73" s="89"/>
      <c r="E73" s="2" t="s">
        <v>93</v>
      </c>
      <c r="F73" s="83">
        <v>88</v>
      </c>
      <c r="G73" s="28">
        <v>118.34</v>
      </c>
      <c r="H73" s="90">
        <f t="shared" ref="H73:H74" si="10">F73*G73</f>
        <v>10413.92</v>
      </c>
      <c r="I73" s="89"/>
      <c r="L73" s="97"/>
    </row>
    <row r="74" ht="18.75" customHeight="1" spans="1:12">
      <c r="A74" s="88" t="s">
        <v>227</v>
      </c>
      <c r="B74" s="89" t="s">
        <v>228</v>
      </c>
      <c r="C74" s="89" t="s">
        <v>229</v>
      </c>
      <c r="D74" s="89"/>
      <c r="E74" s="2" t="s">
        <v>93</v>
      </c>
      <c r="F74" s="83">
        <v>2</v>
      </c>
      <c r="G74" s="28">
        <v>320.53</v>
      </c>
      <c r="H74" s="90">
        <f t="shared" si="10"/>
        <v>641.06</v>
      </c>
      <c r="I74" s="89"/>
      <c r="L74" s="97"/>
    </row>
    <row r="75" ht="18.75" customHeight="1" spans="1:12">
      <c r="A75" s="88" t="s">
        <v>230</v>
      </c>
      <c r="B75" s="89" t="s">
        <v>228</v>
      </c>
      <c r="C75" s="89" t="s">
        <v>231</v>
      </c>
      <c r="D75" s="89"/>
      <c r="E75" s="2" t="s">
        <v>93</v>
      </c>
      <c r="F75" s="83">
        <v>1</v>
      </c>
      <c r="G75" s="28">
        <v>287.83</v>
      </c>
      <c r="H75" s="90">
        <f t="shared" ref="H75" si="11">F75*G75</f>
        <v>287.83</v>
      </c>
      <c r="I75" s="89"/>
      <c r="L75" s="97"/>
    </row>
    <row r="76" ht="18.75" customHeight="1" spans="1:12">
      <c r="A76" s="88" t="s">
        <v>232</v>
      </c>
      <c r="B76" s="89" t="s">
        <v>100</v>
      </c>
      <c r="C76" s="89" t="s">
        <v>101</v>
      </c>
      <c r="D76" s="89"/>
      <c r="E76" s="2" t="s">
        <v>93</v>
      </c>
      <c r="F76" s="83">
        <v>2</v>
      </c>
      <c r="G76" s="28">
        <v>155.44</v>
      </c>
      <c r="H76" s="90">
        <f t="shared" si="8"/>
        <v>310.88</v>
      </c>
      <c r="I76" s="89"/>
      <c r="L76" s="97"/>
    </row>
    <row r="77" ht="18.75" customHeight="1" spans="1:12">
      <c r="A77" s="88" t="s">
        <v>233</v>
      </c>
      <c r="B77" s="89" t="s">
        <v>100</v>
      </c>
      <c r="C77" s="89" t="s">
        <v>103</v>
      </c>
      <c r="D77" s="89"/>
      <c r="E77" s="2" t="s">
        <v>93</v>
      </c>
      <c r="F77" s="83">
        <v>113</v>
      </c>
      <c r="G77" s="28">
        <v>132.78</v>
      </c>
      <c r="H77" s="90">
        <f t="shared" si="8"/>
        <v>15004.14</v>
      </c>
      <c r="I77" s="89"/>
      <c r="L77" s="97"/>
    </row>
    <row r="78" ht="18.75" customHeight="1" spans="1:12">
      <c r="A78" s="88" t="s">
        <v>234</v>
      </c>
      <c r="B78" s="89" t="s">
        <v>100</v>
      </c>
      <c r="C78" s="89" t="s">
        <v>235</v>
      </c>
      <c r="D78" s="89"/>
      <c r="E78" s="2" t="s">
        <v>93</v>
      </c>
      <c r="F78" s="83">
        <v>32</v>
      </c>
      <c r="G78" s="28">
        <v>68.16</v>
      </c>
      <c r="H78" s="90">
        <f t="shared" ref="H78:H79" si="12">F78*G78</f>
        <v>2181.12</v>
      </c>
      <c r="I78" s="89"/>
      <c r="L78" s="97"/>
    </row>
    <row r="79" ht="18.75" customHeight="1" spans="1:12">
      <c r="A79" s="88" t="s">
        <v>236</v>
      </c>
      <c r="B79" s="89" t="s">
        <v>100</v>
      </c>
      <c r="C79" s="89" t="s">
        <v>237</v>
      </c>
      <c r="D79" s="89"/>
      <c r="E79" s="2" t="s">
        <v>93</v>
      </c>
      <c r="F79" s="83">
        <v>268</v>
      </c>
      <c r="G79" s="28">
        <v>57.26</v>
      </c>
      <c r="H79" s="90">
        <f t="shared" si="12"/>
        <v>15345.68</v>
      </c>
      <c r="I79" s="89"/>
      <c r="L79" s="97"/>
    </row>
    <row r="80" ht="18.75" customHeight="1" spans="1:12">
      <c r="A80" s="88" t="s">
        <v>238</v>
      </c>
      <c r="B80" s="89" t="s">
        <v>105</v>
      </c>
      <c r="C80" s="89" t="s">
        <v>106</v>
      </c>
      <c r="D80" s="89"/>
      <c r="E80" s="2" t="s">
        <v>93</v>
      </c>
      <c r="F80" s="83"/>
      <c r="G80" s="28">
        <v>431.29</v>
      </c>
      <c r="H80" s="90">
        <f t="shared" si="8"/>
        <v>0</v>
      </c>
      <c r="I80" s="89"/>
      <c r="L80" s="97"/>
    </row>
    <row r="81" ht="18.75" customHeight="1" spans="1:12">
      <c r="A81" s="88" t="s">
        <v>239</v>
      </c>
      <c r="B81" s="89" t="s">
        <v>105</v>
      </c>
      <c r="C81" s="89" t="s">
        <v>108</v>
      </c>
      <c r="D81" s="89"/>
      <c r="E81" s="2" t="s">
        <v>93</v>
      </c>
      <c r="F81" s="83">
        <v>2</v>
      </c>
      <c r="G81" s="28">
        <v>91.72</v>
      </c>
      <c r="H81" s="90">
        <f t="shared" si="8"/>
        <v>183.44</v>
      </c>
      <c r="I81" s="89"/>
      <c r="L81" s="97"/>
    </row>
    <row r="82" ht="18.75" customHeight="1" spans="1:12">
      <c r="A82" s="88" t="s">
        <v>240</v>
      </c>
      <c r="B82" s="89" t="s">
        <v>105</v>
      </c>
      <c r="C82" s="89" t="s">
        <v>110</v>
      </c>
      <c r="D82" s="89"/>
      <c r="E82" s="2" t="s">
        <v>93</v>
      </c>
      <c r="F82" s="83">
        <v>4</v>
      </c>
      <c r="G82" s="28">
        <v>90.8</v>
      </c>
      <c r="H82" s="90">
        <f t="shared" si="8"/>
        <v>363.2</v>
      </c>
      <c r="I82" s="89"/>
      <c r="L82" s="97"/>
    </row>
    <row r="83" ht="18.75" customHeight="1" spans="1:12">
      <c r="A83" s="88" t="s">
        <v>241</v>
      </c>
      <c r="B83" s="89" t="s">
        <v>105</v>
      </c>
      <c r="C83" s="89" t="s">
        <v>242</v>
      </c>
      <c r="D83" s="89"/>
      <c r="E83" s="2" t="s">
        <v>93</v>
      </c>
      <c r="F83" s="83">
        <v>2</v>
      </c>
      <c r="G83" s="28">
        <v>83.94</v>
      </c>
      <c r="H83" s="90">
        <f t="shared" ref="H83" si="13">F83*G83</f>
        <v>167.88</v>
      </c>
      <c r="I83" s="89"/>
      <c r="L83" s="97"/>
    </row>
    <row r="84" ht="18.75" customHeight="1" spans="1:12">
      <c r="A84" s="88" t="s">
        <v>243</v>
      </c>
      <c r="B84" s="89" t="s">
        <v>112</v>
      </c>
      <c r="C84" s="89" t="s">
        <v>121</v>
      </c>
      <c r="D84" s="89"/>
      <c r="E84" s="2" t="s">
        <v>93</v>
      </c>
      <c r="F84" s="83">
        <v>2</v>
      </c>
      <c r="G84" s="28">
        <v>98.97</v>
      </c>
      <c r="H84" s="90">
        <f t="shared" si="8"/>
        <v>197.94</v>
      </c>
      <c r="I84" s="89"/>
      <c r="L84" s="97"/>
    </row>
    <row r="85" ht="18.75" customHeight="1" spans="1:12">
      <c r="A85" s="88" t="s">
        <v>244</v>
      </c>
      <c r="B85" s="89" t="s">
        <v>112</v>
      </c>
      <c r="C85" s="89" t="s">
        <v>245</v>
      </c>
      <c r="D85" s="89"/>
      <c r="E85" s="2" t="s">
        <v>93</v>
      </c>
      <c r="F85" s="83">
        <v>7</v>
      </c>
      <c r="G85" s="28">
        <v>90.97</v>
      </c>
      <c r="H85" s="90">
        <f t="shared" si="8"/>
        <v>636.79</v>
      </c>
      <c r="I85" s="89"/>
      <c r="L85" s="97"/>
    </row>
    <row r="86" ht="18.75" customHeight="1" spans="1:12">
      <c r="A86" s="88" t="s">
        <v>246</v>
      </c>
      <c r="B86" s="89" t="s">
        <v>112</v>
      </c>
      <c r="C86" s="89" t="s">
        <v>247</v>
      </c>
      <c r="D86" s="89"/>
      <c r="E86" s="2" t="s">
        <v>93</v>
      </c>
      <c r="F86" s="83">
        <v>1</v>
      </c>
      <c r="G86" s="28">
        <v>85.5</v>
      </c>
      <c r="H86" s="90">
        <f t="shared" ref="H86:H87" si="14">F86*G86</f>
        <v>85.5</v>
      </c>
      <c r="I86" s="89"/>
      <c r="L86" s="97"/>
    </row>
    <row r="87" ht="18.75" customHeight="1" spans="1:12">
      <c r="A87" s="88" t="s">
        <v>248</v>
      </c>
      <c r="B87" s="89" t="s">
        <v>112</v>
      </c>
      <c r="C87" s="89" t="s">
        <v>249</v>
      </c>
      <c r="D87" s="89"/>
      <c r="E87" s="2" t="s">
        <v>93</v>
      </c>
      <c r="F87" s="83">
        <v>1</v>
      </c>
      <c r="G87" s="28">
        <v>94.07</v>
      </c>
      <c r="H87" s="90">
        <f t="shared" si="14"/>
        <v>94.07</v>
      </c>
      <c r="I87" s="89"/>
      <c r="L87" s="97"/>
    </row>
    <row r="88" ht="18.75" customHeight="1" spans="1:12">
      <c r="A88" s="88" t="s">
        <v>250</v>
      </c>
      <c r="B88" s="89" t="s">
        <v>123</v>
      </c>
      <c r="C88" s="89" t="s">
        <v>121</v>
      </c>
      <c r="D88" s="89"/>
      <c r="E88" s="2" t="s">
        <v>93</v>
      </c>
      <c r="F88" s="83">
        <v>2</v>
      </c>
      <c r="G88" s="28">
        <v>99.52</v>
      </c>
      <c r="H88" s="90">
        <f t="shared" si="8"/>
        <v>199.04</v>
      </c>
      <c r="I88" s="89"/>
      <c r="L88" s="97"/>
    </row>
    <row r="89" ht="18.75" customHeight="1" spans="1:12">
      <c r="A89" s="88" t="s">
        <v>251</v>
      </c>
      <c r="B89" s="89" t="s">
        <v>123</v>
      </c>
      <c r="C89" s="89" t="s">
        <v>245</v>
      </c>
      <c r="D89" s="89"/>
      <c r="E89" s="2" t="s">
        <v>93</v>
      </c>
      <c r="F89" s="83">
        <v>2</v>
      </c>
      <c r="G89" s="28">
        <v>75.2</v>
      </c>
      <c r="H89" s="90">
        <f t="shared" ref="H89" si="15">F89*G89</f>
        <v>150.4</v>
      </c>
      <c r="I89" s="89"/>
      <c r="L89" s="97"/>
    </row>
    <row r="90" ht="18.75" customHeight="1" spans="1:12">
      <c r="A90" s="88" t="s">
        <v>252</v>
      </c>
      <c r="B90" s="89" t="s">
        <v>126</v>
      </c>
      <c r="C90" s="89" t="s">
        <v>129</v>
      </c>
      <c r="D90" s="89"/>
      <c r="E90" s="2" t="s">
        <v>93</v>
      </c>
      <c r="F90" s="83">
        <v>3</v>
      </c>
      <c r="G90" s="28">
        <v>376.13</v>
      </c>
      <c r="H90" s="90">
        <f t="shared" si="8"/>
        <v>1128.39</v>
      </c>
      <c r="I90" s="89"/>
      <c r="L90" s="97"/>
    </row>
    <row r="91" ht="18.75" customHeight="1" spans="1:12">
      <c r="A91" s="88" t="s">
        <v>253</v>
      </c>
      <c r="B91" s="89" t="s">
        <v>126</v>
      </c>
      <c r="C91" s="89" t="s">
        <v>131</v>
      </c>
      <c r="D91" s="89"/>
      <c r="E91" s="2" t="s">
        <v>93</v>
      </c>
      <c r="F91" s="83">
        <v>5</v>
      </c>
      <c r="G91" s="28">
        <v>263.71</v>
      </c>
      <c r="H91" s="90">
        <f t="shared" si="8"/>
        <v>1318.55</v>
      </c>
      <c r="I91" s="89"/>
      <c r="L91" s="97"/>
    </row>
    <row r="92" ht="18.75" customHeight="1" spans="1:12">
      <c r="A92" s="88" t="s">
        <v>254</v>
      </c>
      <c r="B92" s="89" t="s">
        <v>126</v>
      </c>
      <c r="C92" s="89" t="s">
        <v>255</v>
      </c>
      <c r="D92" s="89"/>
      <c r="E92" s="2" t="s">
        <v>93</v>
      </c>
      <c r="F92" s="83">
        <v>11</v>
      </c>
      <c r="G92" s="28">
        <v>182.55</v>
      </c>
      <c r="H92" s="90">
        <f t="shared" ref="H92" si="16">F92*G92</f>
        <v>2008.05</v>
      </c>
      <c r="I92" s="89"/>
      <c r="L92" s="97"/>
    </row>
    <row r="93" ht="18.75" customHeight="1" spans="1:12">
      <c r="A93" s="88" t="s">
        <v>256</v>
      </c>
      <c r="B93" s="89" t="s">
        <v>133</v>
      </c>
      <c r="C93" s="89" t="s">
        <v>108</v>
      </c>
      <c r="D93" s="89"/>
      <c r="E93" s="2" t="s">
        <v>93</v>
      </c>
      <c r="F93" s="83">
        <v>13</v>
      </c>
      <c r="G93" s="28">
        <v>101.7</v>
      </c>
      <c r="H93" s="90">
        <f t="shared" si="8"/>
        <v>1322.1</v>
      </c>
      <c r="I93" s="89"/>
      <c r="L93" s="97"/>
    </row>
    <row r="94" ht="18.75" customHeight="1" spans="1:12">
      <c r="A94" s="88" t="s">
        <v>257</v>
      </c>
      <c r="B94" s="89" t="s">
        <v>133</v>
      </c>
      <c r="C94" s="89" t="s">
        <v>110</v>
      </c>
      <c r="D94" s="89"/>
      <c r="E94" s="2" t="s">
        <v>93</v>
      </c>
      <c r="F94" s="83">
        <v>8</v>
      </c>
      <c r="G94" s="28">
        <v>96.25</v>
      </c>
      <c r="H94" s="90">
        <f t="shared" si="8"/>
        <v>770</v>
      </c>
      <c r="I94" s="89"/>
      <c r="L94" s="97"/>
    </row>
    <row r="95" ht="18.75" customHeight="1" spans="1:12">
      <c r="A95" s="88" t="s">
        <v>258</v>
      </c>
      <c r="B95" s="89" t="s">
        <v>133</v>
      </c>
      <c r="C95" s="89" t="s">
        <v>242</v>
      </c>
      <c r="D95" s="89"/>
      <c r="E95" s="2" t="s">
        <v>93</v>
      </c>
      <c r="F95" s="83">
        <v>4</v>
      </c>
      <c r="G95" s="28">
        <v>94.07</v>
      </c>
      <c r="H95" s="90">
        <f t="shared" ref="H95" si="17">F95*G95</f>
        <v>376.28</v>
      </c>
      <c r="I95" s="89"/>
      <c r="L95" s="97"/>
    </row>
    <row r="96" ht="18.75" customHeight="1" spans="1:12">
      <c r="A96" s="88" t="s">
        <v>259</v>
      </c>
      <c r="B96" s="89" t="s">
        <v>137</v>
      </c>
      <c r="C96" s="89" t="s">
        <v>103</v>
      </c>
      <c r="D96" s="89"/>
      <c r="E96" s="2" t="s">
        <v>93</v>
      </c>
      <c r="F96" s="83">
        <v>5</v>
      </c>
      <c r="G96" s="28">
        <v>771.19</v>
      </c>
      <c r="H96" s="90">
        <f t="shared" si="8"/>
        <v>3855.95</v>
      </c>
      <c r="I96" s="89" t="s">
        <v>138</v>
      </c>
      <c r="L96" s="97"/>
    </row>
    <row r="97" ht="18.75" customHeight="1" spans="1:12">
      <c r="A97" s="88" t="s">
        <v>260</v>
      </c>
      <c r="B97" s="89" t="s">
        <v>137</v>
      </c>
      <c r="C97" s="89" t="s">
        <v>235</v>
      </c>
      <c r="D97" s="89"/>
      <c r="E97" s="2" t="s">
        <v>93</v>
      </c>
      <c r="F97" s="83">
        <v>13</v>
      </c>
      <c r="G97" s="28">
        <v>450.68</v>
      </c>
      <c r="H97" s="90">
        <f t="shared" ref="H97" si="18">F97*G97</f>
        <v>5858.84</v>
      </c>
      <c r="I97" s="89" t="s">
        <v>138</v>
      </c>
      <c r="L97" s="97"/>
    </row>
    <row r="98" ht="18.75" customHeight="1" spans="1:12">
      <c r="A98" s="88" t="s">
        <v>261</v>
      </c>
      <c r="B98" s="89" t="s">
        <v>137</v>
      </c>
      <c r="C98" s="89" t="s">
        <v>141</v>
      </c>
      <c r="D98" s="89"/>
      <c r="E98" s="2" t="s">
        <v>93</v>
      </c>
      <c r="F98" s="83">
        <v>134</v>
      </c>
      <c r="G98" s="28">
        <v>360.55</v>
      </c>
      <c r="H98" s="90">
        <f t="shared" si="8"/>
        <v>48313.7</v>
      </c>
      <c r="I98" s="89" t="s">
        <v>138</v>
      </c>
      <c r="L98" s="97"/>
    </row>
    <row r="99" ht="18.75" customHeight="1" spans="1:12">
      <c r="A99" s="88" t="s">
        <v>262</v>
      </c>
      <c r="B99" s="89" t="s">
        <v>143</v>
      </c>
      <c r="C99" s="89"/>
      <c r="D99" s="89"/>
      <c r="E99" s="2" t="s">
        <v>21</v>
      </c>
      <c r="F99" s="83">
        <v>479</v>
      </c>
      <c r="G99" s="28">
        <v>1.89</v>
      </c>
      <c r="H99" s="90">
        <f t="shared" si="8"/>
        <v>905.31</v>
      </c>
      <c r="I99" s="89"/>
      <c r="K99" s="78">
        <v>1003</v>
      </c>
      <c r="L99" s="97"/>
    </row>
    <row r="100" ht="18.75" customHeight="1" spans="1:12">
      <c r="A100" s="88" t="s">
        <v>263</v>
      </c>
      <c r="B100" s="89" t="s">
        <v>145</v>
      </c>
      <c r="C100" s="89"/>
      <c r="D100" s="89"/>
      <c r="E100" s="2" t="s">
        <v>21</v>
      </c>
      <c r="F100" s="83">
        <v>479</v>
      </c>
      <c r="G100" s="28">
        <v>6.04</v>
      </c>
      <c r="H100" s="90">
        <f t="shared" si="8"/>
        <v>2893.16</v>
      </c>
      <c r="I100" s="89"/>
      <c r="L100" s="97"/>
    </row>
    <row r="101" ht="18.75" customHeight="1" spans="1:14">
      <c r="A101" s="88" t="s">
        <v>264</v>
      </c>
      <c r="B101" s="89" t="s">
        <v>147</v>
      </c>
      <c r="C101" s="89" t="s">
        <v>265</v>
      </c>
      <c r="D101" s="89"/>
      <c r="E101" s="2" t="s">
        <v>93</v>
      </c>
      <c r="F101" s="83">
        <v>2</v>
      </c>
      <c r="G101" s="28">
        <v>24974.06</v>
      </c>
      <c r="H101" s="90">
        <f t="shared" ref="H101:H108" si="19">F101*G101</f>
        <v>49948.12</v>
      </c>
      <c r="I101" s="89"/>
      <c r="M101" s="98">
        <v>3</v>
      </c>
      <c r="N101" s="81">
        <v>6.46062992125984</v>
      </c>
    </row>
    <row r="102" ht="18.75" customHeight="1" spans="1:13">
      <c r="A102" s="88" t="s">
        <v>266</v>
      </c>
      <c r="B102" s="89" t="s">
        <v>152</v>
      </c>
      <c r="C102" s="89" t="s">
        <v>153</v>
      </c>
      <c r="D102" s="89"/>
      <c r="E102" s="2" t="s">
        <v>154</v>
      </c>
      <c r="F102" s="83">
        <v>1203</v>
      </c>
      <c r="G102" s="28">
        <f>0.04*7.85*4*5.5*1.35</f>
        <v>9.3258</v>
      </c>
      <c r="H102" s="90">
        <f t="shared" si="19"/>
        <v>11218.9374</v>
      </c>
      <c r="I102" s="89"/>
      <c r="M102" s="102"/>
    </row>
    <row r="103" ht="18.75" customHeight="1" spans="1:13">
      <c r="A103" s="88" t="s">
        <v>267</v>
      </c>
      <c r="B103" s="89" t="s">
        <v>156</v>
      </c>
      <c r="C103" s="89" t="s">
        <v>157</v>
      </c>
      <c r="D103" s="89"/>
      <c r="E103" s="2" t="s">
        <v>158</v>
      </c>
      <c r="F103" s="83">
        <v>4</v>
      </c>
      <c r="G103" s="28">
        <f>3.77*5.5*1.35</f>
        <v>27.99225</v>
      </c>
      <c r="H103" s="90">
        <f t="shared" si="19"/>
        <v>111.969</v>
      </c>
      <c r="I103" s="89"/>
      <c r="M103" s="102"/>
    </row>
    <row r="104" ht="18.75" customHeight="1" spans="1:13">
      <c r="A104" s="88" t="s">
        <v>268</v>
      </c>
      <c r="B104" s="89" t="s">
        <v>160</v>
      </c>
      <c r="C104" s="89" t="s">
        <v>103</v>
      </c>
      <c r="D104" s="89" t="s">
        <v>84</v>
      </c>
      <c r="E104" s="2" t="s">
        <v>93</v>
      </c>
      <c r="F104" s="83">
        <v>68</v>
      </c>
      <c r="G104" s="28">
        <v>96.89</v>
      </c>
      <c r="H104" s="90">
        <f t="shared" si="19"/>
        <v>6588.52</v>
      </c>
      <c r="I104" s="89"/>
      <c r="M104" s="102"/>
    </row>
    <row r="105" ht="18" customHeight="1" spans="1:13">
      <c r="A105" s="88" t="s">
        <v>269</v>
      </c>
      <c r="B105" s="89" t="s">
        <v>160</v>
      </c>
      <c r="C105" s="89" t="s">
        <v>235</v>
      </c>
      <c r="D105" s="89" t="s">
        <v>84</v>
      </c>
      <c r="E105" s="2" t="s">
        <v>93</v>
      </c>
      <c r="F105" s="83">
        <v>122</v>
      </c>
      <c r="G105" s="28">
        <v>72.52</v>
      </c>
      <c r="H105" s="90">
        <f t="shared" si="19"/>
        <v>8847.44</v>
      </c>
      <c r="I105" s="89"/>
      <c r="M105" s="102"/>
    </row>
    <row r="106" ht="18" customHeight="1" spans="1:13">
      <c r="A106" s="88" t="s">
        <v>270</v>
      </c>
      <c r="B106" s="89" t="s">
        <v>160</v>
      </c>
      <c r="C106" s="89" t="s">
        <v>237</v>
      </c>
      <c r="D106" s="89" t="s">
        <v>84</v>
      </c>
      <c r="E106" s="2" t="s">
        <v>93</v>
      </c>
      <c r="F106" s="83">
        <v>591</v>
      </c>
      <c r="G106" s="28">
        <v>30.24</v>
      </c>
      <c r="H106" s="90">
        <f t="shared" ref="H106" si="20">F106*G106</f>
        <v>17871.84</v>
      </c>
      <c r="I106" s="89"/>
      <c r="M106" s="102"/>
    </row>
    <row r="107" ht="18.75" customHeight="1" spans="1:12">
      <c r="A107" s="88" t="s">
        <v>271</v>
      </c>
      <c r="B107" s="89" t="s">
        <v>164</v>
      </c>
      <c r="C107" s="89"/>
      <c r="D107" s="89"/>
      <c r="E107" s="2" t="s">
        <v>154</v>
      </c>
      <c r="F107" s="83">
        <v>24</v>
      </c>
      <c r="G107" s="28">
        <v>312.6</v>
      </c>
      <c r="H107" s="90">
        <f t="shared" si="19"/>
        <v>7502.4</v>
      </c>
      <c r="I107" s="89"/>
      <c r="K107" s="78" t="s">
        <v>165</v>
      </c>
      <c r="L107" s="97"/>
    </row>
    <row r="108" ht="18.75" customHeight="1" spans="1:12">
      <c r="A108" s="88" t="s">
        <v>272</v>
      </c>
      <c r="B108" s="89" t="s">
        <v>170</v>
      </c>
      <c r="C108" s="89" t="s">
        <v>171</v>
      </c>
      <c r="D108" s="89" t="s">
        <v>172</v>
      </c>
      <c r="E108" s="2" t="s">
        <v>173</v>
      </c>
      <c r="F108" s="83">
        <v>689</v>
      </c>
      <c r="G108" s="28">
        <v>327.12</v>
      </c>
      <c r="H108" s="90">
        <f t="shared" si="19"/>
        <v>225385.68</v>
      </c>
      <c r="I108" s="89" t="s">
        <v>174</v>
      </c>
      <c r="L108" s="97"/>
    </row>
    <row r="109" ht="18.75" customHeight="1" spans="1:12">
      <c r="A109" s="88" t="s">
        <v>273</v>
      </c>
      <c r="B109" s="89" t="s">
        <v>176</v>
      </c>
      <c r="C109" s="89" t="s">
        <v>177</v>
      </c>
      <c r="D109" s="89"/>
      <c r="E109" s="2" t="s">
        <v>93</v>
      </c>
      <c r="F109" s="83">
        <v>1378</v>
      </c>
      <c r="G109" s="28">
        <v>61.86</v>
      </c>
      <c r="H109" s="90">
        <f t="shared" ref="H109:H115" si="21">F109*G109</f>
        <v>85243.08</v>
      </c>
      <c r="I109" s="89"/>
      <c r="L109" s="97"/>
    </row>
    <row r="110" ht="18.75" customHeight="1" spans="1:12">
      <c r="A110" s="88" t="s">
        <v>274</v>
      </c>
      <c r="B110" s="89" t="s">
        <v>179</v>
      </c>
      <c r="C110" s="89" t="s">
        <v>177</v>
      </c>
      <c r="D110" s="89"/>
      <c r="E110" s="2" t="s">
        <v>154</v>
      </c>
      <c r="F110" s="83">
        <v>4134</v>
      </c>
      <c r="G110" s="28">
        <v>46.6</v>
      </c>
      <c r="H110" s="90">
        <f t="shared" si="21"/>
        <v>192644.4</v>
      </c>
      <c r="I110" s="89"/>
      <c r="K110" s="78" t="s">
        <v>180</v>
      </c>
      <c r="L110" s="97"/>
    </row>
    <row r="111" ht="18.75" customHeight="1" spans="1:12">
      <c r="A111" s="88" t="s">
        <v>275</v>
      </c>
      <c r="B111" s="89" t="s">
        <v>182</v>
      </c>
      <c r="C111" s="89" t="s">
        <v>183</v>
      </c>
      <c r="D111" s="89"/>
      <c r="E111" s="2" t="s">
        <v>93</v>
      </c>
      <c r="F111" s="83">
        <v>689</v>
      </c>
      <c r="G111" s="28">
        <v>2.74</v>
      </c>
      <c r="H111" s="90">
        <f t="shared" si="21"/>
        <v>1887.86</v>
      </c>
      <c r="I111" s="89"/>
      <c r="L111" s="97"/>
    </row>
    <row r="112" ht="18.75" customHeight="1" spans="1:12">
      <c r="A112" s="88" t="s">
        <v>276</v>
      </c>
      <c r="B112" s="89" t="s">
        <v>185</v>
      </c>
      <c r="C112" s="89" t="s">
        <v>177</v>
      </c>
      <c r="D112" s="89"/>
      <c r="E112" s="2" t="s">
        <v>93</v>
      </c>
      <c r="F112" s="83">
        <v>3445</v>
      </c>
      <c r="G112" s="28">
        <v>2.06</v>
      </c>
      <c r="H112" s="90">
        <f t="shared" si="21"/>
        <v>7096.7</v>
      </c>
      <c r="I112" s="89"/>
      <c r="L112" s="97"/>
    </row>
    <row r="113" ht="18.75" customHeight="1" spans="1:12">
      <c r="A113" s="88" t="s">
        <v>277</v>
      </c>
      <c r="B113" s="89" t="s">
        <v>187</v>
      </c>
      <c r="C113" s="89" t="s">
        <v>177</v>
      </c>
      <c r="D113" s="89"/>
      <c r="E113" s="2" t="s">
        <v>93</v>
      </c>
      <c r="F113" s="83">
        <v>1378</v>
      </c>
      <c r="G113" s="28">
        <v>1.85</v>
      </c>
      <c r="H113" s="90">
        <f t="shared" si="21"/>
        <v>2549.3</v>
      </c>
      <c r="I113" s="89"/>
      <c r="L113" s="97"/>
    </row>
    <row r="114" ht="18.75" customHeight="1" spans="1:12">
      <c r="A114" s="88" t="s">
        <v>278</v>
      </c>
      <c r="B114" s="89" t="s">
        <v>189</v>
      </c>
      <c r="C114" s="89" t="s">
        <v>141</v>
      </c>
      <c r="D114" s="89" t="s">
        <v>172</v>
      </c>
      <c r="E114" s="2" t="s">
        <v>93</v>
      </c>
      <c r="F114" s="83">
        <v>689</v>
      </c>
      <c r="G114" s="28">
        <v>20.15</v>
      </c>
      <c r="H114" s="90">
        <f t="shared" si="21"/>
        <v>13883.35</v>
      </c>
      <c r="I114" s="89"/>
      <c r="L114" s="97"/>
    </row>
    <row r="115" ht="18.75" customHeight="1" spans="1:12">
      <c r="A115" s="88" t="s">
        <v>279</v>
      </c>
      <c r="B115" s="89" t="s">
        <v>191</v>
      </c>
      <c r="C115" s="89" t="s">
        <v>192</v>
      </c>
      <c r="D115" s="89"/>
      <c r="E115" s="2" t="s">
        <v>193</v>
      </c>
      <c r="F115" s="83">
        <f>479*0.9</f>
        <v>431.1</v>
      </c>
      <c r="G115" s="28">
        <v>104.45</v>
      </c>
      <c r="H115" s="90">
        <f t="shared" si="21"/>
        <v>45028.395</v>
      </c>
      <c r="I115" s="89"/>
      <c r="K115" s="78">
        <v>2</v>
      </c>
      <c r="L115" s="97"/>
    </row>
    <row r="116" ht="18.75" customHeight="1" spans="1:12">
      <c r="A116" s="88" t="s">
        <v>280</v>
      </c>
      <c r="B116" s="89" t="s">
        <v>195</v>
      </c>
      <c r="C116" s="89"/>
      <c r="D116" s="89"/>
      <c r="E116" s="2" t="s">
        <v>196</v>
      </c>
      <c r="F116" s="83">
        <f>479*(0.9*1.9)</f>
        <v>819.09</v>
      </c>
      <c r="G116" s="28">
        <v>10.03</v>
      </c>
      <c r="H116" s="90">
        <f t="shared" ref="H116:H120" si="22">F116*G116</f>
        <v>8215.4727</v>
      </c>
      <c r="I116" s="89"/>
      <c r="L116" s="97"/>
    </row>
    <row r="117" ht="18.75" customHeight="1" spans="1:12">
      <c r="A117" s="88" t="s">
        <v>281</v>
      </c>
      <c r="B117" s="89" t="s">
        <v>198</v>
      </c>
      <c r="C117" s="89"/>
      <c r="D117" s="89"/>
      <c r="E117" s="2" t="s">
        <v>196</v>
      </c>
      <c r="F117" s="83">
        <f>479*(0.9*1.7)</f>
        <v>732.87</v>
      </c>
      <c r="G117" s="28">
        <v>14.82</v>
      </c>
      <c r="H117" s="90">
        <f t="shared" si="22"/>
        <v>10861.1334</v>
      </c>
      <c r="I117" s="89"/>
      <c r="L117" s="97"/>
    </row>
    <row r="118" ht="18.75" customHeight="1" spans="1:12">
      <c r="A118" s="88" t="s">
        <v>282</v>
      </c>
      <c r="B118" s="89" t="s">
        <v>200</v>
      </c>
      <c r="C118" s="89"/>
      <c r="D118" s="89"/>
      <c r="E118" s="2" t="s">
        <v>196</v>
      </c>
      <c r="F118" s="83">
        <f>479*(0.9*0.15)</f>
        <v>64.665</v>
      </c>
      <c r="G118" s="28">
        <v>30.63</v>
      </c>
      <c r="H118" s="90">
        <f t="shared" si="22"/>
        <v>1980.68895</v>
      </c>
      <c r="I118" s="89"/>
      <c r="L118" s="97"/>
    </row>
    <row r="119" ht="18.75" customHeight="1" spans="1:12">
      <c r="A119" s="88" t="s">
        <v>283</v>
      </c>
      <c r="B119" s="89" t="s">
        <v>202</v>
      </c>
      <c r="C119" s="89"/>
      <c r="D119" s="89"/>
      <c r="E119" s="2" t="s">
        <v>196</v>
      </c>
      <c r="F119" s="83">
        <f>479*(0.9*0.15)</f>
        <v>64.665</v>
      </c>
      <c r="G119" s="28">
        <v>209.24</v>
      </c>
      <c r="H119" s="90">
        <f t="shared" si="22"/>
        <v>13530.5046</v>
      </c>
      <c r="I119" s="89"/>
      <c r="L119" s="97"/>
    </row>
    <row r="120" ht="18.75" hidden="1" customHeight="1" spans="1:12">
      <c r="A120" s="88" t="s">
        <v>284</v>
      </c>
      <c r="B120" s="89" t="s">
        <v>204</v>
      </c>
      <c r="C120" s="89"/>
      <c r="D120" s="89"/>
      <c r="E120" s="2" t="s">
        <v>196</v>
      </c>
      <c r="F120" s="83">
        <f>479*(0.9*0.3)*0</f>
        <v>0</v>
      </c>
      <c r="G120" s="28">
        <v>215.73</v>
      </c>
      <c r="H120" s="90">
        <f t="shared" si="22"/>
        <v>0</v>
      </c>
      <c r="I120" s="89"/>
      <c r="L120" s="97"/>
    </row>
    <row r="121" ht="18.75" customHeight="1" spans="1:9">
      <c r="A121" s="88"/>
      <c r="B121" s="89" t="s">
        <v>205</v>
      </c>
      <c r="C121" s="89"/>
      <c r="D121" s="89"/>
      <c r="E121" s="2" t="s">
        <v>206</v>
      </c>
      <c r="F121" s="83"/>
      <c r="G121" s="103"/>
      <c r="H121" s="90">
        <f>SUM(H61:H120)</f>
        <v>1096063.00105</v>
      </c>
      <c r="I121" s="89"/>
    </row>
    <row r="122" ht="18.75" customHeight="1" spans="1:10">
      <c r="A122" s="84" t="s">
        <v>26</v>
      </c>
      <c r="B122" s="85" t="s">
        <v>27</v>
      </c>
      <c r="C122" s="86"/>
      <c r="D122" s="86"/>
      <c r="E122" s="86"/>
      <c r="F122" s="87"/>
      <c r="G122" s="86"/>
      <c r="H122" s="86"/>
      <c r="I122" s="95"/>
      <c r="J122" s="96"/>
    </row>
    <row r="123" ht="18.75" customHeight="1" spans="1:15">
      <c r="A123" s="88" t="s">
        <v>285</v>
      </c>
      <c r="B123" s="89" t="s">
        <v>74</v>
      </c>
      <c r="C123" s="89" t="s">
        <v>286</v>
      </c>
      <c r="D123" s="89" t="s">
        <v>76</v>
      </c>
      <c r="E123" s="2" t="s">
        <v>21</v>
      </c>
      <c r="F123" s="83">
        <v>14</v>
      </c>
      <c r="G123" s="28">
        <v>353.21</v>
      </c>
      <c r="H123" s="90">
        <f t="shared" ref="H123:H128" si="23">F123*G123</f>
        <v>4944.94</v>
      </c>
      <c r="I123" s="89"/>
      <c r="K123" s="79"/>
      <c r="L123" s="97"/>
      <c r="M123" s="98">
        <v>370</v>
      </c>
      <c r="N123" s="99">
        <v>555</v>
      </c>
      <c r="O123" s="79"/>
    </row>
    <row r="124" ht="18.75" customHeight="1" spans="1:15">
      <c r="A124" s="88" t="s">
        <v>287</v>
      </c>
      <c r="B124" s="89" t="s">
        <v>74</v>
      </c>
      <c r="C124" s="89" t="s">
        <v>288</v>
      </c>
      <c r="D124" s="89" t="s">
        <v>76</v>
      </c>
      <c r="E124" s="2" t="s">
        <v>21</v>
      </c>
      <c r="F124" s="83">
        <v>27</v>
      </c>
      <c r="G124" s="28">
        <v>279.64</v>
      </c>
      <c r="H124" s="90">
        <f t="shared" ref="H124:H126" si="24">F124*G124</f>
        <v>7550.28</v>
      </c>
      <c r="I124" s="89"/>
      <c r="K124" s="79"/>
      <c r="L124" s="97"/>
      <c r="M124" s="98">
        <v>370</v>
      </c>
      <c r="N124" s="99">
        <v>555</v>
      </c>
      <c r="O124" s="79"/>
    </row>
    <row r="125" ht="18.75" customHeight="1" spans="1:15">
      <c r="A125" s="88" t="s">
        <v>289</v>
      </c>
      <c r="B125" s="89" t="s">
        <v>74</v>
      </c>
      <c r="C125" s="89" t="s">
        <v>290</v>
      </c>
      <c r="D125" s="89" t="s">
        <v>76</v>
      </c>
      <c r="E125" s="2" t="s">
        <v>21</v>
      </c>
      <c r="F125" s="83">
        <v>92</v>
      </c>
      <c r="G125" s="28">
        <v>229.35</v>
      </c>
      <c r="H125" s="90">
        <f t="shared" si="24"/>
        <v>21100.2</v>
      </c>
      <c r="I125" s="89"/>
      <c r="K125" s="79"/>
      <c r="L125" s="97"/>
      <c r="M125" s="98">
        <v>370</v>
      </c>
      <c r="N125" s="99">
        <v>555</v>
      </c>
      <c r="O125" s="79"/>
    </row>
    <row r="126" ht="18.75" customHeight="1" spans="1:15">
      <c r="A126" s="88" t="s">
        <v>291</v>
      </c>
      <c r="B126" s="89" t="s">
        <v>74</v>
      </c>
      <c r="C126" s="89" t="s">
        <v>75</v>
      </c>
      <c r="D126" s="89" t="s">
        <v>76</v>
      </c>
      <c r="E126" s="2" t="s">
        <v>21</v>
      </c>
      <c r="F126" s="83">
        <v>286</v>
      </c>
      <c r="G126" s="28">
        <v>167.58</v>
      </c>
      <c r="H126" s="90">
        <f t="shared" si="24"/>
        <v>47927.88</v>
      </c>
      <c r="I126" s="89"/>
      <c r="K126" s="79"/>
      <c r="L126" s="97"/>
      <c r="M126" s="98">
        <v>370</v>
      </c>
      <c r="N126" s="99">
        <v>555</v>
      </c>
      <c r="O126" s="79"/>
    </row>
    <row r="127" ht="18.75" customHeight="1" spans="1:15">
      <c r="A127" s="88" t="s">
        <v>292</v>
      </c>
      <c r="B127" s="89" t="s">
        <v>74</v>
      </c>
      <c r="C127" s="89" t="s">
        <v>78</v>
      </c>
      <c r="D127" s="89" t="s">
        <v>76</v>
      </c>
      <c r="E127" s="2" t="s">
        <v>21</v>
      </c>
      <c r="F127" s="91">
        <v>650</v>
      </c>
      <c r="G127" s="28">
        <v>78.32</v>
      </c>
      <c r="H127" s="90">
        <f t="shared" si="23"/>
        <v>50908</v>
      </c>
      <c r="I127" s="89"/>
      <c r="K127" s="79"/>
      <c r="L127" s="97"/>
      <c r="M127" s="100">
        <v>463</v>
      </c>
      <c r="N127" s="99">
        <v>694.5</v>
      </c>
      <c r="O127" s="79"/>
    </row>
    <row r="128" ht="18.75" customHeight="1" spans="1:15">
      <c r="A128" s="88" t="s">
        <v>293</v>
      </c>
      <c r="B128" s="89" t="s">
        <v>74</v>
      </c>
      <c r="C128" s="89" t="s">
        <v>80</v>
      </c>
      <c r="D128" s="89" t="s">
        <v>76</v>
      </c>
      <c r="E128" s="2" t="s">
        <v>21</v>
      </c>
      <c r="F128" s="92">
        <v>291</v>
      </c>
      <c r="G128" s="28">
        <v>67.71</v>
      </c>
      <c r="H128" s="90">
        <f t="shared" si="23"/>
        <v>19703.61</v>
      </c>
      <c r="I128" s="89"/>
      <c r="K128" s="79"/>
      <c r="L128" s="97"/>
      <c r="M128" s="79">
        <v>145</v>
      </c>
      <c r="N128" s="99">
        <v>217.5</v>
      </c>
      <c r="O128" s="79"/>
    </row>
    <row r="129" ht="18.75" customHeight="1" spans="1:15">
      <c r="A129" s="88" t="s">
        <v>294</v>
      </c>
      <c r="B129" s="89" t="s">
        <v>74</v>
      </c>
      <c r="C129" s="89" t="s">
        <v>211</v>
      </c>
      <c r="D129" s="89" t="s">
        <v>76</v>
      </c>
      <c r="E129" s="2" t="s">
        <v>21</v>
      </c>
      <c r="F129" s="83">
        <v>65</v>
      </c>
      <c r="G129" s="28">
        <v>39.37</v>
      </c>
      <c r="H129" s="90">
        <f t="shared" ref="H129:H131" si="25">F129*G129</f>
        <v>2559.05</v>
      </c>
      <c r="I129" s="89"/>
      <c r="K129" s="79"/>
      <c r="L129" s="97"/>
      <c r="M129" s="79">
        <v>145</v>
      </c>
      <c r="N129" s="99">
        <v>217.5</v>
      </c>
      <c r="O129" s="79"/>
    </row>
    <row r="130" ht="18.75" customHeight="1" spans="1:15">
      <c r="A130" s="88" t="s">
        <v>295</v>
      </c>
      <c r="B130" s="89" t="s">
        <v>82</v>
      </c>
      <c r="C130" s="89" t="s">
        <v>83</v>
      </c>
      <c r="D130" s="89" t="s">
        <v>84</v>
      </c>
      <c r="E130" s="2" t="s">
        <v>21</v>
      </c>
      <c r="F130" s="83">
        <v>1382</v>
      </c>
      <c r="G130" s="28">
        <v>160.1</v>
      </c>
      <c r="H130" s="90">
        <f t="shared" si="25"/>
        <v>221258.2</v>
      </c>
      <c r="I130" s="89"/>
      <c r="K130" s="101"/>
      <c r="L130" s="101"/>
      <c r="M130" s="98">
        <v>2413</v>
      </c>
      <c r="N130" s="99">
        <v>3619.5</v>
      </c>
      <c r="O130" s="101"/>
    </row>
    <row r="131" ht="18.75" customHeight="1" spans="1:15">
      <c r="A131" s="88" t="s">
        <v>296</v>
      </c>
      <c r="B131" s="89" t="s">
        <v>82</v>
      </c>
      <c r="C131" s="89" t="s">
        <v>86</v>
      </c>
      <c r="D131" s="89" t="s">
        <v>84</v>
      </c>
      <c r="E131" s="2" t="s">
        <v>21</v>
      </c>
      <c r="F131" s="83">
        <v>3235</v>
      </c>
      <c r="G131" s="28">
        <v>131.63</v>
      </c>
      <c r="H131" s="90">
        <f t="shared" si="25"/>
        <v>425823.05</v>
      </c>
      <c r="I131" s="89"/>
      <c r="K131" s="101"/>
      <c r="L131" s="101"/>
      <c r="M131" s="98">
        <v>38</v>
      </c>
      <c r="N131" s="99">
        <v>57</v>
      </c>
      <c r="O131" s="101"/>
    </row>
    <row r="132" ht="18.75" customHeight="1" spans="1:15">
      <c r="A132" s="88" t="s">
        <v>297</v>
      </c>
      <c r="B132" s="89" t="s">
        <v>82</v>
      </c>
      <c r="C132" s="89" t="s">
        <v>215</v>
      </c>
      <c r="D132" s="89" t="s">
        <v>84</v>
      </c>
      <c r="E132" s="2" t="s">
        <v>21</v>
      </c>
      <c r="F132" s="83">
        <v>322</v>
      </c>
      <c r="G132" s="28">
        <v>69.95</v>
      </c>
      <c r="H132" s="90">
        <f t="shared" ref="H132:H173" si="26">F132*G132</f>
        <v>22523.9</v>
      </c>
      <c r="I132" s="89"/>
      <c r="K132" s="101">
        <f>SUM(F128:F132)</f>
        <v>5295</v>
      </c>
      <c r="L132" s="101"/>
      <c r="M132" s="98">
        <v>120</v>
      </c>
      <c r="N132" s="81">
        <v>258.425196850394</v>
      </c>
      <c r="O132" s="101"/>
    </row>
    <row r="133" ht="18.75" customHeight="1" spans="1:15">
      <c r="A133" s="88" t="s">
        <v>298</v>
      </c>
      <c r="B133" s="89" t="s">
        <v>82</v>
      </c>
      <c r="C133" s="89" t="s">
        <v>217</v>
      </c>
      <c r="D133" s="89" t="s">
        <v>84</v>
      </c>
      <c r="E133" s="2" t="s">
        <v>21</v>
      </c>
      <c r="F133" s="83">
        <v>9111</v>
      </c>
      <c r="G133" s="28">
        <v>50.23</v>
      </c>
      <c r="H133" s="90">
        <f t="shared" ref="H133" si="27">F133*G133</f>
        <v>457645.53</v>
      </c>
      <c r="I133" s="89"/>
      <c r="K133" s="101">
        <f>SUM(F129:F133)</f>
        <v>14115</v>
      </c>
      <c r="L133" s="101"/>
      <c r="M133" s="98">
        <v>120</v>
      </c>
      <c r="N133" s="81">
        <v>258.425196850394</v>
      </c>
      <c r="O133" s="101"/>
    </row>
    <row r="134" ht="18.75" customHeight="1" spans="1:12">
      <c r="A134" s="88" t="s">
        <v>299</v>
      </c>
      <c r="B134" s="89" t="s">
        <v>90</v>
      </c>
      <c r="C134" s="89" t="s">
        <v>300</v>
      </c>
      <c r="D134" s="89" t="s">
        <v>92</v>
      </c>
      <c r="E134" s="2" t="s">
        <v>93</v>
      </c>
      <c r="F134" s="83">
        <v>5</v>
      </c>
      <c r="G134" s="28">
        <v>260.5</v>
      </c>
      <c r="H134" s="90">
        <f t="shared" si="26"/>
        <v>1302.5</v>
      </c>
      <c r="I134" s="89"/>
      <c r="L134" s="97"/>
    </row>
    <row r="135" ht="18.75" customHeight="1" spans="1:12">
      <c r="A135" s="88" t="s">
        <v>301</v>
      </c>
      <c r="B135" s="89" t="s">
        <v>90</v>
      </c>
      <c r="C135" s="89" t="s">
        <v>302</v>
      </c>
      <c r="D135" s="89" t="s">
        <v>92</v>
      </c>
      <c r="E135" s="2" t="s">
        <v>93</v>
      </c>
      <c r="F135" s="83">
        <v>20</v>
      </c>
      <c r="G135" s="28">
        <v>240.55</v>
      </c>
      <c r="H135" s="90">
        <f t="shared" ref="H135:H139" si="28">F135*G135</f>
        <v>4811</v>
      </c>
      <c r="I135" s="89"/>
      <c r="L135" s="97"/>
    </row>
    <row r="136" ht="18.75" customHeight="1" spans="1:12">
      <c r="A136" s="88" t="s">
        <v>303</v>
      </c>
      <c r="B136" s="89" t="s">
        <v>90</v>
      </c>
      <c r="C136" s="89" t="s">
        <v>91</v>
      </c>
      <c r="D136" s="89" t="s">
        <v>92</v>
      </c>
      <c r="E136" s="2" t="s">
        <v>93</v>
      </c>
      <c r="F136" s="83">
        <v>31</v>
      </c>
      <c r="G136" s="28">
        <v>206.38</v>
      </c>
      <c r="H136" s="90">
        <f t="shared" si="28"/>
        <v>6397.78</v>
      </c>
      <c r="I136" s="89"/>
      <c r="L136" s="97"/>
    </row>
    <row r="137" ht="18.75" customHeight="1" spans="1:12">
      <c r="A137" s="88" t="s">
        <v>304</v>
      </c>
      <c r="B137" s="89" t="s">
        <v>90</v>
      </c>
      <c r="C137" s="89" t="s">
        <v>103</v>
      </c>
      <c r="D137" s="89" t="s">
        <v>92</v>
      </c>
      <c r="E137" s="2" t="s">
        <v>93</v>
      </c>
      <c r="F137" s="83">
        <v>5</v>
      </c>
      <c r="G137" s="28">
        <v>103.33</v>
      </c>
      <c r="H137" s="90">
        <f t="shared" si="28"/>
        <v>516.65</v>
      </c>
      <c r="I137" s="89"/>
      <c r="L137" s="97"/>
    </row>
    <row r="138" ht="18.75" customHeight="1" spans="1:12">
      <c r="A138" s="88" t="s">
        <v>305</v>
      </c>
      <c r="B138" s="89" t="s">
        <v>100</v>
      </c>
      <c r="C138" s="89" t="s">
        <v>101</v>
      </c>
      <c r="D138" s="89"/>
      <c r="E138" s="2" t="s">
        <v>93</v>
      </c>
      <c r="F138" s="83">
        <v>846</v>
      </c>
      <c r="G138" s="28">
        <v>155.4</v>
      </c>
      <c r="H138" s="90">
        <f t="shared" si="28"/>
        <v>131468.4</v>
      </c>
      <c r="I138" s="89"/>
      <c r="L138" s="97"/>
    </row>
    <row r="139" ht="18.75" customHeight="1" spans="1:12">
      <c r="A139" s="88" t="s">
        <v>306</v>
      </c>
      <c r="B139" s="89" t="s">
        <v>100</v>
      </c>
      <c r="C139" s="89" t="s">
        <v>103</v>
      </c>
      <c r="D139" s="89"/>
      <c r="E139" s="2" t="s">
        <v>93</v>
      </c>
      <c r="F139" s="83">
        <v>1320</v>
      </c>
      <c r="G139" s="28">
        <v>132.78</v>
      </c>
      <c r="H139" s="90">
        <f t="shared" si="28"/>
        <v>175269.6</v>
      </c>
      <c r="I139" s="89"/>
      <c r="L139" s="97"/>
    </row>
    <row r="140" ht="18.75" customHeight="1" spans="1:12">
      <c r="A140" s="88" t="s">
        <v>307</v>
      </c>
      <c r="B140" s="89" t="s">
        <v>100</v>
      </c>
      <c r="C140" s="89" t="s">
        <v>235</v>
      </c>
      <c r="D140" s="89"/>
      <c r="E140" s="2" t="s">
        <v>93</v>
      </c>
      <c r="F140" s="83">
        <v>258</v>
      </c>
      <c r="G140" s="28">
        <v>68.16</v>
      </c>
      <c r="H140" s="90">
        <f t="shared" ref="H140:H141" si="29">F140*G140</f>
        <v>17585.28</v>
      </c>
      <c r="I140" s="89"/>
      <c r="L140" s="97"/>
    </row>
    <row r="141" ht="18.75" customHeight="1" spans="1:12">
      <c r="A141" s="88" t="s">
        <v>308</v>
      </c>
      <c r="B141" s="89" t="s">
        <v>100</v>
      </c>
      <c r="C141" s="89" t="s">
        <v>237</v>
      </c>
      <c r="D141" s="89"/>
      <c r="E141" s="2" t="s">
        <v>93</v>
      </c>
      <c r="F141" s="83">
        <v>440</v>
      </c>
      <c r="G141" s="28">
        <v>57.26</v>
      </c>
      <c r="H141" s="90">
        <f t="shared" si="29"/>
        <v>25194.4</v>
      </c>
      <c r="I141" s="89"/>
      <c r="L141" s="97"/>
    </row>
    <row r="142" ht="18.75" customHeight="1" spans="1:12">
      <c r="A142" s="88" t="s">
        <v>309</v>
      </c>
      <c r="B142" s="89" t="s">
        <v>105</v>
      </c>
      <c r="C142" s="89" t="s">
        <v>310</v>
      </c>
      <c r="D142" s="89"/>
      <c r="E142" s="2" t="s">
        <v>93</v>
      </c>
      <c r="F142" s="83">
        <v>3</v>
      </c>
      <c r="G142" s="28">
        <v>287.96</v>
      </c>
      <c r="H142" s="90">
        <f t="shared" si="26"/>
        <v>863.88</v>
      </c>
      <c r="I142" s="89"/>
      <c r="L142" s="97"/>
    </row>
    <row r="143" ht="18.75" customHeight="1" spans="1:12">
      <c r="A143" s="88" t="s">
        <v>311</v>
      </c>
      <c r="B143" s="89" t="s">
        <v>105</v>
      </c>
      <c r="C143" s="89" t="s">
        <v>106</v>
      </c>
      <c r="D143" s="89"/>
      <c r="E143" s="2" t="s">
        <v>93</v>
      </c>
      <c r="F143" s="83">
        <v>3</v>
      </c>
      <c r="G143" s="28">
        <v>257.21</v>
      </c>
      <c r="H143" s="90">
        <f t="shared" ref="H143" si="30">F143*G143</f>
        <v>771.63</v>
      </c>
      <c r="I143" s="89"/>
      <c r="L143" s="97"/>
    </row>
    <row r="144" ht="18.75" customHeight="1" spans="1:12">
      <c r="A144" s="88" t="s">
        <v>312</v>
      </c>
      <c r="B144" s="89" t="s">
        <v>105</v>
      </c>
      <c r="C144" s="89" t="s">
        <v>108</v>
      </c>
      <c r="D144" s="89"/>
      <c r="E144" s="2" t="s">
        <v>93</v>
      </c>
      <c r="F144" s="83">
        <v>8</v>
      </c>
      <c r="G144" s="28">
        <v>91.72</v>
      </c>
      <c r="H144" s="90">
        <f t="shared" si="26"/>
        <v>733.76</v>
      </c>
      <c r="I144" s="89"/>
      <c r="L144" s="97"/>
    </row>
    <row r="145" ht="18.75" customHeight="1" spans="1:12">
      <c r="A145" s="88" t="s">
        <v>313</v>
      </c>
      <c r="B145" s="89" t="s">
        <v>105</v>
      </c>
      <c r="C145" s="89" t="s">
        <v>110</v>
      </c>
      <c r="D145" s="89"/>
      <c r="E145" s="2" t="s">
        <v>93</v>
      </c>
      <c r="F145" s="83">
        <v>4</v>
      </c>
      <c r="G145" s="28">
        <v>90.8</v>
      </c>
      <c r="H145" s="90">
        <f t="shared" si="26"/>
        <v>363.2</v>
      </c>
      <c r="I145" s="89"/>
      <c r="L145" s="97"/>
    </row>
    <row r="146" ht="18.75" customHeight="1" spans="1:12">
      <c r="A146" s="88" t="s">
        <v>314</v>
      </c>
      <c r="B146" s="89" t="s">
        <v>112</v>
      </c>
      <c r="C146" s="89" t="s">
        <v>315</v>
      </c>
      <c r="D146" s="89"/>
      <c r="E146" s="2" t="s">
        <v>93</v>
      </c>
      <c r="F146" s="83">
        <v>4</v>
      </c>
      <c r="G146" s="28">
        <v>946.69</v>
      </c>
      <c r="H146" s="90">
        <f t="shared" si="26"/>
        <v>3786.76</v>
      </c>
      <c r="I146" s="89"/>
      <c r="L146" s="97"/>
    </row>
    <row r="147" ht="18.75" customHeight="1" spans="1:12">
      <c r="A147" s="88" t="s">
        <v>316</v>
      </c>
      <c r="B147" s="89" t="s">
        <v>112</v>
      </c>
      <c r="C147" s="89" t="s">
        <v>317</v>
      </c>
      <c r="D147" s="89"/>
      <c r="E147" s="2" t="s">
        <v>93</v>
      </c>
      <c r="F147" s="83">
        <v>3</v>
      </c>
      <c r="G147" s="28">
        <v>910.2</v>
      </c>
      <c r="H147" s="90">
        <f t="shared" ref="H147:H150" si="31">F147*G147</f>
        <v>2730.6</v>
      </c>
      <c r="I147" s="89"/>
      <c r="L147" s="97"/>
    </row>
    <row r="148" ht="18.75" customHeight="1" spans="1:12">
      <c r="A148" s="88" t="s">
        <v>318</v>
      </c>
      <c r="B148" s="89" t="s">
        <v>112</v>
      </c>
      <c r="C148" s="89" t="s">
        <v>319</v>
      </c>
      <c r="D148" s="89"/>
      <c r="E148" s="2" t="s">
        <v>93</v>
      </c>
      <c r="F148" s="83">
        <v>5</v>
      </c>
      <c r="G148" s="28">
        <v>900.2</v>
      </c>
      <c r="H148" s="90">
        <f t="shared" si="31"/>
        <v>4501</v>
      </c>
      <c r="I148" s="89"/>
      <c r="L148" s="97"/>
    </row>
    <row r="149" ht="18.75" customHeight="1" spans="1:12">
      <c r="A149" s="88" t="s">
        <v>320</v>
      </c>
      <c r="B149" s="89" t="s">
        <v>112</v>
      </c>
      <c r="C149" s="89" t="s">
        <v>321</v>
      </c>
      <c r="D149" s="89"/>
      <c r="E149" s="2" t="s">
        <v>93</v>
      </c>
      <c r="F149" s="83">
        <v>4</v>
      </c>
      <c r="G149" s="28">
        <v>890.2</v>
      </c>
      <c r="H149" s="90">
        <f t="shared" si="31"/>
        <v>3560.8</v>
      </c>
      <c r="I149" s="89"/>
      <c r="L149" s="97"/>
    </row>
    <row r="150" ht="18.75" customHeight="1" spans="1:12">
      <c r="A150" s="88" t="s">
        <v>322</v>
      </c>
      <c r="B150" s="89" t="s">
        <v>112</v>
      </c>
      <c r="C150" s="89" t="s">
        <v>323</v>
      </c>
      <c r="D150" s="89"/>
      <c r="E150" s="2" t="s">
        <v>93</v>
      </c>
      <c r="F150" s="83">
        <v>3</v>
      </c>
      <c r="G150" s="28">
        <v>461.53</v>
      </c>
      <c r="H150" s="90">
        <f t="shared" si="31"/>
        <v>1384.59</v>
      </c>
      <c r="I150" s="89"/>
      <c r="L150" s="97"/>
    </row>
    <row r="151" ht="18.75" customHeight="1" spans="1:12">
      <c r="A151" s="88" t="s">
        <v>324</v>
      </c>
      <c r="B151" s="89" t="s">
        <v>112</v>
      </c>
      <c r="C151" s="89" t="s">
        <v>325</v>
      </c>
      <c r="D151" s="89"/>
      <c r="E151" s="2" t="s">
        <v>93</v>
      </c>
      <c r="F151" s="83">
        <v>5</v>
      </c>
      <c r="G151" s="28">
        <v>447.64</v>
      </c>
      <c r="H151" s="90">
        <f t="shared" si="26"/>
        <v>2238.2</v>
      </c>
      <c r="I151" s="89"/>
      <c r="L151" s="97"/>
    </row>
    <row r="152" ht="18.75" customHeight="1" spans="1:12">
      <c r="A152" s="88" t="s">
        <v>326</v>
      </c>
      <c r="B152" s="89" t="s">
        <v>112</v>
      </c>
      <c r="C152" s="89" t="s">
        <v>327</v>
      </c>
      <c r="D152" s="89"/>
      <c r="E152" s="2" t="s">
        <v>93</v>
      </c>
      <c r="F152" s="83">
        <v>5</v>
      </c>
      <c r="G152" s="28">
        <v>436.74</v>
      </c>
      <c r="H152" s="90">
        <f t="shared" si="26"/>
        <v>2183.7</v>
      </c>
      <c r="I152" s="89"/>
      <c r="L152" s="97"/>
    </row>
    <row r="153" ht="18.75" customHeight="1" spans="1:12">
      <c r="A153" s="88" t="s">
        <v>328</v>
      </c>
      <c r="B153" s="89" t="s">
        <v>112</v>
      </c>
      <c r="C153" s="89" t="s">
        <v>329</v>
      </c>
      <c r="D153" s="89"/>
      <c r="E153" s="2" t="s">
        <v>93</v>
      </c>
      <c r="F153" s="83">
        <v>7</v>
      </c>
      <c r="G153" s="28">
        <v>98.97</v>
      </c>
      <c r="H153" s="90">
        <f t="shared" si="26"/>
        <v>692.79</v>
      </c>
      <c r="I153" s="89"/>
      <c r="L153" s="97"/>
    </row>
    <row r="154" ht="18.75" customHeight="1" spans="1:12">
      <c r="A154" s="88" t="s">
        <v>330</v>
      </c>
      <c r="B154" s="89" t="s">
        <v>112</v>
      </c>
      <c r="C154" s="89" t="s">
        <v>121</v>
      </c>
      <c r="D154" s="89"/>
      <c r="E154" s="2" t="s">
        <v>93</v>
      </c>
      <c r="F154" s="83">
        <v>6</v>
      </c>
      <c r="G154" s="28">
        <v>98.97</v>
      </c>
      <c r="H154" s="90">
        <f t="shared" si="26"/>
        <v>593.82</v>
      </c>
      <c r="I154" s="89"/>
      <c r="L154" s="97"/>
    </row>
    <row r="155" ht="18.75" customHeight="1" spans="1:12">
      <c r="A155" s="88" t="s">
        <v>331</v>
      </c>
      <c r="B155" s="89" t="s">
        <v>112</v>
      </c>
      <c r="C155" s="89" t="s">
        <v>245</v>
      </c>
      <c r="D155" s="89"/>
      <c r="E155" s="2" t="s">
        <v>93</v>
      </c>
      <c r="F155" s="83">
        <v>3</v>
      </c>
      <c r="G155" s="28">
        <v>98.97</v>
      </c>
      <c r="H155" s="90">
        <f t="shared" ref="H155" si="32">F155*G155</f>
        <v>296.91</v>
      </c>
      <c r="I155" s="89"/>
      <c r="L155" s="97"/>
    </row>
    <row r="156" ht="18.75" customHeight="1" spans="1:12">
      <c r="A156" s="88" t="s">
        <v>332</v>
      </c>
      <c r="B156" s="89" t="s">
        <v>112</v>
      </c>
      <c r="C156" s="89" t="s">
        <v>247</v>
      </c>
      <c r="D156" s="89"/>
      <c r="E156" s="2" t="s">
        <v>93</v>
      </c>
      <c r="F156" s="83">
        <v>6</v>
      </c>
      <c r="G156" s="28">
        <v>94.07</v>
      </c>
      <c r="H156" s="90">
        <f t="shared" ref="H156" si="33">F156*G156</f>
        <v>564.42</v>
      </c>
      <c r="I156" s="89"/>
      <c r="L156" s="97"/>
    </row>
    <row r="157" ht="18" customHeight="1" spans="1:12">
      <c r="A157" s="88" t="s">
        <v>333</v>
      </c>
      <c r="B157" s="89" t="s">
        <v>123</v>
      </c>
      <c r="C157" s="89" t="s">
        <v>334</v>
      </c>
      <c r="D157" s="89"/>
      <c r="E157" s="2" t="s">
        <v>93</v>
      </c>
      <c r="F157" s="83">
        <v>4</v>
      </c>
      <c r="G157" s="28">
        <v>412.12</v>
      </c>
      <c r="H157" s="90">
        <f t="shared" si="26"/>
        <v>1648.48</v>
      </c>
      <c r="I157" s="89"/>
      <c r="L157" s="97"/>
    </row>
    <row r="158" ht="18" customHeight="1" spans="1:12">
      <c r="A158" s="88" t="s">
        <v>335</v>
      </c>
      <c r="B158" s="89" t="s">
        <v>123</v>
      </c>
      <c r="C158" s="89" t="s">
        <v>336</v>
      </c>
      <c r="D158" s="89"/>
      <c r="E158" s="2" t="s">
        <v>93</v>
      </c>
      <c r="F158" s="83">
        <v>6</v>
      </c>
      <c r="G158" s="28">
        <v>380.22</v>
      </c>
      <c r="H158" s="90">
        <f t="shared" ref="H158:H159" si="34">F158*G158</f>
        <v>2281.32</v>
      </c>
      <c r="I158" s="89"/>
      <c r="L158" s="97"/>
    </row>
    <row r="159" ht="18" customHeight="1" spans="1:12">
      <c r="A159" s="88" t="s">
        <v>337</v>
      </c>
      <c r="B159" s="89" t="s">
        <v>123</v>
      </c>
      <c r="C159" s="89" t="s">
        <v>325</v>
      </c>
      <c r="D159" s="89"/>
      <c r="E159" s="2" t="s">
        <v>93</v>
      </c>
      <c r="F159" s="83">
        <v>6</v>
      </c>
      <c r="G159" s="28">
        <v>165.36</v>
      </c>
      <c r="H159" s="90">
        <f t="shared" si="34"/>
        <v>992.16</v>
      </c>
      <c r="I159" s="89"/>
      <c r="L159" s="97"/>
    </row>
    <row r="160" ht="18.75" customHeight="1" spans="1:12">
      <c r="A160" s="88" t="s">
        <v>338</v>
      </c>
      <c r="B160" s="89" t="s">
        <v>123</v>
      </c>
      <c r="C160" s="89" t="s">
        <v>121</v>
      </c>
      <c r="D160" s="89"/>
      <c r="E160" s="2" t="s">
        <v>93</v>
      </c>
      <c r="F160" s="83">
        <v>3</v>
      </c>
      <c r="G160" s="28">
        <v>99.52</v>
      </c>
      <c r="H160" s="90">
        <f t="shared" si="26"/>
        <v>298.56</v>
      </c>
      <c r="I160" s="89"/>
      <c r="L160" s="97"/>
    </row>
    <row r="161" ht="18.75" customHeight="1" spans="1:12">
      <c r="A161" s="88" t="s">
        <v>339</v>
      </c>
      <c r="B161" s="89" t="s">
        <v>123</v>
      </c>
      <c r="C161" s="89" t="s">
        <v>245</v>
      </c>
      <c r="D161" s="89"/>
      <c r="E161" s="2" t="s">
        <v>93</v>
      </c>
      <c r="F161" s="83">
        <v>3</v>
      </c>
      <c r="G161" s="28">
        <v>99.52</v>
      </c>
      <c r="H161" s="90">
        <f t="shared" ref="H161" si="35">F161*G161</f>
        <v>298.56</v>
      </c>
      <c r="I161" s="89"/>
      <c r="L161" s="97"/>
    </row>
    <row r="162" ht="18.75" customHeight="1" spans="1:12">
      <c r="A162" s="88" t="s">
        <v>340</v>
      </c>
      <c r="B162" s="89" t="s">
        <v>126</v>
      </c>
      <c r="C162" s="89" t="s">
        <v>127</v>
      </c>
      <c r="D162" s="89"/>
      <c r="E162" s="2"/>
      <c r="F162" s="83">
        <v>2</v>
      </c>
      <c r="G162" s="28">
        <v>514.2</v>
      </c>
      <c r="H162" s="90">
        <f t="shared" si="26"/>
        <v>1028.4</v>
      </c>
      <c r="I162" s="89"/>
      <c r="L162" s="97"/>
    </row>
    <row r="163" ht="18.75" customHeight="1" spans="1:12">
      <c r="A163" s="88" t="s">
        <v>341</v>
      </c>
      <c r="B163" s="89" t="s">
        <v>126</v>
      </c>
      <c r="C163" s="89" t="s">
        <v>129</v>
      </c>
      <c r="D163" s="89"/>
      <c r="E163" s="2" t="s">
        <v>93</v>
      </c>
      <c r="F163" s="83">
        <v>12</v>
      </c>
      <c r="G163" s="28">
        <v>376.13</v>
      </c>
      <c r="H163" s="90">
        <f t="shared" si="26"/>
        <v>4513.56</v>
      </c>
      <c r="I163" s="89"/>
      <c r="L163" s="97"/>
    </row>
    <row r="164" ht="18.75" customHeight="1" spans="1:12">
      <c r="A164" s="88" t="s">
        <v>342</v>
      </c>
      <c r="B164" s="89" t="s">
        <v>126</v>
      </c>
      <c r="C164" s="89" t="s">
        <v>131</v>
      </c>
      <c r="D164" s="89"/>
      <c r="E164" s="2" t="s">
        <v>93</v>
      </c>
      <c r="F164" s="83">
        <v>32</v>
      </c>
      <c r="G164" s="28">
        <v>263.71</v>
      </c>
      <c r="H164" s="90">
        <f t="shared" si="26"/>
        <v>8438.72</v>
      </c>
      <c r="I164" s="89"/>
      <c r="L164" s="97"/>
    </row>
    <row r="165" ht="18.75" customHeight="1" spans="1:12">
      <c r="A165" s="88" t="s">
        <v>343</v>
      </c>
      <c r="B165" s="89" t="s">
        <v>126</v>
      </c>
      <c r="C165" s="89" t="s">
        <v>255</v>
      </c>
      <c r="D165" s="89"/>
      <c r="E165" s="2" t="s">
        <v>93</v>
      </c>
      <c r="F165" s="83">
        <v>9</v>
      </c>
      <c r="G165" s="28">
        <v>182.55</v>
      </c>
      <c r="H165" s="90">
        <f t="shared" ref="H165" si="36">F165*G165</f>
        <v>1642.95</v>
      </c>
      <c r="I165" s="89"/>
      <c r="L165" s="97"/>
    </row>
    <row r="166" ht="18.75" customHeight="1" spans="1:12">
      <c r="A166" s="88" t="s">
        <v>344</v>
      </c>
      <c r="B166" s="89" t="s">
        <v>133</v>
      </c>
      <c r="C166" s="89" t="s">
        <v>310</v>
      </c>
      <c r="D166" s="89"/>
      <c r="E166" s="2" t="s">
        <v>93</v>
      </c>
      <c r="F166" s="83">
        <v>4</v>
      </c>
      <c r="G166" s="28">
        <v>220.2</v>
      </c>
      <c r="H166" s="90">
        <f t="shared" si="26"/>
        <v>880.8</v>
      </c>
      <c r="I166" s="89"/>
      <c r="L166" s="97"/>
    </row>
    <row r="167" ht="18.75" customHeight="1" spans="1:12">
      <c r="A167" s="88" t="s">
        <v>345</v>
      </c>
      <c r="B167" s="89" t="s">
        <v>133</v>
      </c>
      <c r="C167" s="89" t="s">
        <v>106</v>
      </c>
      <c r="D167" s="89"/>
      <c r="E167" s="2" t="s">
        <v>93</v>
      </c>
      <c r="F167" s="83">
        <v>15</v>
      </c>
      <c r="G167" s="28">
        <v>183.3</v>
      </c>
      <c r="H167" s="90">
        <f t="shared" ref="H167" si="37">F167*G167</f>
        <v>2749.5</v>
      </c>
      <c r="I167" s="89"/>
      <c r="L167" s="97"/>
    </row>
    <row r="168" ht="18.75" customHeight="1" spans="1:12">
      <c r="A168" s="88" t="s">
        <v>346</v>
      </c>
      <c r="B168" s="89" t="s">
        <v>133</v>
      </c>
      <c r="C168" s="89" t="s">
        <v>108</v>
      </c>
      <c r="D168" s="89"/>
      <c r="E168" s="2" t="s">
        <v>93</v>
      </c>
      <c r="F168" s="83">
        <v>33</v>
      </c>
      <c r="G168" s="28">
        <v>101.7</v>
      </c>
      <c r="H168" s="90">
        <f t="shared" si="26"/>
        <v>3356.1</v>
      </c>
      <c r="I168" s="89"/>
      <c r="L168" s="97"/>
    </row>
    <row r="169" ht="18.75" customHeight="1" spans="1:12">
      <c r="A169" s="88" t="s">
        <v>347</v>
      </c>
      <c r="B169" s="89" t="s">
        <v>133</v>
      </c>
      <c r="C169" s="89" t="s">
        <v>110</v>
      </c>
      <c r="D169" s="89"/>
      <c r="E169" s="2" t="s">
        <v>93</v>
      </c>
      <c r="F169" s="83">
        <v>15</v>
      </c>
      <c r="G169" s="28">
        <v>96.25</v>
      </c>
      <c r="H169" s="90">
        <f t="shared" si="26"/>
        <v>1443.75</v>
      </c>
      <c r="I169" s="89"/>
      <c r="L169" s="97"/>
    </row>
    <row r="170" ht="18.75" customHeight="1" spans="1:12">
      <c r="A170" s="88" t="s">
        <v>348</v>
      </c>
      <c r="B170" s="89" t="s">
        <v>133</v>
      </c>
      <c r="C170" s="89" t="s">
        <v>242</v>
      </c>
      <c r="D170" s="89"/>
      <c r="E170" s="2" t="s">
        <v>93</v>
      </c>
      <c r="F170" s="83">
        <v>4</v>
      </c>
      <c r="G170" s="28">
        <v>94.07</v>
      </c>
      <c r="H170" s="90">
        <f t="shared" ref="H170" si="38">F170*G170</f>
        <v>376.28</v>
      </c>
      <c r="I170" s="89"/>
      <c r="L170" s="97"/>
    </row>
    <row r="171" ht="20.25" customHeight="1" spans="1:12">
      <c r="A171" s="88" t="s">
        <v>349</v>
      </c>
      <c r="B171" s="89" t="s">
        <v>137</v>
      </c>
      <c r="C171" s="89" t="s">
        <v>101</v>
      </c>
      <c r="D171" s="89"/>
      <c r="E171" s="2" t="s">
        <v>93</v>
      </c>
      <c r="F171" s="83">
        <v>12</v>
      </c>
      <c r="G171" s="28">
        <v>959.44</v>
      </c>
      <c r="H171" s="90">
        <f t="shared" si="26"/>
        <v>11513.28</v>
      </c>
      <c r="I171" s="89" t="s">
        <v>138</v>
      </c>
      <c r="L171" s="97"/>
    </row>
    <row r="172" ht="18.75" customHeight="1" spans="1:12">
      <c r="A172" s="88" t="s">
        <v>350</v>
      </c>
      <c r="B172" s="89" t="s">
        <v>137</v>
      </c>
      <c r="C172" s="89" t="s">
        <v>103</v>
      </c>
      <c r="D172" s="89"/>
      <c r="E172" s="2" t="s">
        <v>93</v>
      </c>
      <c r="F172" s="83">
        <v>34</v>
      </c>
      <c r="G172" s="28">
        <v>771.19</v>
      </c>
      <c r="H172" s="90">
        <f t="shared" si="26"/>
        <v>26220.46</v>
      </c>
      <c r="I172" s="89" t="s">
        <v>138</v>
      </c>
      <c r="L172" s="97"/>
    </row>
    <row r="173" ht="18.75" customHeight="1" spans="1:12">
      <c r="A173" s="88" t="s">
        <v>351</v>
      </c>
      <c r="B173" s="89" t="s">
        <v>137</v>
      </c>
      <c r="C173" s="89" t="s">
        <v>235</v>
      </c>
      <c r="D173" s="89"/>
      <c r="E173" s="2" t="s">
        <v>93</v>
      </c>
      <c r="F173" s="83">
        <v>5</v>
      </c>
      <c r="G173" s="28">
        <v>450.68</v>
      </c>
      <c r="H173" s="90">
        <f t="shared" si="26"/>
        <v>2253.4</v>
      </c>
      <c r="I173" s="89" t="s">
        <v>138</v>
      </c>
      <c r="L173" s="97"/>
    </row>
    <row r="174" ht="18.75" customHeight="1" spans="1:12">
      <c r="A174" s="88" t="s">
        <v>352</v>
      </c>
      <c r="B174" s="89" t="s">
        <v>137</v>
      </c>
      <c r="C174" s="89" t="s">
        <v>141</v>
      </c>
      <c r="D174" s="89"/>
      <c r="E174" s="2" t="s">
        <v>93</v>
      </c>
      <c r="F174" s="83">
        <v>440</v>
      </c>
      <c r="G174" s="28">
        <v>360.55</v>
      </c>
      <c r="H174" s="90">
        <f t="shared" ref="H174:H176" si="39">F174*G174</f>
        <v>158642</v>
      </c>
      <c r="I174" s="89" t="s">
        <v>138</v>
      </c>
      <c r="L174" s="97"/>
    </row>
    <row r="175" ht="18.75" customHeight="1" spans="1:12">
      <c r="A175" s="88" t="s">
        <v>353</v>
      </c>
      <c r="B175" s="89" t="s">
        <v>143</v>
      </c>
      <c r="C175" s="89"/>
      <c r="D175" s="89"/>
      <c r="E175" s="2" t="s">
        <v>21</v>
      </c>
      <c r="F175" s="83">
        <v>1425</v>
      </c>
      <c r="G175" s="28">
        <v>1.89</v>
      </c>
      <c r="H175" s="90">
        <f t="shared" si="39"/>
        <v>2693.25</v>
      </c>
      <c r="I175" s="89"/>
      <c r="K175" s="78">
        <v>1003</v>
      </c>
      <c r="L175" s="97"/>
    </row>
    <row r="176" ht="18.75" customHeight="1" spans="1:12">
      <c r="A176" s="88" t="s">
        <v>354</v>
      </c>
      <c r="B176" s="89" t="s">
        <v>145</v>
      </c>
      <c r="C176" s="89"/>
      <c r="D176" s="89"/>
      <c r="E176" s="2" t="s">
        <v>21</v>
      </c>
      <c r="F176" s="83">
        <v>1425</v>
      </c>
      <c r="G176" s="28">
        <v>6.04</v>
      </c>
      <c r="H176" s="90">
        <f t="shared" si="39"/>
        <v>8607</v>
      </c>
      <c r="I176" s="89"/>
      <c r="L176" s="97"/>
    </row>
    <row r="177" ht="18.75" customHeight="1" spans="1:14">
      <c r="A177" s="88" t="s">
        <v>355</v>
      </c>
      <c r="B177" s="89" t="s">
        <v>147</v>
      </c>
      <c r="C177" s="89" t="s">
        <v>356</v>
      </c>
      <c r="D177" s="89"/>
      <c r="E177" s="2" t="s">
        <v>93</v>
      </c>
      <c r="F177" s="83">
        <v>2</v>
      </c>
      <c r="G177" s="28">
        <v>42500.6</v>
      </c>
      <c r="H177" s="90">
        <f t="shared" ref="H177:H185" si="40">F177*G177</f>
        <v>85001.2</v>
      </c>
      <c r="I177" s="89"/>
      <c r="M177" s="98">
        <v>3</v>
      </c>
      <c r="N177" s="81">
        <v>6.46062992125984</v>
      </c>
    </row>
    <row r="178" ht="18.75" customHeight="1" spans="1:14">
      <c r="A178" s="88" t="s">
        <v>357</v>
      </c>
      <c r="B178" s="89" t="s">
        <v>147</v>
      </c>
      <c r="C178" s="89" t="s">
        <v>358</v>
      </c>
      <c r="D178" s="89"/>
      <c r="E178" s="2" t="s">
        <v>93</v>
      </c>
      <c r="F178" s="83">
        <v>3</v>
      </c>
      <c r="G178" s="28">
        <v>33600.5</v>
      </c>
      <c r="H178" s="90">
        <f t="shared" si="40"/>
        <v>100801.5</v>
      </c>
      <c r="I178" s="89"/>
      <c r="M178" s="98">
        <v>3</v>
      </c>
      <c r="N178" s="81">
        <v>6.46062992125984</v>
      </c>
    </row>
    <row r="179" ht="18.75" customHeight="1" spans="1:13">
      <c r="A179" s="88" t="s">
        <v>359</v>
      </c>
      <c r="B179" s="89" t="s">
        <v>152</v>
      </c>
      <c r="C179" s="89" t="s">
        <v>153</v>
      </c>
      <c r="D179" s="89"/>
      <c r="E179" s="2" t="s">
        <v>154</v>
      </c>
      <c r="F179" s="83">
        <v>4939</v>
      </c>
      <c r="G179" s="28">
        <f>0.04*7.85*4*5.5*1.35</f>
        <v>9.3258</v>
      </c>
      <c r="H179" s="90">
        <f t="shared" si="40"/>
        <v>46060.1262</v>
      </c>
      <c r="I179" s="89"/>
      <c r="M179" s="102"/>
    </row>
    <row r="180" ht="18.75" customHeight="1" spans="1:13">
      <c r="A180" s="88" t="s">
        <v>360</v>
      </c>
      <c r="B180" s="89" t="s">
        <v>156</v>
      </c>
      <c r="C180" s="89" t="s">
        <v>157</v>
      </c>
      <c r="D180" s="89"/>
      <c r="E180" s="2" t="s">
        <v>158</v>
      </c>
      <c r="F180" s="83">
        <v>5</v>
      </c>
      <c r="G180" s="28">
        <f>3.77*5.5*1.35</f>
        <v>27.99225</v>
      </c>
      <c r="H180" s="90">
        <f t="shared" si="40"/>
        <v>139.96125</v>
      </c>
      <c r="I180" s="89"/>
      <c r="M180" s="102"/>
    </row>
    <row r="181" ht="18.75" customHeight="1" spans="1:13">
      <c r="A181" s="88" t="s">
        <v>361</v>
      </c>
      <c r="B181" s="89" t="s">
        <v>160</v>
      </c>
      <c r="C181" s="89" t="s">
        <v>101</v>
      </c>
      <c r="D181" s="89" t="s">
        <v>84</v>
      </c>
      <c r="E181" s="2" t="s">
        <v>93</v>
      </c>
      <c r="F181" s="83">
        <v>231</v>
      </c>
      <c r="G181" s="28">
        <v>102.691</v>
      </c>
      <c r="H181" s="90">
        <f t="shared" si="40"/>
        <v>23721.621</v>
      </c>
      <c r="I181" s="89"/>
      <c r="M181" s="102"/>
    </row>
    <row r="182" ht="18.75" customHeight="1" spans="1:13">
      <c r="A182" s="88" t="s">
        <v>362</v>
      </c>
      <c r="B182" s="89" t="s">
        <v>160</v>
      </c>
      <c r="C182" s="89" t="s">
        <v>103</v>
      </c>
      <c r="D182" s="89" t="s">
        <v>84</v>
      </c>
      <c r="E182" s="2" t="s">
        <v>93</v>
      </c>
      <c r="F182" s="83">
        <v>500</v>
      </c>
      <c r="G182" s="28">
        <v>96.89</v>
      </c>
      <c r="H182" s="90">
        <f t="shared" si="40"/>
        <v>48445</v>
      </c>
      <c r="I182" s="89"/>
      <c r="M182" s="102"/>
    </row>
    <row r="183" ht="18" customHeight="1" spans="1:13">
      <c r="A183" s="88" t="s">
        <v>363</v>
      </c>
      <c r="B183" s="89" t="s">
        <v>160</v>
      </c>
      <c r="C183" s="89" t="s">
        <v>235</v>
      </c>
      <c r="D183" s="89" t="s">
        <v>84</v>
      </c>
      <c r="E183" s="2" t="s">
        <v>93</v>
      </c>
      <c r="F183" s="83">
        <v>65</v>
      </c>
      <c r="G183" s="28">
        <v>72.52</v>
      </c>
      <c r="H183" s="90">
        <f t="shared" si="40"/>
        <v>4713.8</v>
      </c>
      <c r="I183" s="89"/>
      <c r="M183" s="102"/>
    </row>
    <row r="184" ht="18.75" customHeight="1" spans="1:12">
      <c r="A184" s="88" t="s">
        <v>364</v>
      </c>
      <c r="B184" s="89" t="s">
        <v>164</v>
      </c>
      <c r="C184" s="89"/>
      <c r="D184" s="89"/>
      <c r="E184" s="2" t="s">
        <v>154</v>
      </c>
      <c r="F184" s="83">
        <v>264</v>
      </c>
      <c r="G184" s="28">
        <v>312.6</v>
      </c>
      <c r="H184" s="90">
        <f t="shared" si="40"/>
        <v>82526.4</v>
      </c>
      <c r="I184" s="89"/>
      <c r="K184" s="78" t="s">
        <v>165</v>
      </c>
      <c r="L184" s="97"/>
    </row>
    <row r="185" ht="18.75" customHeight="1" spans="1:12">
      <c r="A185" s="88" t="s">
        <v>365</v>
      </c>
      <c r="B185" s="89" t="s">
        <v>170</v>
      </c>
      <c r="C185" s="89" t="s">
        <v>171</v>
      </c>
      <c r="D185" s="89" t="s">
        <v>172</v>
      </c>
      <c r="E185" s="2" t="s">
        <v>173</v>
      </c>
      <c r="F185" s="83">
        <v>3037</v>
      </c>
      <c r="G185" s="28">
        <v>327.12</v>
      </c>
      <c r="H185" s="90">
        <f t="shared" si="40"/>
        <v>993463.44</v>
      </c>
      <c r="I185" s="89" t="s">
        <v>174</v>
      </c>
      <c r="L185" s="97"/>
    </row>
    <row r="186" ht="18.75" customHeight="1" spans="1:12">
      <c r="A186" s="88" t="s">
        <v>366</v>
      </c>
      <c r="B186" s="89" t="s">
        <v>176</v>
      </c>
      <c r="C186" s="89" t="s">
        <v>177</v>
      </c>
      <c r="D186" s="89"/>
      <c r="E186" s="2" t="s">
        <v>93</v>
      </c>
      <c r="F186" s="83">
        <v>6074</v>
      </c>
      <c r="G186" s="28">
        <v>61.86</v>
      </c>
      <c r="H186" s="90">
        <f t="shared" ref="H186:H192" si="41">F186*G186</f>
        <v>375737.64</v>
      </c>
      <c r="I186" s="89"/>
      <c r="L186" s="97"/>
    </row>
    <row r="187" ht="18.75" customHeight="1" spans="1:12">
      <c r="A187" s="88" t="s">
        <v>367</v>
      </c>
      <c r="B187" s="89" t="s">
        <v>179</v>
      </c>
      <c r="C187" s="89" t="s">
        <v>177</v>
      </c>
      <c r="D187" s="89"/>
      <c r="E187" s="2" t="s">
        <v>154</v>
      </c>
      <c r="F187" s="83">
        <v>18222</v>
      </c>
      <c r="G187" s="28">
        <v>46.6</v>
      </c>
      <c r="H187" s="90">
        <f t="shared" si="41"/>
        <v>849145.2</v>
      </c>
      <c r="I187" s="89"/>
      <c r="K187" s="78" t="s">
        <v>180</v>
      </c>
      <c r="L187" s="97"/>
    </row>
    <row r="188" ht="18.75" customHeight="1" spans="1:12">
      <c r="A188" s="88" t="s">
        <v>368</v>
      </c>
      <c r="B188" s="89" t="s">
        <v>182</v>
      </c>
      <c r="C188" s="89" t="s">
        <v>183</v>
      </c>
      <c r="D188" s="89"/>
      <c r="E188" s="2" t="s">
        <v>93</v>
      </c>
      <c r="F188" s="83">
        <v>3037</v>
      </c>
      <c r="G188" s="28">
        <v>2.74</v>
      </c>
      <c r="H188" s="90">
        <f t="shared" si="41"/>
        <v>8321.38</v>
      </c>
      <c r="I188" s="89"/>
      <c r="L188" s="97"/>
    </row>
    <row r="189" ht="18.75" customHeight="1" spans="1:12">
      <c r="A189" s="88" t="s">
        <v>369</v>
      </c>
      <c r="B189" s="89" t="s">
        <v>185</v>
      </c>
      <c r="C189" s="89" t="s">
        <v>177</v>
      </c>
      <c r="D189" s="89"/>
      <c r="E189" s="2" t="s">
        <v>154</v>
      </c>
      <c r="F189" s="83">
        <v>15185</v>
      </c>
      <c r="G189" s="28">
        <v>2.06</v>
      </c>
      <c r="H189" s="90">
        <f t="shared" si="41"/>
        <v>31281.1</v>
      </c>
      <c r="I189" s="89"/>
      <c r="L189" s="97"/>
    </row>
    <row r="190" ht="18.75" customHeight="1" spans="1:12">
      <c r="A190" s="88" t="s">
        <v>370</v>
      </c>
      <c r="B190" s="89" t="s">
        <v>187</v>
      </c>
      <c r="C190" s="89" t="s">
        <v>177</v>
      </c>
      <c r="D190" s="89"/>
      <c r="E190" s="2" t="s">
        <v>154</v>
      </c>
      <c r="F190" s="83">
        <v>6074</v>
      </c>
      <c r="G190" s="28">
        <v>1.85</v>
      </c>
      <c r="H190" s="90">
        <f t="shared" si="41"/>
        <v>11236.9</v>
      </c>
      <c r="I190" s="89"/>
      <c r="L190" s="97"/>
    </row>
    <row r="191" ht="18.75" customHeight="1" spans="1:12">
      <c r="A191" s="88" t="s">
        <v>371</v>
      </c>
      <c r="B191" s="89" t="s">
        <v>189</v>
      </c>
      <c r="C191" s="89" t="s">
        <v>141</v>
      </c>
      <c r="D191" s="89" t="s">
        <v>172</v>
      </c>
      <c r="E191" s="2" t="s">
        <v>154</v>
      </c>
      <c r="F191" s="83">
        <v>3037</v>
      </c>
      <c r="G191" s="28">
        <v>20.15</v>
      </c>
      <c r="H191" s="90">
        <f t="shared" si="41"/>
        <v>61195.55</v>
      </c>
      <c r="I191" s="89"/>
      <c r="L191" s="97"/>
    </row>
    <row r="192" ht="18.75" customHeight="1" spans="1:12">
      <c r="A192" s="88" t="s">
        <v>372</v>
      </c>
      <c r="B192" s="89" t="s">
        <v>191</v>
      </c>
      <c r="C192" s="89" t="s">
        <v>192</v>
      </c>
      <c r="D192" s="89"/>
      <c r="E192" s="2" t="s">
        <v>193</v>
      </c>
      <c r="F192" s="83">
        <f>1425*1</f>
        <v>1425</v>
      </c>
      <c r="G192" s="28">
        <v>104.45</v>
      </c>
      <c r="H192" s="90">
        <f t="shared" si="41"/>
        <v>148841.25</v>
      </c>
      <c r="I192" s="89"/>
      <c r="K192" s="78">
        <v>2</v>
      </c>
      <c r="L192" s="97"/>
    </row>
    <row r="193" ht="18.75" customHeight="1" spans="1:12">
      <c r="A193" s="88" t="s">
        <v>373</v>
      </c>
      <c r="B193" s="89" t="s">
        <v>195</v>
      </c>
      <c r="C193" s="89"/>
      <c r="D193" s="89"/>
      <c r="E193" s="2" t="s">
        <v>196</v>
      </c>
      <c r="F193" s="83">
        <f>1425*(0.9*1.9)</f>
        <v>2436.75</v>
      </c>
      <c r="G193" s="28">
        <v>10.03</v>
      </c>
      <c r="H193" s="90">
        <f t="shared" ref="H193:H197" si="42">F193*G193</f>
        <v>24440.6025</v>
      </c>
      <c r="I193" s="89"/>
      <c r="L193" s="97"/>
    </row>
    <row r="194" ht="18.75" customHeight="1" spans="1:12">
      <c r="A194" s="88" t="s">
        <v>374</v>
      </c>
      <c r="B194" s="89" t="s">
        <v>198</v>
      </c>
      <c r="C194" s="89"/>
      <c r="D194" s="89"/>
      <c r="E194" s="2" t="s">
        <v>196</v>
      </c>
      <c r="F194" s="83">
        <f>1425*(0.9*1.7)</f>
        <v>2180.25</v>
      </c>
      <c r="G194" s="28">
        <v>14.82</v>
      </c>
      <c r="H194" s="90">
        <f t="shared" si="42"/>
        <v>32311.305</v>
      </c>
      <c r="I194" s="89"/>
      <c r="L194" s="97"/>
    </row>
    <row r="195" ht="18.75" customHeight="1" spans="1:12">
      <c r="A195" s="88" t="s">
        <v>375</v>
      </c>
      <c r="B195" s="89" t="s">
        <v>200</v>
      </c>
      <c r="C195" s="89"/>
      <c r="D195" s="89"/>
      <c r="E195" s="2" t="s">
        <v>196</v>
      </c>
      <c r="F195" s="83">
        <f>1425*(0.9*0.15)</f>
        <v>192.375</v>
      </c>
      <c r="G195" s="28">
        <v>30.63</v>
      </c>
      <c r="H195" s="90">
        <f t="shared" si="42"/>
        <v>5892.44625</v>
      </c>
      <c r="I195" s="89"/>
      <c r="L195" s="97"/>
    </row>
    <row r="196" ht="18.75" customHeight="1" spans="1:12">
      <c r="A196" s="88" t="s">
        <v>376</v>
      </c>
      <c r="B196" s="89" t="s">
        <v>202</v>
      </c>
      <c r="C196" s="89"/>
      <c r="D196" s="89"/>
      <c r="E196" s="2" t="s">
        <v>196</v>
      </c>
      <c r="F196" s="83">
        <f>1425*(0.9*0.15)</f>
        <v>192.375</v>
      </c>
      <c r="G196" s="28">
        <v>209.24</v>
      </c>
      <c r="H196" s="90">
        <f t="shared" si="42"/>
        <v>40252.545</v>
      </c>
      <c r="I196" s="89"/>
      <c r="L196" s="97"/>
    </row>
    <row r="197" ht="18.75" hidden="1" customHeight="1" spans="1:12">
      <c r="A197" s="88" t="s">
        <v>377</v>
      </c>
      <c r="B197" s="89" t="s">
        <v>204</v>
      </c>
      <c r="C197" s="89"/>
      <c r="D197" s="89"/>
      <c r="E197" s="2" t="s">
        <v>196</v>
      </c>
      <c r="F197" s="83">
        <f>1425*(0.9*0.3)*0</f>
        <v>0</v>
      </c>
      <c r="G197" s="28">
        <v>215.73</v>
      </c>
      <c r="H197" s="90">
        <f t="shared" si="42"/>
        <v>0</v>
      </c>
      <c r="I197" s="89"/>
      <c r="L197" s="97"/>
    </row>
    <row r="198" ht="18.75" customHeight="1" spans="1:10">
      <c r="A198" s="88"/>
      <c r="B198" s="89" t="s">
        <v>205</v>
      </c>
      <c r="C198" s="89"/>
      <c r="D198" s="89"/>
      <c r="E198" s="2" t="s">
        <v>206</v>
      </c>
      <c r="F198" s="83"/>
      <c r="G198" s="103"/>
      <c r="H198" s="90">
        <f>SUM(H123:H197)</f>
        <v>4883163.8072</v>
      </c>
      <c r="I198" s="89"/>
      <c r="J198" s="96"/>
    </row>
    <row r="199" ht="18.75" customHeight="1" spans="1:10">
      <c r="A199" s="84" t="s">
        <v>28</v>
      </c>
      <c r="B199" s="85" t="s">
        <v>29</v>
      </c>
      <c r="C199" s="86"/>
      <c r="D199" s="86"/>
      <c r="E199" s="86"/>
      <c r="F199" s="87"/>
      <c r="G199" s="86"/>
      <c r="H199" s="86"/>
      <c r="I199" s="95"/>
      <c r="J199" s="96"/>
    </row>
    <row r="200" ht="18.75" customHeight="1" spans="1:15">
      <c r="A200" s="88" t="s">
        <v>378</v>
      </c>
      <c r="B200" s="89" t="s">
        <v>74</v>
      </c>
      <c r="C200" s="89" t="s">
        <v>75</v>
      </c>
      <c r="D200" s="89" t="s">
        <v>76</v>
      </c>
      <c r="E200" s="2" t="s">
        <v>21</v>
      </c>
      <c r="F200" s="83">
        <v>1342</v>
      </c>
      <c r="G200" s="28">
        <v>167.58</v>
      </c>
      <c r="H200" s="90">
        <f t="shared" ref="H200:H204" si="43">F200*G200</f>
        <v>224892.36</v>
      </c>
      <c r="I200" s="89"/>
      <c r="K200" s="79"/>
      <c r="L200" s="97"/>
      <c r="M200" s="98">
        <v>370</v>
      </c>
      <c r="N200" s="99">
        <v>555</v>
      </c>
      <c r="O200" s="79"/>
    </row>
    <row r="201" ht="18.75" customHeight="1" spans="1:15">
      <c r="A201" s="88" t="s">
        <v>379</v>
      </c>
      <c r="B201" s="89" t="s">
        <v>74</v>
      </c>
      <c r="C201" s="89" t="s">
        <v>78</v>
      </c>
      <c r="D201" s="89" t="s">
        <v>76</v>
      </c>
      <c r="E201" s="2" t="s">
        <v>21</v>
      </c>
      <c r="F201" s="91">
        <v>613</v>
      </c>
      <c r="G201" s="28">
        <v>78.32</v>
      </c>
      <c r="H201" s="90">
        <f t="shared" si="43"/>
        <v>48010.16</v>
      </c>
      <c r="I201" s="89"/>
      <c r="K201" s="79"/>
      <c r="L201" s="97"/>
      <c r="M201" s="100">
        <v>463</v>
      </c>
      <c r="N201" s="99">
        <v>694.5</v>
      </c>
      <c r="O201" s="79"/>
    </row>
    <row r="202" ht="18.75" customHeight="1" spans="1:15">
      <c r="A202" s="88" t="s">
        <v>380</v>
      </c>
      <c r="B202" s="89" t="s">
        <v>74</v>
      </c>
      <c r="C202" s="89" t="s">
        <v>80</v>
      </c>
      <c r="D202" s="89" t="s">
        <v>76</v>
      </c>
      <c r="E202" s="2" t="s">
        <v>21</v>
      </c>
      <c r="F202" s="92">
        <v>268</v>
      </c>
      <c r="G202" s="28">
        <v>67.71</v>
      </c>
      <c r="H202" s="90">
        <f t="shared" si="43"/>
        <v>18146.28</v>
      </c>
      <c r="I202" s="89"/>
      <c r="K202" s="79"/>
      <c r="L202" s="97"/>
      <c r="M202" s="79">
        <v>145</v>
      </c>
      <c r="N202" s="99">
        <v>217.5</v>
      </c>
      <c r="O202" s="79"/>
    </row>
    <row r="203" ht="18.75" customHeight="1" spans="1:15">
      <c r="A203" s="88" t="s">
        <v>381</v>
      </c>
      <c r="B203" s="89" t="s">
        <v>82</v>
      </c>
      <c r="C203" s="89" t="s">
        <v>83</v>
      </c>
      <c r="D203" s="89" t="s">
        <v>84</v>
      </c>
      <c r="E203" s="2" t="s">
        <v>21</v>
      </c>
      <c r="F203" s="83">
        <v>583</v>
      </c>
      <c r="G203" s="28">
        <v>160.1</v>
      </c>
      <c r="H203" s="90">
        <f t="shared" si="43"/>
        <v>93338.3</v>
      </c>
      <c r="I203" s="89"/>
      <c r="K203" s="101"/>
      <c r="L203" s="101"/>
      <c r="M203" s="98">
        <v>2413</v>
      </c>
      <c r="N203" s="99">
        <v>3619.5</v>
      </c>
      <c r="O203" s="101"/>
    </row>
    <row r="204" ht="18.75" customHeight="1" spans="1:15">
      <c r="A204" s="88" t="s">
        <v>382</v>
      </c>
      <c r="B204" s="89" t="s">
        <v>82</v>
      </c>
      <c r="C204" s="89" t="s">
        <v>86</v>
      </c>
      <c r="D204" s="89" t="s">
        <v>84</v>
      </c>
      <c r="E204" s="2" t="s">
        <v>21</v>
      </c>
      <c r="F204" s="83">
        <v>1851</v>
      </c>
      <c r="G204" s="28">
        <v>131.63</v>
      </c>
      <c r="H204" s="90">
        <f t="shared" si="43"/>
        <v>243647.13</v>
      </c>
      <c r="I204" s="89"/>
      <c r="K204" s="101"/>
      <c r="L204" s="101"/>
      <c r="M204" s="98">
        <v>38</v>
      </c>
      <c r="N204" s="99">
        <v>57</v>
      </c>
      <c r="O204" s="101"/>
    </row>
    <row r="205" ht="18.75" customHeight="1" spans="1:15">
      <c r="A205" s="88" t="s">
        <v>383</v>
      </c>
      <c r="B205" s="89" t="s">
        <v>82</v>
      </c>
      <c r="C205" s="89" t="s">
        <v>384</v>
      </c>
      <c r="D205" s="89" t="s">
        <v>84</v>
      </c>
      <c r="E205" s="2" t="s">
        <v>21</v>
      </c>
      <c r="F205" s="83">
        <v>3318</v>
      </c>
      <c r="G205" s="28">
        <v>55.67</v>
      </c>
      <c r="H205" s="90">
        <f t="shared" ref="H205:H238" si="44">F205*G205</f>
        <v>184713.06</v>
      </c>
      <c r="I205" s="89"/>
      <c r="K205" s="101">
        <f>SUM(F202:F205)</f>
        <v>6020</v>
      </c>
      <c r="L205" s="101"/>
      <c r="M205" s="98">
        <v>120</v>
      </c>
      <c r="N205" s="81">
        <v>258.425196850394</v>
      </c>
      <c r="O205" s="101"/>
    </row>
    <row r="206" ht="18.75" customHeight="1" spans="1:12">
      <c r="A206" s="88" t="s">
        <v>385</v>
      </c>
      <c r="B206" s="89" t="s">
        <v>90</v>
      </c>
      <c r="C206" s="89" t="s">
        <v>300</v>
      </c>
      <c r="D206" s="89" t="s">
        <v>92</v>
      </c>
      <c r="E206" s="2" t="s">
        <v>93</v>
      </c>
      <c r="F206" s="83">
        <v>3</v>
      </c>
      <c r="G206" s="28">
        <v>260.5</v>
      </c>
      <c r="H206" s="90">
        <f t="shared" si="44"/>
        <v>781.5</v>
      </c>
      <c r="I206" s="89"/>
      <c r="L206" s="97"/>
    </row>
    <row r="207" ht="18.75" customHeight="1" spans="1:12">
      <c r="A207" s="88" t="s">
        <v>386</v>
      </c>
      <c r="B207" s="89" t="s">
        <v>90</v>
      </c>
      <c r="C207" s="89" t="s">
        <v>91</v>
      </c>
      <c r="D207" s="89" t="s">
        <v>92</v>
      </c>
      <c r="E207" s="2" t="s">
        <v>93</v>
      </c>
      <c r="F207" s="83">
        <v>7</v>
      </c>
      <c r="G207" s="28">
        <v>206.38</v>
      </c>
      <c r="H207" s="90">
        <f t="shared" si="44"/>
        <v>1444.66</v>
      </c>
      <c r="I207" s="89"/>
      <c r="L207" s="97"/>
    </row>
    <row r="208" ht="18.75" customHeight="1" spans="1:12">
      <c r="A208" s="88" t="s">
        <v>387</v>
      </c>
      <c r="B208" s="89" t="s">
        <v>90</v>
      </c>
      <c r="C208" s="89" t="s">
        <v>103</v>
      </c>
      <c r="D208" s="89" t="s">
        <v>92</v>
      </c>
      <c r="E208" s="2" t="s">
        <v>93</v>
      </c>
      <c r="F208" s="83">
        <v>26</v>
      </c>
      <c r="G208" s="28">
        <v>103.33</v>
      </c>
      <c r="H208" s="90">
        <f t="shared" si="44"/>
        <v>2686.58</v>
      </c>
      <c r="I208" s="89"/>
      <c r="L208" s="97"/>
    </row>
    <row r="209" ht="18.75" customHeight="1" spans="1:12">
      <c r="A209" s="88" t="s">
        <v>388</v>
      </c>
      <c r="B209" s="89" t="s">
        <v>95</v>
      </c>
      <c r="C209" s="89" t="s">
        <v>96</v>
      </c>
      <c r="D209" s="89"/>
      <c r="E209" s="2" t="s">
        <v>93</v>
      </c>
      <c r="F209" s="83">
        <v>28</v>
      </c>
      <c r="G209" s="28">
        <v>231.72</v>
      </c>
      <c r="H209" s="90">
        <f t="shared" si="44"/>
        <v>6488.16</v>
      </c>
      <c r="I209" s="89"/>
      <c r="L209" s="97"/>
    </row>
    <row r="210" ht="18.75" customHeight="1" spans="1:12">
      <c r="A210" s="88" t="s">
        <v>389</v>
      </c>
      <c r="B210" s="89" t="s">
        <v>95</v>
      </c>
      <c r="C210" s="89" t="s">
        <v>98</v>
      </c>
      <c r="D210" s="89"/>
      <c r="E210" s="2" t="s">
        <v>93</v>
      </c>
      <c r="F210" s="83">
        <v>176</v>
      </c>
      <c r="G210" s="28">
        <v>190.02</v>
      </c>
      <c r="H210" s="90">
        <f t="shared" si="44"/>
        <v>33443.52</v>
      </c>
      <c r="I210" s="89"/>
      <c r="L210" s="97"/>
    </row>
    <row r="211" ht="18.75" customHeight="1" spans="1:12">
      <c r="A211" s="88" t="s">
        <v>390</v>
      </c>
      <c r="B211" s="89" t="s">
        <v>391</v>
      </c>
      <c r="C211" s="89" t="s">
        <v>103</v>
      </c>
      <c r="D211" s="89"/>
      <c r="E211" s="2" t="s">
        <v>93</v>
      </c>
      <c r="F211" s="83">
        <v>25</v>
      </c>
      <c r="G211" s="28">
        <v>85</v>
      </c>
      <c r="H211" s="90">
        <f t="shared" ref="H211" si="45">F211*G211</f>
        <v>2125</v>
      </c>
      <c r="I211" s="89"/>
      <c r="L211" s="97"/>
    </row>
    <row r="212" ht="18.75" customHeight="1" spans="1:12">
      <c r="A212" s="88" t="s">
        <v>392</v>
      </c>
      <c r="B212" s="89" t="s">
        <v>391</v>
      </c>
      <c r="C212" s="89" t="s">
        <v>141</v>
      </c>
      <c r="D212" s="89"/>
      <c r="E212" s="2" t="s">
        <v>93</v>
      </c>
      <c r="F212" s="83">
        <v>208</v>
      </c>
      <c r="G212" s="28">
        <v>45</v>
      </c>
      <c r="H212" s="90">
        <f t="shared" ref="H212" si="46">F212*G212</f>
        <v>9360</v>
      </c>
      <c r="I212" s="89"/>
      <c r="L212" s="97"/>
    </row>
    <row r="213" ht="18.75" customHeight="1" spans="1:12">
      <c r="A213" s="88" t="s">
        <v>393</v>
      </c>
      <c r="B213" s="89" t="s">
        <v>100</v>
      </c>
      <c r="C213" s="89" t="s">
        <v>101</v>
      </c>
      <c r="D213" s="89"/>
      <c r="E213" s="2" t="s">
        <v>93</v>
      </c>
      <c r="F213" s="83">
        <v>100</v>
      </c>
      <c r="G213" s="28">
        <v>142.52</v>
      </c>
      <c r="H213" s="90">
        <f t="shared" si="44"/>
        <v>14252</v>
      </c>
      <c r="I213" s="89"/>
      <c r="L213" s="97"/>
    </row>
    <row r="214" ht="18.75" customHeight="1" spans="1:12">
      <c r="A214" s="88" t="s">
        <v>394</v>
      </c>
      <c r="B214" s="89" t="s">
        <v>100</v>
      </c>
      <c r="C214" s="89" t="s">
        <v>103</v>
      </c>
      <c r="D214" s="89"/>
      <c r="E214" s="2" t="s">
        <v>93</v>
      </c>
      <c r="F214" s="83">
        <v>228</v>
      </c>
      <c r="G214" s="28">
        <v>132.78</v>
      </c>
      <c r="H214" s="90">
        <f t="shared" si="44"/>
        <v>30273.84</v>
      </c>
      <c r="I214" s="89"/>
      <c r="L214" s="97"/>
    </row>
    <row r="215" ht="18.75" customHeight="1" spans="1:12">
      <c r="A215" s="88" t="s">
        <v>395</v>
      </c>
      <c r="B215" s="89" t="s">
        <v>100</v>
      </c>
      <c r="C215" s="89" t="s">
        <v>141</v>
      </c>
      <c r="D215" s="89"/>
      <c r="E215" s="2" t="s">
        <v>93</v>
      </c>
      <c r="F215" s="83">
        <v>408</v>
      </c>
      <c r="G215" s="28">
        <v>57.26</v>
      </c>
      <c r="H215" s="90">
        <f t="shared" si="44"/>
        <v>23362.08</v>
      </c>
      <c r="I215" s="89"/>
      <c r="L215" s="97"/>
    </row>
    <row r="216" ht="18.75" customHeight="1" spans="1:12">
      <c r="A216" s="88" t="s">
        <v>396</v>
      </c>
      <c r="B216" s="89" t="s">
        <v>105</v>
      </c>
      <c r="C216" s="89" t="s">
        <v>106</v>
      </c>
      <c r="D216" s="89"/>
      <c r="E216" s="2" t="s">
        <v>93</v>
      </c>
      <c r="F216" s="83">
        <v>13</v>
      </c>
      <c r="G216" s="28">
        <v>431.29</v>
      </c>
      <c r="H216" s="90">
        <f t="shared" si="44"/>
        <v>5606.77</v>
      </c>
      <c r="I216" s="89"/>
      <c r="L216" s="97"/>
    </row>
    <row r="217" ht="18.75" customHeight="1" spans="1:12">
      <c r="A217" s="88" t="s">
        <v>397</v>
      </c>
      <c r="B217" s="89" t="s">
        <v>105</v>
      </c>
      <c r="C217" s="89" t="s">
        <v>108</v>
      </c>
      <c r="D217" s="89"/>
      <c r="E217" s="2" t="s">
        <v>93</v>
      </c>
      <c r="F217" s="83">
        <v>5</v>
      </c>
      <c r="G217" s="28">
        <v>91.72</v>
      </c>
      <c r="H217" s="90">
        <f t="shared" si="44"/>
        <v>458.6</v>
      </c>
      <c r="I217" s="89"/>
      <c r="L217" s="97"/>
    </row>
    <row r="218" ht="18.75" customHeight="1" spans="1:12">
      <c r="A218" s="88" t="s">
        <v>398</v>
      </c>
      <c r="B218" s="89" t="s">
        <v>105</v>
      </c>
      <c r="C218" s="89" t="s">
        <v>110</v>
      </c>
      <c r="D218" s="89"/>
      <c r="E218" s="2" t="s">
        <v>93</v>
      </c>
      <c r="F218" s="83">
        <v>4</v>
      </c>
      <c r="G218" s="28">
        <v>90.8</v>
      </c>
      <c r="H218" s="90">
        <f t="shared" si="44"/>
        <v>363.2</v>
      </c>
      <c r="I218" s="89"/>
      <c r="L218" s="97"/>
    </row>
    <row r="219" ht="18.75" customHeight="1" spans="1:12">
      <c r="A219" s="88" t="s">
        <v>399</v>
      </c>
      <c r="B219" s="89" t="s">
        <v>112</v>
      </c>
      <c r="C219" s="89" t="s">
        <v>113</v>
      </c>
      <c r="D219" s="89"/>
      <c r="E219" s="2" t="s">
        <v>93</v>
      </c>
      <c r="F219" s="83">
        <v>3</v>
      </c>
      <c r="G219" s="28">
        <v>461.53</v>
      </c>
      <c r="H219" s="90">
        <f t="shared" si="44"/>
        <v>1384.59</v>
      </c>
      <c r="I219" s="89"/>
      <c r="L219" s="97"/>
    </row>
    <row r="220" ht="18.75" customHeight="1" spans="1:12">
      <c r="A220" s="88" t="s">
        <v>400</v>
      </c>
      <c r="B220" s="89" t="s">
        <v>112</v>
      </c>
      <c r="C220" s="89" t="s">
        <v>115</v>
      </c>
      <c r="D220" s="89"/>
      <c r="E220" s="2" t="s">
        <v>93</v>
      </c>
      <c r="F220" s="83">
        <v>4</v>
      </c>
      <c r="G220" s="28">
        <v>447.64</v>
      </c>
      <c r="H220" s="90">
        <f t="shared" si="44"/>
        <v>1790.56</v>
      </c>
      <c r="I220" s="89"/>
      <c r="L220" s="97"/>
    </row>
    <row r="221" ht="18.75" customHeight="1" spans="1:12">
      <c r="A221" s="88" t="s">
        <v>401</v>
      </c>
      <c r="B221" s="89" t="s">
        <v>112</v>
      </c>
      <c r="C221" s="89" t="s">
        <v>117</v>
      </c>
      <c r="D221" s="89"/>
      <c r="E221" s="2" t="s">
        <v>93</v>
      </c>
      <c r="F221" s="83">
        <v>14</v>
      </c>
      <c r="G221" s="28">
        <v>94.07</v>
      </c>
      <c r="H221" s="90">
        <f t="shared" si="44"/>
        <v>1316.98</v>
      </c>
      <c r="I221" s="89"/>
      <c r="L221" s="97"/>
    </row>
    <row r="222" ht="18.75" customHeight="1" spans="1:12">
      <c r="A222" s="88" t="s">
        <v>402</v>
      </c>
      <c r="B222" s="89" t="s">
        <v>112</v>
      </c>
      <c r="C222" s="89" t="s">
        <v>121</v>
      </c>
      <c r="D222" s="89"/>
      <c r="E222" s="2" t="s">
        <v>93</v>
      </c>
      <c r="F222" s="83">
        <v>4</v>
      </c>
      <c r="G222" s="28">
        <v>98.97</v>
      </c>
      <c r="H222" s="90">
        <f t="shared" si="44"/>
        <v>395.88</v>
      </c>
      <c r="I222" s="89"/>
      <c r="L222" s="97"/>
    </row>
    <row r="223" ht="18.75" customHeight="1" spans="1:12">
      <c r="A223" s="88" t="s">
        <v>403</v>
      </c>
      <c r="B223" s="89" t="s">
        <v>123</v>
      </c>
      <c r="C223" s="89" t="s">
        <v>115</v>
      </c>
      <c r="D223" s="89"/>
      <c r="E223" s="2" t="s">
        <v>93</v>
      </c>
      <c r="F223" s="83">
        <v>7</v>
      </c>
      <c r="G223" s="28">
        <v>165.36</v>
      </c>
      <c r="H223" s="90">
        <f t="shared" si="44"/>
        <v>1157.52</v>
      </c>
      <c r="I223" s="89"/>
      <c r="L223" s="97"/>
    </row>
    <row r="224" ht="18.75" customHeight="1" spans="1:12">
      <c r="A224" s="88" t="s">
        <v>404</v>
      </c>
      <c r="B224" s="89" t="s">
        <v>123</v>
      </c>
      <c r="C224" s="89" t="s">
        <v>117</v>
      </c>
      <c r="D224" s="89"/>
      <c r="E224" s="2" t="s">
        <v>93</v>
      </c>
      <c r="F224" s="83">
        <v>2</v>
      </c>
      <c r="G224" s="28">
        <v>165.36</v>
      </c>
      <c r="H224" s="90">
        <f t="shared" ref="H224" si="47">F224*G224</f>
        <v>330.72</v>
      </c>
      <c r="I224" s="89"/>
      <c r="L224" s="97"/>
    </row>
    <row r="225" ht="18.75" customHeight="1" spans="1:12">
      <c r="A225" s="88" t="s">
        <v>405</v>
      </c>
      <c r="B225" s="89" t="s">
        <v>123</v>
      </c>
      <c r="C225" s="89" t="s">
        <v>121</v>
      </c>
      <c r="D225" s="89"/>
      <c r="E225" s="2" t="s">
        <v>93</v>
      </c>
      <c r="F225" s="83">
        <v>2</v>
      </c>
      <c r="G225" s="28">
        <v>99.52</v>
      </c>
      <c r="H225" s="90">
        <f t="shared" si="44"/>
        <v>199.04</v>
      </c>
      <c r="I225" s="89"/>
      <c r="L225" s="97"/>
    </row>
    <row r="226" ht="18.75" customHeight="1" spans="1:12">
      <c r="A226" s="88" t="s">
        <v>406</v>
      </c>
      <c r="B226" s="89" t="s">
        <v>126</v>
      </c>
      <c r="C226" s="89" t="s">
        <v>127</v>
      </c>
      <c r="D226" s="89"/>
      <c r="E226" s="2" t="s">
        <v>93</v>
      </c>
      <c r="F226" s="83">
        <v>4</v>
      </c>
      <c r="G226" s="28">
        <v>514.2</v>
      </c>
      <c r="H226" s="90">
        <f t="shared" si="44"/>
        <v>2056.8</v>
      </c>
      <c r="I226" s="89"/>
      <c r="L226" s="97"/>
    </row>
    <row r="227" ht="18.75" customHeight="1" spans="1:12">
      <c r="A227" s="88" t="s">
        <v>407</v>
      </c>
      <c r="B227" s="89" t="s">
        <v>126</v>
      </c>
      <c r="C227" s="89" t="s">
        <v>129</v>
      </c>
      <c r="D227" s="89"/>
      <c r="E227" s="2" t="s">
        <v>93</v>
      </c>
      <c r="F227" s="83">
        <v>15</v>
      </c>
      <c r="G227" s="28">
        <v>376.13</v>
      </c>
      <c r="H227" s="90">
        <f t="shared" si="44"/>
        <v>5641.95</v>
      </c>
      <c r="I227" s="89"/>
      <c r="L227" s="97"/>
    </row>
    <row r="228" ht="18.75" customHeight="1" spans="1:12">
      <c r="A228" s="88" t="s">
        <v>408</v>
      </c>
      <c r="B228" s="89" t="s">
        <v>126</v>
      </c>
      <c r="C228" s="89" t="s">
        <v>131</v>
      </c>
      <c r="D228" s="89"/>
      <c r="E228" s="2" t="s">
        <v>93</v>
      </c>
      <c r="F228" s="83">
        <v>25</v>
      </c>
      <c r="G228" s="28">
        <v>263.71</v>
      </c>
      <c r="H228" s="90">
        <f t="shared" si="44"/>
        <v>6592.75</v>
      </c>
      <c r="I228" s="89"/>
      <c r="L228" s="97"/>
    </row>
    <row r="229" ht="18.75" customHeight="1" spans="1:12">
      <c r="A229" s="88" t="s">
        <v>409</v>
      </c>
      <c r="B229" s="89" t="s">
        <v>133</v>
      </c>
      <c r="C229" s="89" t="s">
        <v>106</v>
      </c>
      <c r="D229" s="89"/>
      <c r="E229" s="2" t="s">
        <v>93</v>
      </c>
      <c r="F229" s="83">
        <v>112</v>
      </c>
      <c r="G229" s="28">
        <v>151.7</v>
      </c>
      <c r="H229" s="90">
        <f t="shared" si="44"/>
        <v>16990.4</v>
      </c>
      <c r="I229" s="89"/>
      <c r="L229" s="97"/>
    </row>
    <row r="230" ht="18.75" customHeight="1" spans="1:12">
      <c r="A230" s="88" t="s">
        <v>410</v>
      </c>
      <c r="B230" s="89" t="s">
        <v>133</v>
      </c>
      <c r="C230" s="89" t="s">
        <v>108</v>
      </c>
      <c r="D230" s="89"/>
      <c r="E230" s="2" t="s">
        <v>93</v>
      </c>
      <c r="F230" s="83">
        <v>52</v>
      </c>
      <c r="G230" s="28">
        <v>101.7</v>
      </c>
      <c r="H230" s="90">
        <f t="shared" si="44"/>
        <v>5288.4</v>
      </c>
      <c r="I230" s="89"/>
      <c r="L230" s="97"/>
    </row>
    <row r="231" ht="18.75" customHeight="1" spans="1:12">
      <c r="A231" s="88" t="s">
        <v>411</v>
      </c>
      <c r="B231" s="89" t="s">
        <v>133</v>
      </c>
      <c r="C231" s="89" t="s">
        <v>110</v>
      </c>
      <c r="D231" s="89"/>
      <c r="E231" s="2" t="s">
        <v>93</v>
      </c>
      <c r="F231" s="83">
        <v>23</v>
      </c>
      <c r="G231" s="28">
        <v>96.25</v>
      </c>
      <c r="H231" s="90">
        <f t="shared" si="44"/>
        <v>2213.75</v>
      </c>
      <c r="I231" s="89"/>
      <c r="L231" s="97"/>
    </row>
    <row r="232" ht="18.75" customHeight="1" spans="1:12">
      <c r="A232" s="88" t="s">
        <v>412</v>
      </c>
      <c r="B232" s="89" t="s">
        <v>137</v>
      </c>
      <c r="C232" s="89" t="s">
        <v>101</v>
      </c>
      <c r="D232" s="89"/>
      <c r="E232" s="2" t="s">
        <v>93</v>
      </c>
      <c r="F232" s="83">
        <v>6</v>
      </c>
      <c r="G232" s="28">
        <v>959.44</v>
      </c>
      <c r="H232" s="90">
        <f t="shared" si="44"/>
        <v>5756.64</v>
      </c>
      <c r="I232" s="89" t="s">
        <v>138</v>
      </c>
      <c r="L232" s="97"/>
    </row>
    <row r="233" ht="18.75" customHeight="1" spans="1:12">
      <c r="A233" s="88" t="s">
        <v>413</v>
      </c>
      <c r="B233" s="89" t="s">
        <v>137</v>
      </c>
      <c r="C233" s="89" t="s">
        <v>103</v>
      </c>
      <c r="D233" s="89"/>
      <c r="E233" s="2" t="s">
        <v>93</v>
      </c>
      <c r="F233" s="83">
        <v>25</v>
      </c>
      <c r="G233" s="28">
        <v>771.19</v>
      </c>
      <c r="H233" s="90">
        <f t="shared" si="44"/>
        <v>19279.75</v>
      </c>
      <c r="I233" s="89" t="s">
        <v>138</v>
      </c>
      <c r="L233" s="97"/>
    </row>
    <row r="234" ht="18.75" customHeight="1" spans="1:12">
      <c r="A234" s="88" t="s">
        <v>414</v>
      </c>
      <c r="B234" s="89" t="s">
        <v>137</v>
      </c>
      <c r="C234" s="89" t="s">
        <v>141</v>
      </c>
      <c r="D234" s="89"/>
      <c r="E234" s="2" t="s">
        <v>93</v>
      </c>
      <c r="F234" s="83">
        <v>208</v>
      </c>
      <c r="G234" s="28">
        <v>360.55</v>
      </c>
      <c r="H234" s="90">
        <f t="shared" si="44"/>
        <v>74994.4</v>
      </c>
      <c r="I234" s="89" t="s">
        <v>138</v>
      </c>
      <c r="L234" s="97"/>
    </row>
    <row r="235" ht="18.75" customHeight="1" spans="1:12">
      <c r="A235" s="88" t="s">
        <v>415</v>
      </c>
      <c r="B235" s="89" t="s">
        <v>143</v>
      </c>
      <c r="C235" s="89"/>
      <c r="D235" s="89"/>
      <c r="E235" s="2" t="s">
        <v>21</v>
      </c>
      <c r="F235" s="83">
        <v>2223</v>
      </c>
      <c r="G235" s="28">
        <v>1.89</v>
      </c>
      <c r="H235" s="90">
        <f t="shared" si="44"/>
        <v>4201.47</v>
      </c>
      <c r="I235" s="89"/>
      <c r="K235" s="78">
        <v>1003</v>
      </c>
      <c r="L235" s="97"/>
    </row>
    <row r="236" ht="18.75" customHeight="1" spans="1:12">
      <c r="A236" s="88" t="s">
        <v>416</v>
      </c>
      <c r="B236" s="89" t="s">
        <v>145</v>
      </c>
      <c r="C236" s="89"/>
      <c r="D236" s="89"/>
      <c r="E236" s="2" t="s">
        <v>21</v>
      </c>
      <c r="F236" s="83">
        <v>2223</v>
      </c>
      <c r="G236" s="28">
        <v>6.04</v>
      </c>
      <c r="H236" s="90">
        <f t="shared" si="44"/>
        <v>13426.92</v>
      </c>
      <c r="I236" s="89"/>
      <c r="L236" s="97"/>
    </row>
    <row r="237" ht="18.75" customHeight="1" spans="1:14">
      <c r="A237" s="88" t="s">
        <v>417</v>
      </c>
      <c r="B237" s="89" t="s">
        <v>147</v>
      </c>
      <c r="C237" s="89" t="s">
        <v>418</v>
      </c>
      <c r="D237" s="89"/>
      <c r="E237" s="2" t="s">
        <v>93</v>
      </c>
      <c r="F237" s="83">
        <v>1</v>
      </c>
      <c r="G237" s="28">
        <v>65200</v>
      </c>
      <c r="H237" s="90">
        <f t="shared" si="44"/>
        <v>65200</v>
      </c>
      <c r="I237" s="89"/>
      <c r="M237" s="98">
        <v>3</v>
      </c>
      <c r="N237" s="81">
        <v>6.46062992125984</v>
      </c>
    </row>
    <row r="238" ht="18.75" customHeight="1" spans="1:14">
      <c r="A238" s="88" t="s">
        <v>419</v>
      </c>
      <c r="B238" s="89" t="s">
        <v>147</v>
      </c>
      <c r="C238" s="89" t="s">
        <v>150</v>
      </c>
      <c r="D238" s="89"/>
      <c r="E238" s="2" t="s">
        <v>93</v>
      </c>
      <c r="F238" s="83">
        <v>1</v>
      </c>
      <c r="G238" s="28">
        <v>93703.96</v>
      </c>
      <c r="H238" s="90">
        <f t="shared" si="44"/>
        <v>93703.96</v>
      </c>
      <c r="I238" s="89"/>
      <c r="M238" s="98">
        <v>3</v>
      </c>
      <c r="N238" s="81">
        <v>6.46062992125984</v>
      </c>
    </row>
    <row r="239" ht="18.75" customHeight="1" spans="1:14">
      <c r="A239" s="88" t="s">
        <v>420</v>
      </c>
      <c r="B239" s="89" t="s">
        <v>147</v>
      </c>
      <c r="C239" s="89" t="s">
        <v>148</v>
      </c>
      <c r="D239" s="89"/>
      <c r="E239" s="2" t="s">
        <v>93</v>
      </c>
      <c r="F239" s="83">
        <v>1</v>
      </c>
      <c r="G239" s="28">
        <v>118773.96</v>
      </c>
      <c r="H239" s="90">
        <f t="shared" ref="H239:H245" si="48">F239*G239</f>
        <v>118773.96</v>
      </c>
      <c r="I239" s="89"/>
      <c r="M239" s="98">
        <v>3</v>
      </c>
      <c r="N239" s="81">
        <v>6.46062992125984</v>
      </c>
    </row>
    <row r="240" ht="18.75" customHeight="1" spans="1:13">
      <c r="A240" s="88" t="s">
        <v>421</v>
      </c>
      <c r="B240" s="89" t="s">
        <v>152</v>
      </c>
      <c r="C240" s="89" t="s">
        <v>153</v>
      </c>
      <c r="D240" s="89"/>
      <c r="E240" s="2" t="s">
        <v>154</v>
      </c>
      <c r="F240" s="83">
        <v>5752</v>
      </c>
      <c r="G240" s="28">
        <f>0.04*7.85*4*5.5*1.35</f>
        <v>9.3258</v>
      </c>
      <c r="H240" s="90">
        <f t="shared" si="48"/>
        <v>53642.0016</v>
      </c>
      <c r="I240" s="89"/>
      <c r="M240" s="102"/>
    </row>
    <row r="241" ht="18.75" customHeight="1" spans="1:13">
      <c r="A241" s="88" t="s">
        <v>422</v>
      </c>
      <c r="B241" s="89" t="s">
        <v>156</v>
      </c>
      <c r="C241" s="89" t="s">
        <v>157</v>
      </c>
      <c r="D241" s="89"/>
      <c r="E241" s="2" t="s">
        <v>158</v>
      </c>
      <c r="F241" s="83">
        <v>6</v>
      </c>
      <c r="G241" s="28">
        <f>3.77*5.5*1.35</f>
        <v>27.99225</v>
      </c>
      <c r="H241" s="90">
        <f t="shared" si="48"/>
        <v>167.9535</v>
      </c>
      <c r="I241" s="89"/>
      <c r="M241" s="102"/>
    </row>
    <row r="242" ht="18.75" customHeight="1" spans="1:13">
      <c r="A242" s="88" t="s">
        <v>423</v>
      </c>
      <c r="B242" s="89" t="s">
        <v>160</v>
      </c>
      <c r="C242" s="89" t="s">
        <v>101</v>
      </c>
      <c r="D242" s="89"/>
      <c r="E242" s="2" t="s">
        <v>93</v>
      </c>
      <c r="F242" s="83">
        <v>97</v>
      </c>
      <c r="G242" s="28">
        <v>102.69</v>
      </c>
      <c r="H242" s="90">
        <f t="shared" si="48"/>
        <v>9960.93</v>
      </c>
      <c r="I242" s="89"/>
      <c r="M242" s="102"/>
    </row>
    <row r="243" ht="18.75" customHeight="1" spans="1:13">
      <c r="A243" s="88" t="s">
        <v>424</v>
      </c>
      <c r="B243" s="89" t="s">
        <v>160</v>
      </c>
      <c r="C243" s="89" t="s">
        <v>103</v>
      </c>
      <c r="D243" s="89"/>
      <c r="E243" s="2" t="s">
        <v>93</v>
      </c>
      <c r="F243" s="83">
        <v>308</v>
      </c>
      <c r="G243" s="28">
        <v>96.89</v>
      </c>
      <c r="H243" s="90">
        <f t="shared" si="48"/>
        <v>29842.12</v>
      </c>
      <c r="I243" s="89"/>
      <c r="M243" s="102"/>
    </row>
    <row r="244" ht="18" customHeight="1" spans="1:13">
      <c r="A244" s="88" t="s">
        <v>425</v>
      </c>
      <c r="B244" s="89" t="s">
        <v>160</v>
      </c>
      <c r="C244" s="89" t="s">
        <v>141</v>
      </c>
      <c r="D244" s="89"/>
      <c r="E244" s="2" t="s">
        <v>93</v>
      </c>
      <c r="F244" s="83">
        <v>208</v>
      </c>
      <c r="G244" s="28">
        <v>31.17</v>
      </c>
      <c r="H244" s="90">
        <f t="shared" si="48"/>
        <v>6483.36</v>
      </c>
      <c r="I244" s="89"/>
      <c r="M244" s="102"/>
    </row>
    <row r="245" ht="18.75" customHeight="1" spans="1:12">
      <c r="A245" s="88" t="s">
        <v>426</v>
      </c>
      <c r="B245" s="89" t="s">
        <v>164</v>
      </c>
      <c r="C245" s="89"/>
      <c r="D245" s="89"/>
      <c r="E245" s="2" t="s">
        <v>154</v>
      </c>
      <c r="F245" s="83">
        <v>36</v>
      </c>
      <c r="G245" s="28">
        <v>312.6</v>
      </c>
      <c r="H245" s="90">
        <f t="shared" si="48"/>
        <v>11253.6</v>
      </c>
      <c r="I245" s="89"/>
      <c r="K245" s="78" t="s">
        <v>165</v>
      </c>
      <c r="L245" s="97"/>
    </row>
    <row r="246" ht="18.75" customHeight="1" spans="1:12">
      <c r="A246" s="88" t="s">
        <v>427</v>
      </c>
      <c r="B246" s="89" t="s">
        <v>428</v>
      </c>
      <c r="C246" s="89" t="s">
        <v>235</v>
      </c>
      <c r="D246" s="89" t="s">
        <v>429</v>
      </c>
      <c r="E246" s="2" t="s">
        <v>154</v>
      </c>
      <c r="F246" s="83">
        <v>180</v>
      </c>
      <c r="G246" s="28">
        <v>220</v>
      </c>
      <c r="H246" s="90">
        <f t="shared" ref="H246:H248" si="49">F246*G246</f>
        <v>39600</v>
      </c>
      <c r="I246" s="89"/>
      <c r="K246" s="78" t="s">
        <v>165</v>
      </c>
      <c r="L246" s="97"/>
    </row>
    <row r="247" ht="18.75" customHeight="1" spans="1:12">
      <c r="A247" s="88" t="s">
        <v>430</v>
      </c>
      <c r="B247" s="89" t="s">
        <v>167</v>
      </c>
      <c r="C247" s="89" t="s">
        <v>91</v>
      </c>
      <c r="D247" s="89"/>
      <c r="E247" s="2" t="s">
        <v>93</v>
      </c>
      <c r="F247" s="83">
        <v>1</v>
      </c>
      <c r="G247" s="28">
        <v>13898.1</v>
      </c>
      <c r="H247" s="90">
        <f t="shared" si="49"/>
        <v>13898.1</v>
      </c>
      <c r="I247" s="89"/>
      <c r="L247" s="97"/>
    </row>
    <row r="248" ht="18.75" customHeight="1" spans="1:12">
      <c r="A248" s="88" t="s">
        <v>431</v>
      </c>
      <c r="B248" s="89" t="s">
        <v>170</v>
      </c>
      <c r="C248" s="89" t="s">
        <v>171</v>
      </c>
      <c r="D248" s="89" t="s">
        <v>172</v>
      </c>
      <c r="E248" s="2" t="s">
        <v>173</v>
      </c>
      <c r="F248" s="83">
        <v>1106</v>
      </c>
      <c r="G248" s="28">
        <v>327.12</v>
      </c>
      <c r="H248" s="90">
        <f t="shared" si="49"/>
        <v>361794.72</v>
      </c>
      <c r="I248" s="89" t="s">
        <v>174</v>
      </c>
      <c r="L248" s="97"/>
    </row>
    <row r="249" ht="18.75" customHeight="1" spans="1:12">
      <c r="A249" s="88" t="s">
        <v>432</v>
      </c>
      <c r="B249" s="89" t="s">
        <v>176</v>
      </c>
      <c r="C249" s="89" t="s">
        <v>177</v>
      </c>
      <c r="D249" s="89"/>
      <c r="E249" s="2" t="s">
        <v>93</v>
      </c>
      <c r="F249" s="83">
        <v>2212</v>
      </c>
      <c r="G249" s="28">
        <v>61.86</v>
      </c>
      <c r="H249" s="90">
        <f t="shared" ref="H249:H255" si="50">F249*G249</f>
        <v>136834.32</v>
      </c>
      <c r="I249" s="89"/>
      <c r="L249" s="97"/>
    </row>
    <row r="250" ht="18.75" customHeight="1" spans="1:12">
      <c r="A250" s="88" t="s">
        <v>433</v>
      </c>
      <c r="B250" s="89" t="s">
        <v>179</v>
      </c>
      <c r="C250" s="89" t="s">
        <v>177</v>
      </c>
      <c r="D250" s="89"/>
      <c r="E250" s="2" t="s">
        <v>154</v>
      </c>
      <c r="F250" s="83">
        <v>3318</v>
      </c>
      <c r="G250" s="28">
        <v>46.6</v>
      </c>
      <c r="H250" s="90">
        <f t="shared" si="50"/>
        <v>154618.8</v>
      </c>
      <c r="I250" s="89"/>
      <c r="K250" s="78" t="s">
        <v>180</v>
      </c>
      <c r="L250" s="97"/>
    </row>
    <row r="251" ht="18.75" customHeight="1" spans="1:12">
      <c r="A251" s="88" t="s">
        <v>434</v>
      </c>
      <c r="B251" s="89" t="s">
        <v>182</v>
      </c>
      <c r="C251" s="89" t="s">
        <v>183</v>
      </c>
      <c r="D251" s="89"/>
      <c r="E251" s="2" t="s">
        <v>93</v>
      </c>
      <c r="F251" s="83">
        <v>1106</v>
      </c>
      <c r="G251" s="28">
        <v>2.74</v>
      </c>
      <c r="H251" s="90">
        <f t="shared" si="50"/>
        <v>3030.44</v>
      </c>
      <c r="I251" s="89"/>
      <c r="L251" s="97"/>
    </row>
    <row r="252" ht="18.75" customHeight="1" spans="1:12">
      <c r="A252" s="88" t="s">
        <v>435</v>
      </c>
      <c r="B252" s="89" t="s">
        <v>185</v>
      </c>
      <c r="C252" s="89" t="s">
        <v>177</v>
      </c>
      <c r="D252" s="89"/>
      <c r="E252" s="2" t="s">
        <v>154</v>
      </c>
      <c r="F252" s="83">
        <v>5530</v>
      </c>
      <c r="G252" s="28">
        <v>2.06</v>
      </c>
      <c r="H252" s="90">
        <f t="shared" si="50"/>
        <v>11391.8</v>
      </c>
      <c r="I252" s="89"/>
      <c r="L252" s="97"/>
    </row>
    <row r="253" ht="18.75" customHeight="1" spans="1:12">
      <c r="A253" s="88" t="s">
        <v>436</v>
      </c>
      <c r="B253" s="89" t="s">
        <v>187</v>
      </c>
      <c r="C253" s="89" t="s">
        <v>177</v>
      </c>
      <c r="D253" s="89"/>
      <c r="E253" s="2" t="s">
        <v>154</v>
      </c>
      <c r="F253" s="83">
        <v>2212</v>
      </c>
      <c r="G253" s="28">
        <v>1.85</v>
      </c>
      <c r="H253" s="90">
        <f t="shared" si="50"/>
        <v>4092.2</v>
      </c>
      <c r="I253" s="89"/>
      <c r="L253" s="97"/>
    </row>
    <row r="254" ht="18.75" customHeight="1" spans="1:12">
      <c r="A254" s="88" t="s">
        <v>437</v>
      </c>
      <c r="B254" s="89" t="s">
        <v>189</v>
      </c>
      <c r="C254" s="89" t="s">
        <v>141</v>
      </c>
      <c r="D254" s="89" t="s">
        <v>172</v>
      </c>
      <c r="E254" s="2" t="s">
        <v>154</v>
      </c>
      <c r="F254" s="83">
        <v>1106</v>
      </c>
      <c r="G254" s="28">
        <v>20.15</v>
      </c>
      <c r="H254" s="90">
        <f t="shared" si="50"/>
        <v>22285.9</v>
      </c>
      <c r="I254" s="89"/>
      <c r="L254" s="97"/>
    </row>
    <row r="255" ht="18.75" customHeight="1" spans="1:12">
      <c r="A255" s="88" t="s">
        <v>438</v>
      </c>
      <c r="B255" s="89" t="s">
        <v>191</v>
      </c>
      <c r="C255" s="89" t="s">
        <v>192</v>
      </c>
      <c r="D255" s="89"/>
      <c r="E255" s="2" t="s">
        <v>193</v>
      </c>
      <c r="F255" s="83">
        <f>2223*1</f>
        <v>2223</v>
      </c>
      <c r="G255" s="28">
        <v>104.45</v>
      </c>
      <c r="H255" s="90">
        <f t="shared" si="50"/>
        <v>232192.35</v>
      </c>
      <c r="I255" s="89"/>
      <c r="K255" s="78">
        <v>2</v>
      </c>
      <c r="L255" s="97"/>
    </row>
    <row r="256" ht="18.75" customHeight="1" spans="1:12">
      <c r="A256" s="88" t="s">
        <v>439</v>
      </c>
      <c r="B256" s="89" t="s">
        <v>195</v>
      </c>
      <c r="C256" s="89"/>
      <c r="D256" s="89"/>
      <c r="E256" s="2" t="s">
        <v>196</v>
      </c>
      <c r="F256" s="83">
        <f>2223*(0.9*1.9)</f>
        <v>3801.33</v>
      </c>
      <c r="G256" s="28">
        <v>10.03</v>
      </c>
      <c r="H256" s="90">
        <f t="shared" ref="H256:H260" si="51">F256*G256</f>
        <v>38127.3399</v>
      </c>
      <c r="I256" s="89"/>
      <c r="L256" s="97"/>
    </row>
    <row r="257" ht="18.75" customHeight="1" spans="1:12">
      <c r="A257" s="88" t="s">
        <v>440</v>
      </c>
      <c r="B257" s="89" t="s">
        <v>198</v>
      </c>
      <c r="C257" s="89"/>
      <c r="D257" s="89"/>
      <c r="E257" s="2" t="s">
        <v>196</v>
      </c>
      <c r="F257" s="83">
        <f>2223*(0.9*1.7)</f>
        <v>3401.19</v>
      </c>
      <c r="G257" s="28">
        <v>14.82</v>
      </c>
      <c r="H257" s="90">
        <f t="shared" si="51"/>
        <v>50405.6358</v>
      </c>
      <c r="I257" s="89"/>
      <c r="L257" s="97"/>
    </row>
    <row r="258" ht="18.75" customHeight="1" spans="1:12">
      <c r="A258" s="88" t="s">
        <v>441</v>
      </c>
      <c r="B258" s="89" t="s">
        <v>200</v>
      </c>
      <c r="C258" s="89"/>
      <c r="D258" s="89"/>
      <c r="E258" s="2" t="s">
        <v>196</v>
      </c>
      <c r="F258" s="83">
        <f>2223*(0.9*0.15)</f>
        <v>300.105</v>
      </c>
      <c r="G258" s="28">
        <v>30.63</v>
      </c>
      <c r="H258" s="90">
        <f t="shared" si="51"/>
        <v>9192.21615</v>
      </c>
      <c r="I258" s="89"/>
      <c r="L258" s="97"/>
    </row>
    <row r="259" ht="18.75" customHeight="1" spans="1:12">
      <c r="A259" s="88" t="s">
        <v>442</v>
      </c>
      <c r="B259" s="89" t="s">
        <v>202</v>
      </c>
      <c r="C259" s="89"/>
      <c r="D259" s="89"/>
      <c r="E259" s="2" t="s">
        <v>196</v>
      </c>
      <c r="F259" s="83">
        <f>2223*(0.9*0.15)</f>
        <v>300.105</v>
      </c>
      <c r="G259" s="28">
        <v>209.24</v>
      </c>
      <c r="H259" s="90">
        <f t="shared" si="51"/>
        <v>62793.9702</v>
      </c>
      <c r="I259" s="89"/>
      <c r="L259" s="97"/>
    </row>
    <row r="260" ht="18.75" hidden="1" customHeight="1" spans="1:12">
      <c r="A260" s="88" t="s">
        <v>443</v>
      </c>
      <c r="B260" s="89" t="s">
        <v>204</v>
      </c>
      <c r="C260" s="89"/>
      <c r="D260" s="89"/>
      <c r="E260" s="2" t="s">
        <v>196</v>
      </c>
      <c r="F260" s="83">
        <f>2223*(0.9*0.3)*0</f>
        <v>0</v>
      </c>
      <c r="G260" s="28">
        <v>215.73</v>
      </c>
      <c r="H260" s="90">
        <f t="shared" si="51"/>
        <v>0</v>
      </c>
      <c r="I260" s="89"/>
      <c r="L260" s="97"/>
    </row>
    <row r="261" ht="18.75" customHeight="1" spans="1:10">
      <c r="A261" s="88"/>
      <c r="B261" s="89" t="s">
        <v>444</v>
      </c>
      <c r="C261" s="89"/>
      <c r="D261" s="89"/>
      <c r="E261" s="2" t="s">
        <v>206</v>
      </c>
      <c r="F261" s="83"/>
      <c r="G261" s="103"/>
      <c r="H261" s="90">
        <f>SUM(H200:H260)</f>
        <v>2635697.39715</v>
      </c>
      <c r="I261" s="89"/>
      <c r="J261" s="96"/>
    </row>
    <row r="262" ht="18.75" customHeight="1" spans="1:10">
      <c r="A262" s="84" t="s">
        <v>30</v>
      </c>
      <c r="B262" s="85" t="s">
        <v>31</v>
      </c>
      <c r="C262" s="86"/>
      <c r="D262" s="86"/>
      <c r="E262" s="86"/>
      <c r="F262" s="87"/>
      <c r="G262" s="86"/>
      <c r="H262" s="86"/>
      <c r="I262" s="95"/>
      <c r="J262" s="96"/>
    </row>
    <row r="263" ht="18.75" customHeight="1" spans="1:15">
      <c r="A263" s="88" t="s">
        <v>445</v>
      </c>
      <c r="B263" s="89" t="s">
        <v>74</v>
      </c>
      <c r="C263" s="89" t="s">
        <v>78</v>
      </c>
      <c r="D263" s="89" t="s">
        <v>76</v>
      </c>
      <c r="E263" s="2" t="s">
        <v>21</v>
      </c>
      <c r="F263" s="91">
        <v>273</v>
      </c>
      <c r="G263" s="28">
        <v>78.32</v>
      </c>
      <c r="H263" s="90">
        <f t="shared" ref="H263:H267" si="52">F263*G263</f>
        <v>21381.36</v>
      </c>
      <c r="I263" s="89"/>
      <c r="K263" s="79"/>
      <c r="L263" s="97"/>
      <c r="M263" s="100">
        <v>463</v>
      </c>
      <c r="N263" s="99">
        <v>694.5</v>
      </c>
      <c r="O263" s="79"/>
    </row>
    <row r="264" ht="18.75" customHeight="1" spans="1:15">
      <c r="A264" s="88" t="s">
        <v>446</v>
      </c>
      <c r="B264" s="89" t="s">
        <v>74</v>
      </c>
      <c r="C264" s="89" t="s">
        <v>80</v>
      </c>
      <c r="D264" s="89" t="s">
        <v>76</v>
      </c>
      <c r="E264" s="2" t="s">
        <v>21</v>
      </c>
      <c r="F264" s="92">
        <v>273</v>
      </c>
      <c r="G264" s="28">
        <v>67.71</v>
      </c>
      <c r="H264" s="90">
        <f t="shared" si="52"/>
        <v>18484.83</v>
      </c>
      <c r="I264" s="89"/>
      <c r="K264" s="79"/>
      <c r="L264" s="97"/>
      <c r="M264" s="79">
        <v>145</v>
      </c>
      <c r="N264" s="99">
        <v>217.5</v>
      </c>
      <c r="O264" s="79"/>
    </row>
    <row r="265" ht="18.75" customHeight="1" spans="1:15">
      <c r="A265" s="88" t="s">
        <v>447</v>
      </c>
      <c r="B265" s="89" t="s">
        <v>74</v>
      </c>
      <c r="C265" s="89" t="s">
        <v>211</v>
      </c>
      <c r="D265" s="89" t="s">
        <v>76</v>
      </c>
      <c r="E265" s="2" t="s">
        <v>21</v>
      </c>
      <c r="F265" s="83">
        <v>13</v>
      </c>
      <c r="G265" s="28">
        <v>39.37</v>
      </c>
      <c r="H265" s="90">
        <f t="shared" si="52"/>
        <v>511.81</v>
      </c>
      <c r="I265" s="89"/>
      <c r="K265" s="79"/>
      <c r="L265" s="97"/>
      <c r="M265" s="79">
        <v>145</v>
      </c>
      <c r="N265" s="99">
        <v>217.5</v>
      </c>
      <c r="O265" s="79"/>
    </row>
    <row r="266" ht="18.75" customHeight="1" spans="1:15">
      <c r="A266" s="88" t="s">
        <v>448</v>
      </c>
      <c r="B266" s="89" t="s">
        <v>82</v>
      </c>
      <c r="C266" s="89" t="s">
        <v>83</v>
      </c>
      <c r="D266" s="89" t="s">
        <v>84</v>
      </c>
      <c r="E266" s="2" t="s">
        <v>21</v>
      </c>
      <c r="F266" s="83">
        <v>10</v>
      </c>
      <c r="G266" s="28">
        <v>160.1</v>
      </c>
      <c r="H266" s="90">
        <f t="shared" si="52"/>
        <v>1601</v>
      </c>
      <c r="I266" s="89"/>
      <c r="K266" s="101"/>
      <c r="L266" s="101"/>
      <c r="M266" s="98">
        <v>2413</v>
      </c>
      <c r="N266" s="99">
        <v>3619.5</v>
      </c>
      <c r="O266" s="101"/>
    </row>
    <row r="267" ht="18.75" customHeight="1" spans="1:15">
      <c r="A267" s="88" t="s">
        <v>449</v>
      </c>
      <c r="B267" s="89" t="s">
        <v>82</v>
      </c>
      <c r="C267" s="89" t="s">
        <v>86</v>
      </c>
      <c r="D267" s="89" t="s">
        <v>84</v>
      </c>
      <c r="E267" s="2" t="s">
        <v>21</v>
      </c>
      <c r="F267" s="83">
        <v>473</v>
      </c>
      <c r="G267" s="28">
        <v>131.63</v>
      </c>
      <c r="H267" s="90">
        <f t="shared" si="52"/>
        <v>62260.99</v>
      </c>
      <c r="I267" s="89"/>
      <c r="K267" s="101"/>
      <c r="L267" s="101"/>
      <c r="M267" s="98">
        <v>38</v>
      </c>
      <c r="N267" s="99">
        <v>57</v>
      </c>
      <c r="O267" s="101"/>
    </row>
    <row r="268" ht="18.75" customHeight="1" spans="1:15">
      <c r="A268" s="88" t="s">
        <v>450</v>
      </c>
      <c r="B268" s="89" t="s">
        <v>82</v>
      </c>
      <c r="C268" s="89" t="s">
        <v>215</v>
      </c>
      <c r="D268" s="89" t="s">
        <v>84</v>
      </c>
      <c r="E268" s="2" t="s">
        <v>21</v>
      </c>
      <c r="F268" s="83">
        <v>460</v>
      </c>
      <c r="G268" s="28">
        <v>69.95</v>
      </c>
      <c r="H268" s="90">
        <f t="shared" ref="H268" si="53">F268*G268</f>
        <v>32177</v>
      </c>
      <c r="I268" s="89"/>
      <c r="K268" s="101">
        <f>SUM(F264:F268)</f>
        <v>1229</v>
      </c>
      <c r="L268" s="101"/>
      <c r="M268" s="98">
        <v>120</v>
      </c>
      <c r="N268" s="81">
        <v>258.425196850394</v>
      </c>
      <c r="O268" s="101"/>
    </row>
    <row r="269" ht="18.75" customHeight="1" spans="1:15">
      <c r="A269" s="88" t="s">
        <v>451</v>
      </c>
      <c r="B269" s="89" t="s">
        <v>82</v>
      </c>
      <c r="C269" s="89" t="s">
        <v>384</v>
      </c>
      <c r="D269" s="89" t="s">
        <v>84</v>
      </c>
      <c r="E269" s="2" t="s">
        <v>21</v>
      </c>
      <c r="F269" s="83">
        <v>1764</v>
      </c>
      <c r="G269" s="28">
        <v>55.67</v>
      </c>
      <c r="H269" s="90">
        <f t="shared" ref="H269:H295" si="54">F269*G269</f>
        <v>98201.88</v>
      </c>
      <c r="I269" s="89"/>
      <c r="K269" s="101">
        <f>SUM(F264:F269)</f>
        <v>2993</v>
      </c>
      <c r="L269" s="101"/>
      <c r="M269" s="98">
        <v>120</v>
      </c>
      <c r="N269" s="81">
        <v>258.425196850394</v>
      </c>
      <c r="O269" s="101"/>
    </row>
    <row r="270" ht="18.75" customHeight="1" spans="1:12">
      <c r="A270" s="88" t="s">
        <v>452</v>
      </c>
      <c r="B270" s="89" t="s">
        <v>90</v>
      </c>
      <c r="C270" s="89" t="s">
        <v>91</v>
      </c>
      <c r="D270" s="89" t="s">
        <v>92</v>
      </c>
      <c r="E270" s="2" t="s">
        <v>93</v>
      </c>
      <c r="F270" s="83">
        <v>13</v>
      </c>
      <c r="G270" s="28">
        <v>206.38</v>
      </c>
      <c r="H270" s="90">
        <f t="shared" si="54"/>
        <v>2682.94</v>
      </c>
      <c r="I270" s="89"/>
      <c r="L270" s="97"/>
    </row>
    <row r="271" ht="18.75" customHeight="1" spans="1:12">
      <c r="A271" s="88" t="s">
        <v>453</v>
      </c>
      <c r="B271" s="89" t="s">
        <v>95</v>
      </c>
      <c r="C271" s="89" t="s">
        <v>222</v>
      </c>
      <c r="D271" s="89"/>
      <c r="E271" s="2" t="s">
        <v>93</v>
      </c>
      <c r="F271" s="83">
        <v>2</v>
      </c>
      <c r="G271" s="28">
        <v>231.72</v>
      </c>
      <c r="H271" s="90">
        <f t="shared" si="54"/>
        <v>463.44</v>
      </c>
      <c r="I271" s="89"/>
      <c r="L271" s="97"/>
    </row>
    <row r="272" ht="18.75" customHeight="1" spans="1:12">
      <c r="A272" s="88" t="s">
        <v>454</v>
      </c>
      <c r="B272" s="89" t="s">
        <v>95</v>
      </c>
      <c r="C272" s="89" t="s">
        <v>455</v>
      </c>
      <c r="D272" s="89"/>
      <c r="E272" s="2" t="s">
        <v>93</v>
      </c>
      <c r="F272" s="83">
        <v>1</v>
      </c>
      <c r="G272" s="28">
        <v>295.5</v>
      </c>
      <c r="H272" s="90">
        <f t="shared" si="54"/>
        <v>295.5</v>
      </c>
      <c r="I272" s="89"/>
      <c r="L272" s="97"/>
    </row>
    <row r="273" ht="18.75" customHeight="1" spans="1:12">
      <c r="A273" s="88" t="s">
        <v>456</v>
      </c>
      <c r="B273" s="89" t="s">
        <v>95</v>
      </c>
      <c r="C273" s="89" t="s">
        <v>98</v>
      </c>
      <c r="D273" s="89"/>
      <c r="E273" s="2" t="s">
        <v>93</v>
      </c>
      <c r="F273" s="83">
        <v>42</v>
      </c>
      <c r="G273" s="28">
        <v>190.02</v>
      </c>
      <c r="H273" s="90">
        <f t="shared" ref="H273:H275" si="55">F273*G273</f>
        <v>7980.84</v>
      </c>
      <c r="I273" s="89"/>
      <c r="L273" s="97"/>
    </row>
    <row r="274" ht="18.75" customHeight="1" spans="1:12">
      <c r="A274" s="88" t="s">
        <v>457</v>
      </c>
      <c r="B274" s="89" t="s">
        <v>95</v>
      </c>
      <c r="C274" s="89" t="s">
        <v>458</v>
      </c>
      <c r="D274" s="89"/>
      <c r="E274" s="2" t="s">
        <v>93</v>
      </c>
      <c r="F274" s="83">
        <v>36</v>
      </c>
      <c r="G274" s="28">
        <v>235.3</v>
      </c>
      <c r="H274" s="90">
        <f t="shared" si="55"/>
        <v>8470.8</v>
      </c>
      <c r="I274" s="89"/>
      <c r="L274" s="97"/>
    </row>
    <row r="275" ht="18.75" customHeight="1" spans="1:12">
      <c r="A275" s="88" t="s">
        <v>459</v>
      </c>
      <c r="B275" s="89" t="s">
        <v>228</v>
      </c>
      <c r="C275" s="89" t="s">
        <v>229</v>
      </c>
      <c r="D275" s="89"/>
      <c r="E275" s="2" t="s">
        <v>93</v>
      </c>
      <c r="F275" s="83">
        <v>2</v>
      </c>
      <c r="G275" s="28">
        <v>320.53</v>
      </c>
      <c r="H275" s="90">
        <f t="shared" si="55"/>
        <v>641.06</v>
      </c>
      <c r="I275" s="89"/>
      <c r="L275" s="97"/>
    </row>
    <row r="276" ht="18.75" customHeight="1" spans="1:12">
      <c r="A276" s="88" t="s">
        <v>460</v>
      </c>
      <c r="B276" s="89" t="s">
        <v>228</v>
      </c>
      <c r="C276" s="89" t="s">
        <v>231</v>
      </c>
      <c r="D276" s="89"/>
      <c r="E276" s="2" t="s">
        <v>93</v>
      </c>
      <c r="F276" s="83">
        <v>2</v>
      </c>
      <c r="G276" s="28">
        <v>287.83</v>
      </c>
      <c r="H276" s="90">
        <f t="shared" ref="H276" si="56">F276*G276</f>
        <v>575.66</v>
      </c>
      <c r="I276" s="89"/>
      <c r="L276" s="97"/>
    </row>
    <row r="277" ht="18.75" customHeight="1" spans="1:12">
      <c r="A277" s="88" t="s">
        <v>461</v>
      </c>
      <c r="B277" s="89" t="s">
        <v>100</v>
      </c>
      <c r="C277" s="89" t="s">
        <v>101</v>
      </c>
      <c r="D277" s="89"/>
      <c r="E277" s="2" t="s">
        <v>93</v>
      </c>
      <c r="F277" s="83">
        <v>2</v>
      </c>
      <c r="G277" s="28">
        <v>142.52</v>
      </c>
      <c r="H277" s="90">
        <f t="shared" si="54"/>
        <v>285.04</v>
      </c>
      <c r="I277" s="89"/>
      <c r="L277" s="97"/>
    </row>
    <row r="278" ht="18.75" customHeight="1" spans="1:12">
      <c r="A278" s="88" t="s">
        <v>462</v>
      </c>
      <c r="B278" s="89" t="s">
        <v>100</v>
      </c>
      <c r="C278" s="89" t="s">
        <v>103</v>
      </c>
      <c r="D278" s="89"/>
      <c r="E278" s="2" t="s">
        <v>93</v>
      </c>
      <c r="F278" s="83">
        <v>94</v>
      </c>
      <c r="G278" s="28">
        <v>132.78</v>
      </c>
      <c r="H278" s="90">
        <f t="shared" si="54"/>
        <v>12481.32</v>
      </c>
      <c r="I278" s="89"/>
      <c r="L278" s="97"/>
    </row>
    <row r="279" ht="18.75" customHeight="1" spans="1:12">
      <c r="A279" s="88" t="s">
        <v>463</v>
      </c>
      <c r="B279" s="89" t="s">
        <v>100</v>
      </c>
      <c r="C279" s="89" t="s">
        <v>235</v>
      </c>
      <c r="D279" s="89"/>
      <c r="E279" s="2" t="s">
        <v>93</v>
      </c>
      <c r="F279" s="83">
        <v>90</v>
      </c>
      <c r="G279" s="28">
        <v>57.26</v>
      </c>
      <c r="H279" s="90">
        <f t="shared" si="54"/>
        <v>5153.4</v>
      </c>
      <c r="I279" s="89"/>
      <c r="L279" s="97"/>
    </row>
    <row r="280" ht="18.75" customHeight="1" spans="1:12">
      <c r="A280" s="88" t="s">
        <v>464</v>
      </c>
      <c r="B280" s="89" t="s">
        <v>105</v>
      </c>
      <c r="C280" s="89" t="s">
        <v>108</v>
      </c>
      <c r="D280" s="89"/>
      <c r="E280" s="2" t="s">
        <v>93</v>
      </c>
      <c r="F280" s="83">
        <v>6</v>
      </c>
      <c r="G280" s="28">
        <v>91.72</v>
      </c>
      <c r="H280" s="90">
        <f t="shared" si="54"/>
        <v>550.32</v>
      </c>
      <c r="I280" s="89"/>
      <c r="L280" s="97"/>
    </row>
    <row r="281" ht="18.75" customHeight="1" spans="1:12">
      <c r="A281" s="88" t="s">
        <v>465</v>
      </c>
      <c r="B281" s="89" t="s">
        <v>105</v>
      </c>
      <c r="C281" s="89" t="s">
        <v>110</v>
      </c>
      <c r="D281" s="89"/>
      <c r="E281" s="2" t="s">
        <v>93</v>
      </c>
      <c r="F281" s="83">
        <v>6</v>
      </c>
      <c r="G281" s="28">
        <v>90.8</v>
      </c>
      <c r="H281" s="90">
        <f t="shared" si="54"/>
        <v>544.8</v>
      </c>
      <c r="I281" s="89"/>
      <c r="L281" s="97"/>
    </row>
    <row r="282" ht="18.75" customHeight="1" spans="1:12">
      <c r="A282" s="88" t="s">
        <v>466</v>
      </c>
      <c r="B282" s="89" t="s">
        <v>112</v>
      </c>
      <c r="C282" s="89" t="s">
        <v>121</v>
      </c>
      <c r="D282" s="89"/>
      <c r="E282" s="2" t="s">
        <v>93</v>
      </c>
      <c r="F282" s="83">
        <v>5</v>
      </c>
      <c r="G282" s="28">
        <v>98.97</v>
      </c>
      <c r="H282" s="90">
        <f t="shared" si="54"/>
        <v>494.85</v>
      </c>
      <c r="I282" s="89"/>
      <c r="L282" s="97"/>
    </row>
    <row r="283" ht="18.75" customHeight="1" spans="1:12">
      <c r="A283" s="88" t="s">
        <v>467</v>
      </c>
      <c r="B283" s="89" t="s">
        <v>112</v>
      </c>
      <c r="C283" s="89" t="s">
        <v>245</v>
      </c>
      <c r="D283" s="89"/>
      <c r="E283" s="2" t="s">
        <v>93</v>
      </c>
      <c r="F283" s="83">
        <v>1</v>
      </c>
      <c r="G283" s="28">
        <v>98.97</v>
      </c>
      <c r="H283" s="90">
        <f t="shared" ref="H283:H284" si="57">F283*G283</f>
        <v>98.97</v>
      </c>
      <c r="I283" s="89"/>
      <c r="L283" s="97"/>
    </row>
    <row r="284" ht="18.75" customHeight="1" spans="1:12">
      <c r="A284" s="88" t="s">
        <v>468</v>
      </c>
      <c r="B284" s="89" t="s">
        <v>123</v>
      </c>
      <c r="C284" s="89" t="s">
        <v>121</v>
      </c>
      <c r="D284" s="89"/>
      <c r="E284" s="2" t="s">
        <v>93</v>
      </c>
      <c r="F284" s="83">
        <v>3</v>
      </c>
      <c r="G284" s="28">
        <v>99.52</v>
      </c>
      <c r="H284" s="90">
        <f t="shared" si="57"/>
        <v>298.56</v>
      </c>
      <c r="I284" s="89"/>
      <c r="L284" s="97"/>
    </row>
    <row r="285" ht="18.75" customHeight="1" spans="1:12">
      <c r="A285" s="88" t="s">
        <v>469</v>
      </c>
      <c r="B285" s="89" t="s">
        <v>126</v>
      </c>
      <c r="C285" s="89" t="s">
        <v>129</v>
      </c>
      <c r="D285" s="89"/>
      <c r="E285" s="2" t="s">
        <v>93</v>
      </c>
      <c r="F285" s="83">
        <v>3</v>
      </c>
      <c r="G285" s="28">
        <v>376.13</v>
      </c>
      <c r="H285" s="90">
        <f t="shared" si="54"/>
        <v>1128.39</v>
      </c>
      <c r="I285" s="89"/>
      <c r="L285" s="97"/>
    </row>
    <row r="286" ht="18.75" customHeight="1" spans="1:12">
      <c r="A286" s="88" t="s">
        <v>470</v>
      </c>
      <c r="B286" s="89" t="s">
        <v>126</v>
      </c>
      <c r="C286" s="89" t="s">
        <v>131</v>
      </c>
      <c r="D286" s="89"/>
      <c r="E286" s="2" t="s">
        <v>93</v>
      </c>
      <c r="F286" s="83">
        <v>6</v>
      </c>
      <c r="G286" s="28">
        <v>263.71</v>
      </c>
      <c r="H286" s="90">
        <f t="shared" si="54"/>
        <v>1582.26</v>
      </c>
      <c r="I286" s="89"/>
      <c r="L286" s="97"/>
    </row>
    <row r="287" ht="18.75" customHeight="1" spans="1:12">
      <c r="A287" s="88" t="s">
        <v>471</v>
      </c>
      <c r="B287" s="89" t="s">
        <v>126</v>
      </c>
      <c r="C287" s="89" t="s">
        <v>255</v>
      </c>
      <c r="D287" s="89"/>
      <c r="E287" s="2" t="s">
        <v>93</v>
      </c>
      <c r="F287" s="83">
        <v>5</v>
      </c>
      <c r="G287" s="28">
        <v>182.55</v>
      </c>
      <c r="H287" s="90">
        <f t="shared" si="54"/>
        <v>912.75</v>
      </c>
      <c r="I287" s="89"/>
      <c r="L287" s="97"/>
    </row>
    <row r="288" ht="18.75" customHeight="1" spans="1:12">
      <c r="A288" s="88" t="s">
        <v>472</v>
      </c>
      <c r="B288" s="89" t="s">
        <v>133</v>
      </c>
      <c r="C288" s="89" t="s">
        <v>108</v>
      </c>
      <c r="D288" s="89"/>
      <c r="E288" s="2" t="s">
        <v>93</v>
      </c>
      <c r="F288" s="83">
        <v>14</v>
      </c>
      <c r="G288" s="28">
        <v>101.7</v>
      </c>
      <c r="H288" s="90">
        <f t="shared" si="54"/>
        <v>1423.8</v>
      </c>
      <c r="I288" s="89"/>
      <c r="L288" s="97"/>
    </row>
    <row r="289" ht="18.75" customHeight="1" spans="1:12">
      <c r="A289" s="88" t="s">
        <v>473</v>
      </c>
      <c r="B289" s="89" t="s">
        <v>133</v>
      </c>
      <c r="C289" s="89" t="s">
        <v>110</v>
      </c>
      <c r="D289" s="89"/>
      <c r="E289" s="2" t="s">
        <v>93</v>
      </c>
      <c r="F289" s="83">
        <v>14</v>
      </c>
      <c r="G289" s="28">
        <v>96.25</v>
      </c>
      <c r="H289" s="90">
        <f t="shared" si="54"/>
        <v>1347.5</v>
      </c>
      <c r="I289" s="89"/>
      <c r="L289" s="97"/>
    </row>
    <row r="290" ht="18.75" customHeight="1" spans="1:12">
      <c r="A290" s="88" t="s">
        <v>474</v>
      </c>
      <c r="B290" s="89" t="s">
        <v>133</v>
      </c>
      <c r="C290" s="89" t="s">
        <v>242</v>
      </c>
      <c r="D290" s="89"/>
      <c r="E290" s="2" t="s">
        <v>93</v>
      </c>
      <c r="F290" s="83">
        <v>1</v>
      </c>
      <c r="G290" s="28">
        <v>94.07</v>
      </c>
      <c r="H290" s="90">
        <f t="shared" si="54"/>
        <v>94.07</v>
      </c>
      <c r="I290" s="89"/>
      <c r="L290" s="97"/>
    </row>
    <row r="291" ht="18.75" customHeight="1" spans="1:12">
      <c r="A291" s="88" t="s">
        <v>475</v>
      </c>
      <c r="B291" s="89" t="s">
        <v>137</v>
      </c>
      <c r="C291" s="89" t="s">
        <v>103</v>
      </c>
      <c r="D291" s="89"/>
      <c r="E291" s="2" t="s">
        <v>93</v>
      </c>
      <c r="F291" s="83">
        <v>6</v>
      </c>
      <c r="G291" s="28">
        <v>771.19</v>
      </c>
      <c r="H291" s="90">
        <f t="shared" si="54"/>
        <v>4627.14</v>
      </c>
      <c r="I291" s="89" t="s">
        <v>138</v>
      </c>
      <c r="L291" s="97"/>
    </row>
    <row r="292" ht="18.75" customHeight="1" spans="1:12">
      <c r="A292" s="88" t="s">
        <v>476</v>
      </c>
      <c r="B292" s="89" t="s">
        <v>137</v>
      </c>
      <c r="C292" s="89" t="s">
        <v>235</v>
      </c>
      <c r="D292" s="89"/>
      <c r="E292" s="2" t="s">
        <v>93</v>
      </c>
      <c r="F292" s="83">
        <v>7</v>
      </c>
      <c r="G292" s="28">
        <v>450.68</v>
      </c>
      <c r="H292" s="90">
        <f t="shared" si="54"/>
        <v>3154.76</v>
      </c>
      <c r="I292" s="89" t="s">
        <v>138</v>
      </c>
      <c r="L292" s="97"/>
    </row>
    <row r="293" ht="18.75" customHeight="1" spans="1:12">
      <c r="A293" s="88" t="s">
        <v>477</v>
      </c>
      <c r="B293" s="89" t="s">
        <v>137</v>
      </c>
      <c r="C293" s="89" t="s">
        <v>141</v>
      </c>
      <c r="D293" s="89"/>
      <c r="E293" s="2" t="s">
        <v>93</v>
      </c>
      <c r="F293" s="83">
        <v>78</v>
      </c>
      <c r="G293" s="28">
        <v>360.55</v>
      </c>
      <c r="H293" s="90">
        <f t="shared" si="54"/>
        <v>28122.9</v>
      </c>
      <c r="I293" s="89" t="s">
        <v>138</v>
      </c>
      <c r="L293" s="97"/>
    </row>
    <row r="294" ht="18.75" customHeight="1" spans="1:12">
      <c r="A294" s="88" t="s">
        <v>478</v>
      </c>
      <c r="B294" s="89" t="s">
        <v>143</v>
      </c>
      <c r="C294" s="89"/>
      <c r="D294" s="89"/>
      <c r="E294" s="2" t="s">
        <v>21</v>
      </c>
      <c r="F294" s="83">
        <v>559</v>
      </c>
      <c r="G294" s="28">
        <v>1.89</v>
      </c>
      <c r="H294" s="90">
        <f t="shared" si="54"/>
        <v>1056.51</v>
      </c>
      <c r="I294" s="89"/>
      <c r="K294" s="78">
        <v>1003</v>
      </c>
      <c r="L294" s="97"/>
    </row>
    <row r="295" ht="18.75" customHeight="1" spans="1:12">
      <c r="A295" s="88" t="s">
        <v>479</v>
      </c>
      <c r="B295" s="89" t="s">
        <v>145</v>
      </c>
      <c r="C295" s="89"/>
      <c r="D295" s="89"/>
      <c r="E295" s="2" t="s">
        <v>21</v>
      </c>
      <c r="F295" s="83">
        <v>559</v>
      </c>
      <c r="G295" s="28">
        <v>6.04</v>
      </c>
      <c r="H295" s="90">
        <f t="shared" si="54"/>
        <v>3376.36</v>
      </c>
      <c r="I295" s="89"/>
      <c r="L295" s="97"/>
    </row>
    <row r="296" ht="18.75" customHeight="1" spans="1:14">
      <c r="A296" s="88" t="s">
        <v>480</v>
      </c>
      <c r="B296" s="89" t="s">
        <v>481</v>
      </c>
      <c r="C296" s="89" t="s">
        <v>265</v>
      </c>
      <c r="D296" s="89"/>
      <c r="E296" s="2" t="s">
        <v>93</v>
      </c>
      <c r="F296" s="83">
        <v>2</v>
      </c>
      <c r="G296" s="28">
        <v>28244.08</v>
      </c>
      <c r="H296" s="90">
        <f t="shared" ref="H296" si="58">F296*G296</f>
        <v>56488.16</v>
      </c>
      <c r="I296" s="89"/>
      <c r="M296" s="98">
        <v>3</v>
      </c>
      <c r="N296" s="81">
        <v>6.46062992125984</v>
      </c>
    </row>
    <row r="297" ht="18.75" customHeight="1" spans="1:13">
      <c r="A297" s="88" t="s">
        <v>482</v>
      </c>
      <c r="B297" s="89" t="s">
        <v>152</v>
      </c>
      <c r="C297" s="89" t="s">
        <v>153</v>
      </c>
      <c r="D297" s="89"/>
      <c r="E297" s="2" t="s">
        <v>154</v>
      </c>
      <c r="F297" s="83">
        <v>968</v>
      </c>
      <c r="G297" s="28">
        <f>0.04*7.85*4*5.5*1.35</f>
        <v>9.3258</v>
      </c>
      <c r="H297" s="90">
        <f t="shared" ref="H297:H303" si="59">F297*G297</f>
        <v>9027.3744</v>
      </c>
      <c r="I297" s="89"/>
      <c r="M297" s="102"/>
    </row>
    <row r="298" ht="18.75" customHeight="1" spans="1:13">
      <c r="A298" s="88" t="s">
        <v>483</v>
      </c>
      <c r="B298" s="89" t="s">
        <v>156</v>
      </c>
      <c r="C298" s="89" t="s">
        <v>157</v>
      </c>
      <c r="D298" s="89"/>
      <c r="E298" s="2" t="s">
        <v>158</v>
      </c>
      <c r="F298" s="83">
        <v>4</v>
      </c>
      <c r="G298" s="28">
        <f>3.77*5.5*1.35</f>
        <v>27.99225</v>
      </c>
      <c r="H298" s="90">
        <f t="shared" si="59"/>
        <v>111.969</v>
      </c>
      <c r="I298" s="89"/>
      <c r="M298" s="102"/>
    </row>
    <row r="299" ht="18.75" customHeight="1" spans="1:13">
      <c r="A299" s="88" t="s">
        <v>484</v>
      </c>
      <c r="B299" s="89" t="s">
        <v>160</v>
      </c>
      <c r="C299" s="89" t="s">
        <v>103</v>
      </c>
      <c r="D299" s="89" t="s">
        <v>84</v>
      </c>
      <c r="E299" s="2" t="s">
        <v>93</v>
      </c>
      <c r="F299" s="83">
        <v>73</v>
      </c>
      <c r="G299" s="28">
        <v>96.89</v>
      </c>
      <c r="H299" s="90">
        <f t="shared" si="59"/>
        <v>7072.97</v>
      </c>
      <c r="I299" s="89"/>
      <c r="M299" s="102"/>
    </row>
    <row r="300" ht="18" customHeight="1" spans="1:13">
      <c r="A300" s="88" t="s">
        <v>485</v>
      </c>
      <c r="B300" s="89" t="s">
        <v>160</v>
      </c>
      <c r="C300" s="89" t="s">
        <v>235</v>
      </c>
      <c r="D300" s="89" t="s">
        <v>84</v>
      </c>
      <c r="E300" s="2" t="s">
        <v>93</v>
      </c>
      <c r="F300" s="83">
        <v>92</v>
      </c>
      <c r="G300" s="28">
        <v>72.52</v>
      </c>
      <c r="H300" s="90">
        <f t="shared" si="59"/>
        <v>6671.84</v>
      </c>
      <c r="I300" s="89"/>
      <c r="M300" s="102"/>
    </row>
    <row r="301" ht="18" customHeight="1" spans="1:13">
      <c r="A301" s="88" t="s">
        <v>486</v>
      </c>
      <c r="B301" s="89" t="s">
        <v>160</v>
      </c>
      <c r="C301" s="89" t="s">
        <v>237</v>
      </c>
      <c r="D301" s="89" t="s">
        <v>84</v>
      </c>
      <c r="E301" s="2" t="s">
        <v>93</v>
      </c>
      <c r="F301" s="83">
        <v>441</v>
      </c>
      <c r="G301" s="28">
        <v>30.24</v>
      </c>
      <c r="H301" s="90">
        <f t="shared" si="59"/>
        <v>13335.84</v>
      </c>
      <c r="I301" s="89"/>
      <c r="M301" s="102"/>
    </row>
    <row r="302" ht="18.75" customHeight="1" spans="1:12">
      <c r="A302" s="88" t="s">
        <v>487</v>
      </c>
      <c r="B302" s="89" t="s">
        <v>164</v>
      </c>
      <c r="C302" s="89"/>
      <c r="D302" s="89"/>
      <c r="E302" s="2" t="s">
        <v>154</v>
      </c>
      <c r="F302" s="83">
        <v>24</v>
      </c>
      <c r="G302" s="28">
        <v>312.6</v>
      </c>
      <c r="H302" s="90">
        <f t="shared" si="59"/>
        <v>7502.4</v>
      </c>
      <c r="I302" s="89"/>
      <c r="K302" s="78" t="s">
        <v>165</v>
      </c>
      <c r="L302" s="97"/>
    </row>
    <row r="303" ht="18.75" customHeight="1" spans="1:12">
      <c r="A303" s="88" t="s">
        <v>488</v>
      </c>
      <c r="B303" s="89" t="s">
        <v>170</v>
      </c>
      <c r="C303" s="89" t="s">
        <v>171</v>
      </c>
      <c r="D303" s="89" t="s">
        <v>172</v>
      </c>
      <c r="E303" s="2" t="s">
        <v>173</v>
      </c>
      <c r="F303" s="83">
        <v>588</v>
      </c>
      <c r="G303" s="28">
        <v>327.12</v>
      </c>
      <c r="H303" s="90">
        <f t="shared" si="59"/>
        <v>192346.56</v>
      </c>
      <c r="I303" s="89" t="s">
        <v>174</v>
      </c>
      <c r="L303" s="97"/>
    </row>
    <row r="304" ht="18.75" customHeight="1" spans="1:12">
      <c r="A304" s="88" t="s">
        <v>489</v>
      </c>
      <c r="B304" s="89" t="s">
        <v>176</v>
      </c>
      <c r="C304" s="89" t="s">
        <v>177</v>
      </c>
      <c r="D304" s="89"/>
      <c r="E304" s="2" t="s">
        <v>93</v>
      </c>
      <c r="F304" s="83">
        <v>1176</v>
      </c>
      <c r="G304" s="28">
        <v>61.86</v>
      </c>
      <c r="H304" s="90">
        <f t="shared" ref="H304:H310" si="60">F304*G304</f>
        <v>72747.36</v>
      </c>
      <c r="I304" s="89"/>
      <c r="L304" s="97"/>
    </row>
    <row r="305" ht="18.75" customHeight="1" spans="1:12">
      <c r="A305" s="88" t="s">
        <v>490</v>
      </c>
      <c r="B305" s="89" t="s">
        <v>179</v>
      </c>
      <c r="C305" s="89" t="s">
        <v>177</v>
      </c>
      <c r="D305" s="89"/>
      <c r="E305" s="2" t="s">
        <v>154</v>
      </c>
      <c r="F305" s="83">
        <v>1764</v>
      </c>
      <c r="G305" s="28">
        <v>46.6</v>
      </c>
      <c r="H305" s="90">
        <f t="shared" si="60"/>
        <v>82202.4</v>
      </c>
      <c r="I305" s="89"/>
      <c r="K305" s="78" t="s">
        <v>180</v>
      </c>
      <c r="L305" s="97"/>
    </row>
    <row r="306" ht="18.75" customHeight="1" spans="1:12">
      <c r="A306" s="88" t="s">
        <v>491</v>
      </c>
      <c r="B306" s="89" t="s">
        <v>182</v>
      </c>
      <c r="C306" s="89" t="s">
        <v>183</v>
      </c>
      <c r="D306" s="89"/>
      <c r="E306" s="2" t="s">
        <v>93</v>
      </c>
      <c r="F306" s="83">
        <v>588</v>
      </c>
      <c r="G306" s="28">
        <v>2.74</v>
      </c>
      <c r="H306" s="90">
        <f t="shared" si="60"/>
        <v>1611.12</v>
      </c>
      <c r="I306" s="89"/>
      <c r="L306" s="97"/>
    </row>
    <row r="307" ht="18.75" customHeight="1" spans="1:12">
      <c r="A307" s="88" t="s">
        <v>492</v>
      </c>
      <c r="B307" s="89" t="s">
        <v>185</v>
      </c>
      <c r="C307" s="89" t="s">
        <v>177</v>
      </c>
      <c r="D307" s="89"/>
      <c r="E307" s="2" t="s">
        <v>154</v>
      </c>
      <c r="F307" s="83">
        <v>2940</v>
      </c>
      <c r="G307" s="28">
        <v>2.06</v>
      </c>
      <c r="H307" s="90">
        <f t="shared" si="60"/>
        <v>6056.4</v>
      </c>
      <c r="I307" s="89"/>
      <c r="L307" s="97"/>
    </row>
    <row r="308" ht="18.75" customHeight="1" spans="1:12">
      <c r="A308" s="88" t="s">
        <v>493</v>
      </c>
      <c r="B308" s="89" t="s">
        <v>187</v>
      </c>
      <c r="C308" s="89" t="s">
        <v>177</v>
      </c>
      <c r="D308" s="89"/>
      <c r="E308" s="2" t="s">
        <v>154</v>
      </c>
      <c r="F308" s="83">
        <v>1176</v>
      </c>
      <c r="G308" s="28">
        <v>1.85</v>
      </c>
      <c r="H308" s="90">
        <f t="shared" si="60"/>
        <v>2175.6</v>
      </c>
      <c r="I308" s="89"/>
      <c r="L308" s="97"/>
    </row>
    <row r="309" ht="18.75" customHeight="1" spans="1:12">
      <c r="A309" s="88" t="s">
        <v>494</v>
      </c>
      <c r="B309" s="89" t="s">
        <v>189</v>
      </c>
      <c r="C309" s="89" t="s">
        <v>141</v>
      </c>
      <c r="D309" s="89" t="s">
        <v>172</v>
      </c>
      <c r="E309" s="2" t="s">
        <v>154</v>
      </c>
      <c r="F309" s="83">
        <v>588</v>
      </c>
      <c r="G309" s="28">
        <v>20.15</v>
      </c>
      <c r="H309" s="90">
        <f t="shared" si="60"/>
        <v>11848.2</v>
      </c>
      <c r="I309" s="89"/>
      <c r="L309" s="97"/>
    </row>
    <row r="310" ht="18.75" customHeight="1" spans="1:12">
      <c r="A310" s="88" t="s">
        <v>495</v>
      </c>
      <c r="B310" s="89" t="s">
        <v>191</v>
      </c>
      <c r="C310" s="89" t="s">
        <v>192</v>
      </c>
      <c r="D310" s="89"/>
      <c r="E310" s="2" t="s">
        <v>193</v>
      </c>
      <c r="F310" s="83">
        <f>559*1</f>
        <v>559</v>
      </c>
      <c r="G310" s="28">
        <v>104.45</v>
      </c>
      <c r="H310" s="90">
        <f t="shared" si="60"/>
        <v>58387.55</v>
      </c>
      <c r="I310" s="89"/>
      <c r="K310" s="78">
        <v>2</v>
      </c>
      <c r="L310" s="97"/>
    </row>
    <row r="311" ht="18.75" customHeight="1" spans="1:12">
      <c r="A311" s="88" t="s">
        <v>496</v>
      </c>
      <c r="B311" s="89" t="s">
        <v>195</v>
      </c>
      <c r="C311" s="89"/>
      <c r="D311" s="89"/>
      <c r="E311" s="2" t="s">
        <v>196</v>
      </c>
      <c r="F311" s="83">
        <f>559*(0.9*1.9)</f>
        <v>955.89</v>
      </c>
      <c r="G311" s="28">
        <v>10.03</v>
      </c>
      <c r="H311" s="90">
        <f t="shared" ref="H311:H315" si="61">F311*G311</f>
        <v>9587.5767</v>
      </c>
      <c r="I311" s="89"/>
      <c r="L311" s="97"/>
    </row>
    <row r="312" ht="18.75" customHeight="1" spans="1:12">
      <c r="A312" s="88" t="s">
        <v>497</v>
      </c>
      <c r="B312" s="89" t="s">
        <v>198</v>
      </c>
      <c r="C312" s="89"/>
      <c r="D312" s="89"/>
      <c r="E312" s="2" t="s">
        <v>196</v>
      </c>
      <c r="F312" s="83">
        <f>559*(0.9*1.7)</f>
        <v>855.27</v>
      </c>
      <c r="G312" s="28">
        <v>14.82</v>
      </c>
      <c r="H312" s="90">
        <f t="shared" si="61"/>
        <v>12675.1014</v>
      </c>
      <c r="I312" s="89"/>
      <c r="L312" s="97"/>
    </row>
    <row r="313" ht="18.75" customHeight="1" spans="1:12">
      <c r="A313" s="88" t="s">
        <v>498</v>
      </c>
      <c r="B313" s="89" t="s">
        <v>200</v>
      </c>
      <c r="C313" s="89"/>
      <c r="D313" s="89"/>
      <c r="E313" s="2" t="s">
        <v>196</v>
      </c>
      <c r="F313" s="83">
        <f>559*(0.9*0.15)</f>
        <v>75.465</v>
      </c>
      <c r="G313" s="28">
        <v>30.63</v>
      </c>
      <c r="H313" s="90">
        <f t="shared" si="61"/>
        <v>2311.49295</v>
      </c>
      <c r="I313" s="89"/>
      <c r="L313" s="97"/>
    </row>
    <row r="314" ht="18.75" customHeight="1" spans="1:12">
      <c r="A314" s="88" t="s">
        <v>499</v>
      </c>
      <c r="B314" s="89" t="s">
        <v>202</v>
      </c>
      <c r="C314" s="89"/>
      <c r="D314" s="89"/>
      <c r="E314" s="2" t="s">
        <v>196</v>
      </c>
      <c r="F314" s="83">
        <f>559*(0.9*0.15)</f>
        <v>75.465</v>
      </c>
      <c r="G314" s="28">
        <v>209.24</v>
      </c>
      <c r="H314" s="90">
        <f t="shared" si="61"/>
        <v>15790.2966</v>
      </c>
      <c r="I314" s="89"/>
      <c r="L314" s="97"/>
    </row>
    <row r="315" ht="18.75" hidden="1" customHeight="1" spans="1:12">
      <c r="A315" s="88" t="s">
        <v>500</v>
      </c>
      <c r="B315" s="89" t="s">
        <v>204</v>
      </c>
      <c r="C315" s="89"/>
      <c r="D315" s="89"/>
      <c r="E315" s="2" t="s">
        <v>196</v>
      </c>
      <c r="F315" s="83">
        <f>559*(0.9*0.3)*0</f>
        <v>0</v>
      </c>
      <c r="G315" s="28">
        <v>215.73</v>
      </c>
      <c r="H315" s="90">
        <f t="shared" si="61"/>
        <v>0</v>
      </c>
      <c r="I315" s="89"/>
      <c r="L315" s="97"/>
    </row>
    <row r="316" ht="18.75" customHeight="1" spans="1:9">
      <c r="A316" s="88"/>
      <c r="B316" s="89" t="s">
        <v>205</v>
      </c>
      <c r="C316" s="89"/>
      <c r="D316" s="89"/>
      <c r="E316" s="2"/>
      <c r="F316" s="83"/>
      <c r="G316" s="103"/>
      <c r="H316" s="90">
        <f>SUM(H263:H315)</f>
        <v>890413.02105</v>
      </c>
      <c r="I316" s="89"/>
    </row>
    <row r="317" ht="18.75" customHeight="1" spans="1:10">
      <c r="A317" s="84" t="s">
        <v>32</v>
      </c>
      <c r="B317" s="85" t="s">
        <v>33</v>
      </c>
      <c r="C317" s="86"/>
      <c r="D317" s="86"/>
      <c r="E317" s="86"/>
      <c r="F317" s="87"/>
      <c r="G317" s="86"/>
      <c r="H317" s="86"/>
      <c r="I317" s="95"/>
      <c r="J317" s="96"/>
    </row>
    <row r="318" ht="18.75" customHeight="1" spans="1:15">
      <c r="A318" s="88" t="s">
        <v>501</v>
      </c>
      <c r="B318" s="89" t="s">
        <v>74</v>
      </c>
      <c r="C318" s="89" t="s">
        <v>75</v>
      </c>
      <c r="D318" s="89" t="s">
        <v>76</v>
      </c>
      <c r="E318" s="2" t="s">
        <v>21</v>
      </c>
      <c r="F318" s="83">
        <v>466</v>
      </c>
      <c r="G318" s="28">
        <v>167.58</v>
      </c>
      <c r="H318" s="90">
        <f t="shared" ref="H318:H323" si="62">F318*G318</f>
        <v>78092.28</v>
      </c>
      <c r="I318" s="89"/>
      <c r="K318" s="79"/>
      <c r="L318" s="97"/>
      <c r="M318" s="98">
        <v>370</v>
      </c>
      <c r="N318" s="99">
        <v>555</v>
      </c>
      <c r="O318" s="104"/>
    </row>
    <row r="319" ht="18.75" customHeight="1" spans="1:15">
      <c r="A319" s="88" t="s">
        <v>502</v>
      </c>
      <c r="B319" s="89" t="s">
        <v>74</v>
      </c>
      <c r="C319" s="89" t="s">
        <v>78</v>
      </c>
      <c r="D319" s="89" t="s">
        <v>76</v>
      </c>
      <c r="E319" s="2" t="s">
        <v>21</v>
      </c>
      <c r="F319" s="91">
        <v>882</v>
      </c>
      <c r="G319" s="28">
        <v>78.32</v>
      </c>
      <c r="H319" s="90">
        <f t="shared" si="62"/>
        <v>69078.24</v>
      </c>
      <c r="I319" s="89"/>
      <c r="K319" s="79"/>
      <c r="L319" s="97"/>
      <c r="M319" s="100">
        <v>463</v>
      </c>
      <c r="N319" s="99">
        <v>694.5</v>
      </c>
      <c r="O319" s="104"/>
    </row>
    <row r="320" ht="18.75" customHeight="1" spans="1:15">
      <c r="A320" s="88" t="s">
        <v>503</v>
      </c>
      <c r="B320" s="89" t="s">
        <v>74</v>
      </c>
      <c r="C320" s="89" t="s">
        <v>80</v>
      </c>
      <c r="D320" s="89" t="s">
        <v>76</v>
      </c>
      <c r="E320" s="2" t="s">
        <v>21</v>
      </c>
      <c r="F320" s="92">
        <v>500</v>
      </c>
      <c r="G320" s="28">
        <v>67.71</v>
      </c>
      <c r="H320" s="90">
        <f t="shared" si="62"/>
        <v>33855</v>
      </c>
      <c r="I320" s="89"/>
      <c r="K320" s="79"/>
      <c r="L320" s="97"/>
      <c r="M320" s="79">
        <v>145</v>
      </c>
      <c r="N320" s="99">
        <v>217.5</v>
      </c>
      <c r="O320" s="104"/>
    </row>
    <row r="321" ht="18.75" customHeight="1" spans="1:15">
      <c r="A321" s="88" t="s">
        <v>504</v>
      </c>
      <c r="B321" s="89" t="s">
        <v>74</v>
      </c>
      <c r="C321" s="89" t="s">
        <v>211</v>
      </c>
      <c r="D321" s="89" t="s">
        <v>76</v>
      </c>
      <c r="E321" s="2" t="s">
        <v>21</v>
      </c>
      <c r="F321" s="92">
        <v>147</v>
      </c>
      <c r="G321" s="28">
        <v>39.37</v>
      </c>
      <c r="H321" s="90">
        <f t="shared" si="62"/>
        <v>5787.39</v>
      </c>
      <c r="I321" s="89"/>
      <c r="K321" s="79"/>
      <c r="L321" s="97"/>
      <c r="M321" s="79">
        <v>145</v>
      </c>
      <c r="N321" s="99">
        <v>217.5</v>
      </c>
      <c r="O321" s="104"/>
    </row>
    <row r="322" ht="18.75" customHeight="1" spans="1:15">
      <c r="A322" s="88" t="s">
        <v>505</v>
      </c>
      <c r="B322" s="89" t="s">
        <v>82</v>
      </c>
      <c r="C322" s="89" t="s">
        <v>86</v>
      </c>
      <c r="D322" s="89" t="s">
        <v>84</v>
      </c>
      <c r="E322" s="2" t="s">
        <v>21</v>
      </c>
      <c r="F322" s="83">
        <v>2161</v>
      </c>
      <c r="G322" s="28">
        <v>131.63</v>
      </c>
      <c r="H322" s="90">
        <f t="shared" si="62"/>
        <v>284452.43</v>
      </c>
      <c r="I322" s="89"/>
      <c r="K322" s="101"/>
      <c r="L322" s="101"/>
      <c r="M322" s="98">
        <v>38</v>
      </c>
      <c r="N322" s="99">
        <v>57</v>
      </c>
      <c r="O322" s="104"/>
    </row>
    <row r="323" ht="18.75" customHeight="1" spans="1:15">
      <c r="A323" s="88" t="s">
        <v>506</v>
      </c>
      <c r="B323" s="89" t="s">
        <v>82</v>
      </c>
      <c r="C323" s="89" t="s">
        <v>215</v>
      </c>
      <c r="D323" s="89" t="s">
        <v>84</v>
      </c>
      <c r="E323" s="2" t="s">
        <v>21</v>
      </c>
      <c r="F323" s="83">
        <v>969</v>
      </c>
      <c r="G323" s="28">
        <v>69.95</v>
      </c>
      <c r="H323" s="90">
        <f t="shared" si="62"/>
        <v>67781.55</v>
      </c>
      <c r="I323" s="89"/>
      <c r="K323" s="101"/>
      <c r="L323" s="101"/>
      <c r="M323" s="98">
        <v>38</v>
      </c>
      <c r="N323" s="99">
        <v>57</v>
      </c>
      <c r="O323" s="104"/>
    </row>
    <row r="324" ht="18.75" customHeight="1" spans="1:15">
      <c r="A324" s="88" t="s">
        <v>507</v>
      </c>
      <c r="B324" s="89" t="s">
        <v>82</v>
      </c>
      <c r="C324" s="89" t="s">
        <v>384</v>
      </c>
      <c r="D324" s="89" t="s">
        <v>84</v>
      </c>
      <c r="E324" s="2" t="s">
        <v>21</v>
      </c>
      <c r="F324" s="83">
        <v>4278</v>
      </c>
      <c r="G324" s="28">
        <v>55.67</v>
      </c>
      <c r="H324" s="90">
        <f t="shared" ref="H324" si="63">F324*G324</f>
        <v>238156.26</v>
      </c>
      <c r="I324" s="89"/>
      <c r="K324" s="101">
        <f>SUM(F320:F324)</f>
        <v>8055</v>
      </c>
      <c r="L324" s="101"/>
      <c r="M324" s="98">
        <v>120</v>
      </c>
      <c r="N324" s="81">
        <v>258.425196850394</v>
      </c>
      <c r="O324" s="104"/>
    </row>
    <row r="325" ht="18.75" customHeight="1" spans="1:15">
      <c r="A325" s="88" t="s">
        <v>508</v>
      </c>
      <c r="B325" s="89" t="s">
        <v>82</v>
      </c>
      <c r="C325" s="89" t="s">
        <v>217</v>
      </c>
      <c r="D325" s="89" t="s">
        <v>84</v>
      </c>
      <c r="E325" s="2" t="s">
        <v>21</v>
      </c>
      <c r="F325" s="83">
        <v>1740</v>
      </c>
      <c r="G325" s="28">
        <v>50.23</v>
      </c>
      <c r="H325" s="90">
        <f t="shared" ref="H325:H331" si="64">F325*G325</f>
        <v>87400.2</v>
      </c>
      <c r="I325" s="89"/>
      <c r="K325" s="101">
        <f>SUM(F320:F325)</f>
        <v>9795</v>
      </c>
      <c r="L325" s="101"/>
      <c r="M325" s="98">
        <v>120</v>
      </c>
      <c r="N325" s="81">
        <v>258.425196850394</v>
      </c>
      <c r="O325" s="104"/>
    </row>
    <row r="326" ht="18.75" customHeight="1" spans="1:15">
      <c r="A326" s="88" t="s">
        <v>509</v>
      </c>
      <c r="B326" s="89" t="s">
        <v>90</v>
      </c>
      <c r="C326" s="89" t="s">
        <v>300</v>
      </c>
      <c r="D326" s="89" t="s">
        <v>92</v>
      </c>
      <c r="E326" s="2" t="s">
        <v>93</v>
      </c>
      <c r="F326" s="83">
        <v>5</v>
      </c>
      <c r="G326" s="28">
        <v>260.5</v>
      </c>
      <c r="H326" s="90">
        <f t="shared" si="64"/>
        <v>1302.5</v>
      </c>
      <c r="I326" s="89"/>
      <c r="L326" s="97"/>
      <c r="O326" s="104"/>
    </row>
    <row r="327" ht="18.75" customHeight="1" spans="1:15">
      <c r="A327" s="88" t="s">
        <v>510</v>
      </c>
      <c r="B327" s="89" t="s">
        <v>90</v>
      </c>
      <c r="C327" s="89" t="s">
        <v>91</v>
      </c>
      <c r="D327" s="89" t="s">
        <v>92</v>
      </c>
      <c r="E327" s="2" t="s">
        <v>93</v>
      </c>
      <c r="F327" s="83">
        <v>28</v>
      </c>
      <c r="G327" s="28">
        <v>206.38</v>
      </c>
      <c r="H327" s="90">
        <f t="shared" si="64"/>
        <v>5778.64</v>
      </c>
      <c r="I327" s="89"/>
      <c r="L327" s="97"/>
      <c r="O327" s="104"/>
    </row>
    <row r="328" ht="18.75" customHeight="1" spans="1:15">
      <c r="A328" s="88" t="s">
        <v>511</v>
      </c>
      <c r="B328" s="89" t="s">
        <v>90</v>
      </c>
      <c r="C328" s="89" t="s">
        <v>103</v>
      </c>
      <c r="D328" s="89" t="s">
        <v>92</v>
      </c>
      <c r="E328" s="2" t="s">
        <v>93</v>
      </c>
      <c r="F328" s="83">
        <v>10</v>
      </c>
      <c r="G328" s="28">
        <v>103.33</v>
      </c>
      <c r="H328" s="90">
        <f t="shared" si="64"/>
        <v>1033.3</v>
      </c>
      <c r="I328" s="89"/>
      <c r="L328" s="97"/>
      <c r="O328" s="104"/>
    </row>
    <row r="329" ht="18.75" customHeight="1" spans="1:15">
      <c r="A329" s="88" t="s">
        <v>512</v>
      </c>
      <c r="B329" s="89" t="s">
        <v>95</v>
      </c>
      <c r="C329" s="89" t="s">
        <v>98</v>
      </c>
      <c r="D329" s="89"/>
      <c r="E329" s="2" t="s">
        <v>93</v>
      </c>
      <c r="F329" s="83">
        <v>200</v>
      </c>
      <c r="G329" s="28">
        <v>287.83</v>
      </c>
      <c r="H329" s="90">
        <f t="shared" si="64"/>
        <v>57566</v>
      </c>
      <c r="I329" s="89"/>
      <c r="L329" s="97"/>
      <c r="O329" s="104"/>
    </row>
    <row r="330" ht="18.75" customHeight="1" spans="1:15">
      <c r="A330" s="88" t="s">
        <v>513</v>
      </c>
      <c r="B330" s="89" t="s">
        <v>95</v>
      </c>
      <c r="C330" s="89" t="s">
        <v>226</v>
      </c>
      <c r="D330" s="89"/>
      <c r="E330" s="2" t="s">
        <v>93</v>
      </c>
      <c r="F330" s="83">
        <v>94</v>
      </c>
      <c r="G330" s="28">
        <v>235.3</v>
      </c>
      <c r="H330" s="90">
        <f t="shared" si="64"/>
        <v>22118.2</v>
      </c>
      <c r="I330" s="89"/>
      <c r="L330" s="97"/>
      <c r="O330" s="104"/>
    </row>
    <row r="331" ht="18.75" customHeight="1" spans="1:15">
      <c r="A331" s="88" t="s">
        <v>514</v>
      </c>
      <c r="B331" s="89" t="s">
        <v>228</v>
      </c>
      <c r="C331" s="89" t="s">
        <v>229</v>
      </c>
      <c r="D331" s="89"/>
      <c r="E331" s="2" t="s">
        <v>93</v>
      </c>
      <c r="F331" s="83">
        <v>2</v>
      </c>
      <c r="G331" s="28">
        <v>320.53</v>
      </c>
      <c r="H331" s="90">
        <f t="shared" si="64"/>
        <v>641.06</v>
      </c>
      <c r="I331" s="89"/>
      <c r="L331" s="97"/>
      <c r="O331" s="104"/>
    </row>
    <row r="332" ht="18.75" customHeight="1" spans="1:15">
      <c r="A332" s="88" t="s">
        <v>515</v>
      </c>
      <c r="B332" s="89" t="s">
        <v>391</v>
      </c>
      <c r="C332" s="89" t="s">
        <v>103</v>
      </c>
      <c r="D332" s="89"/>
      <c r="E332" s="2" t="s">
        <v>93</v>
      </c>
      <c r="F332" s="83">
        <v>22</v>
      </c>
      <c r="G332" s="28">
        <v>85</v>
      </c>
      <c r="H332" s="90">
        <f t="shared" ref="H332:H334" si="65">F332*G332</f>
        <v>1870</v>
      </c>
      <c r="I332" s="89"/>
      <c r="L332" s="97"/>
      <c r="O332" s="104"/>
    </row>
    <row r="333" ht="18.75" customHeight="1" spans="1:15">
      <c r="A333" s="88" t="s">
        <v>516</v>
      </c>
      <c r="B333" s="89" t="s">
        <v>391</v>
      </c>
      <c r="C333" s="89" t="s">
        <v>235</v>
      </c>
      <c r="D333" s="89"/>
      <c r="E333" s="2" t="s">
        <v>93</v>
      </c>
      <c r="F333" s="83">
        <v>10</v>
      </c>
      <c r="G333" s="28">
        <v>65</v>
      </c>
      <c r="H333" s="90">
        <f t="shared" ref="H333" si="66">F333*G333</f>
        <v>650</v>
      </c>
      <c r="I333" s="89"/>
      <c r="L333" s="97"/>
      <c r="O333" s="104"/>
    </row>
    <row r="334" ht="18.75" customHeight="1" spans="1:15">
      <c r="A334" s="88" t="s">
        <v>517</v>
      </c>
      <c r="B334" s="89" t="s">
        <v>391</v>
      </c>
      <c r="C334" s="89" t="s">
        <v>141</v>
      </c>
      <c r="D334" s="89"/>
      <c r="E334" s="2" t="s">
        <v>93</v>
      </c>
      <c r="F334" s="83">
        <v>200</v>
      </c>
      <c r="G334" s="28">
        <v>45</v>
      </c>
      <c r="H334" s="90">
        <f t="shared" si="65"/>
        <v>9000</v>
      </c>
      <c r="I334" s="89"/>
      <c r="L334" s="97"/>
      <c r="O334" s="104"/>
    </row>
    <row r="335" ht="18.75" customHeight="1" spans="1:15">
      <c r="A335" s="88" t="s">
        <v>518</v>
      </c>
      <c r="B335" s="89" t="s">
        <v>391</v>
      </c>
      <c r="C335" s="89" t="s">
        <v>237</v>
      </c>
      <c r="D335" s="89"/>
      <c r="E335" s="2" t="s">
        <v>93</v>
      </c>
      <c r="F335" s="83">
        <v>94</v>
      </c>
      <c r="G335" s="28">
        <v>25</v>
      </c>
      <c r="H335" s="90">
        <f t="shared" ref="H335" si="67">F335*G335</f>
        <v>2350</v>
      </c>
      <c r="I335" s="89"/>
      <c r="L335" s="97"/>
      <c r="O335" s="104"/>
    </row>
    <row r="336" ht="18.75" customHeight="1" spans="1:15">
      <c r="A336" s="88" t="s">
        <v>519</v>
      </c>
      <c r="B336" s="89" t="s">
        <v>100</v>
      </c>
      <c r="C336" s="89" t="s">
        <v>103</v>
      </c>
      <c r="D336" s="89"/>
      <c r="E336" s="2" t="s">
        <v>93</v>
      </c>
      <c r="F336" s="83">
        <v>428</v>
      </c>
      <c r="G336" s="28">
        <v>132.78</v>
      </c>
      <c r="H336" s="90">
        <f t="shared" ref="H336:H363" si="68">F336*G336</f>
        <v>56829.84</v>
      </c>
      <c r="I336" s="89"/>
      <c r="L336" s="97"/>
      <c r="O336" s="104"/>
    </row>
    <row r="337" ht="18.75" customHeight="1" spans="1:15">
      <c r="A337" s="88" t="s">
        <v>520</v>
      </c>
      <c r="B337" s="89" t="s">
        <v>100</v>
      </c>
      <c r="C337" s="89" t="s">
        <v>235</v>
      </c>
      <c r="D337" s="89"/>
      <c r="E337" s="2" t="s">
        <v>93</v>
      </c>
      <c r="F337" s="83">
        <v>140</v>
      </c>
      <c r="G337" s="28">
        <v>68.16</v>
      </c>
      <c r="H337" s="90">
        <f t="shared" si="68"/>
        <v>9542.4</v>
      </c>
      <c r="I337" s="89"/>
      <c r="L337" s="97"/>
      <c r="O337" s="104"/>
    </row>
    <row r="338" ht="18.75" customHeight="1" spans="1:15">
      <c r="A338" s="88" t="s">
        <v>521</v>
      </c>
      <c r="B338" s="89" t="s">
        <v>100</v>
      </c>
      <c r="C338" s="89" t="s">
        <v>141</v>
      </c>
      <c r="D338" s="89"/>
      <c r="E338" s="2" t="s">
        <v>93</v>
      </c>
      <c r="F338" s="83">
        <v>400</v>
      </c>
      <c r="G338" s="28">
        <v>57.26</v>
      </c>
      <c r="H338" s="90">
        <f t="shared" si="68"/>
        <v>22904</v>
      </c>
      <c r="I338" s="89"/>
      <c r="L338" s="97"/>
      <c r="O338" s="104"/>
    </row>
    <row r="339" ht="18.75" customHeight="1" spans="1:15">
      <c r="A339" s="88" t="s">
        <v>522</v>
      </c>
      <c r="B339" s="89" t="s">
        <v>100</v>
      </c>
      <c r="C339" s="89" t="s">
        <v>237</v>
      </c>
      <c r="D339" s="89"/>
      <c r="E339" s="2" t="s">
        <v>93</v>
      </c>
      <c r="F339" s="83">
        <v>192</v>
      </c>
      <c r="G339" s="28">
        <v>57.26</v>
      </c>
      <c r="H339" s="90">
        <f t="shared" si="68"/>
        <v>10993.92</v>
      </c>
      <c r="I339" s="89"/>
      <c r="L339" s="97"/>
      <c r="O339" s="104"/>
    </row>
    <row r="340" ht="18.75" customHeight="1" spans="1:15">
      <c r="A340" s="88" t="s">
        <v>523</v>
      </c>
      <c r="B340" s="89" t="s">
        <v>105</v>
      </c>
      <c r="C340" s="89" t="s">
        <v>106</v>
      </c>
      <c r="D340" s="89"/>
      <c r="E340" s="2" t="s">
        <v>93</v>
      </c>
      <c r="F340" s="83">
        <v>2</v>
      </c>
      <c r="G340" s="28">
        <v>431.29</v>
      </c>
      <c r="H340" s="90">
        <f t="shared" si="68"/>
        <v>862.58</v>
      </c>
      <c r="I340" s="89"/>
      <c r="L340" s="97"/>
      <c r="O340" s="104"/>
    </row>
    <row r="341" ht="18.75" customHeight="1" spans="1:15">
      <c r="A341" s="88" t="s">
        <v>524</v>
      </c>
      <c r="B341" s="89" t="s">
        <v>105</v>
      </c>
      <c r="C341" s="89" t="s">
        <v>108</v>
      </c>
      <c r="D341" s="89"/>
      <c r="E341" s="2" t="s">
        <v>93</v>
      </c>
      <c r="F341" s="83">
        <v>25</v>
      </c>
      <c r="G341" s="28">
        <v>91.72</v>
      </c>
      <c r="H341" s="90">
        <f t="shared" si="68"/>
        <v>2293</v>
      </c>
      <c r="I341" s="89"/>
      <c r="L341" s="97"/>
      <c r="O341" s="104"/>
    </row>
    <row r="342" ht="18.75" customHeight="1" spans="1:15">
      <c r="A342" s="88" t="s">
        <v>525</v>
      </c>
      <c r="B342" s="89" t="s">
        <v>105</v>
      </c>
      <c r="C342" s="89" t="s">
        <v>110</v>
      </c>
      <c r="D342" s="89"/>
      <c r="E342" s="2" t="s">
        <v>93</v>
      </c>
      <c r="F342" s="83">
        <v>12</v>
      </c>
      <c r="G342" s="28">
        <v>90.8</v>
      </c>
      <c r="H342" s="90">
        <f t="shared" si="68"/>
        <v>1089.6</v>
      </c>
      <c r="I342" s="89"/>
      <c r="L342" s="97"/>
      <c r="O342" s="104"/>
    </row>
    <row r="343" ht="18.75" customHeight="1" spans="1:15">
      <c r="A343" s="88" t="s">
        <v>526</v>
      </c>
      <c r="B343" s="89" t="s">
        <v>105</v>
      </c>
      <c r="C343" s="89" t="s">
        <v>242</v>
      </c>
      <c r="D343" s="89"/>
      <c r="E343" s="2" t="s">
        <v>93</v>
      </c>
      <c r="F343" s="83">
        <v>4</v>
      </c>
      <c r="G343" s="28">
        <v>83.94</v>
      </c>
      <c r="H343" s="90">
        <f t="shared" si="68"/>
        <v>335.76</v>
      </c>
      <c r="I343" s="89"/>
      <c r="L343" s="97"/>
      <c r="O343" s="104"/>
    </row>
    <row r="344" ht="18.75" customHeight="1" spans="1:15">
      <c r="A344" s="88" t="s">
        <v>527</v>
      </c>
      <c r="B344" s="89" t="s">
        <v>112</v>
      </c>
      <c r="C344" s="89" t="s">
        <v>113</v>
      </c>
      <c r="D344" s="89"/>
      <c r="E344" s="2" t="s">
        <v>93</v>
      </c>
      <c r="F344" s="83">
        <v>5</v>
      </c>
      <c r="G344" s="28">
        <v>461.53</v>
      </c>
      <c r="H344" s="90">
        <f t="shared" si="68"/>
        <v>2307.65</v>
      </c>
      <c r="I344" s="89"/>
      <c r="L344" s="97"/>
      <c r="O344" s="104"/>
    </row>
    <row r="345" ht="18.75" customHeight="1" spans="1:15">
      <c r="A345" s="88" t="s">
        <v>528</v>
      </c>
      <c r="B345" s="89" t="s">
        <v>112</v>
      </c>
      <c r="C345" s="89" t="s">
        <v>115</v>
      </c>
      <c r="D345" s="89"/>
      <c r="E345" s="2" t="s">
        <v>93</v>
      </c>
      <c r="F345" s="83">
        <v>1</v>
      </c>
      <c r="G345" s="28">
        <v>447.64</v>
      </c>
      <c r="H345" s="90">
        <f t="shared" si="68"/>
        <v>447.64</v>
      </c>
      <c r="I345" s="89"/>
      <c r="L345" s="97"/>
      <c r="O345" s="104"/>
    </row>
    <row r="346" ht="18.75" customHeight="1" spans="1:15">
      <c r="A346" s="88" t="s">
        <v>529</v>
      </c>
      <c r="B346" s="89" t="s">
        <v>112</v>
      </c>
      <c r="C346" s="89" t="s">
        <v>117</v>
      </c>
      <c r="D346" s="89"/>
      <c r="E346" s="2" t="s">
        <v>93</v>
      </c>
      <c r="F346" s="83">
        <v>9</v>
      </c>
      <c r="G346" s="28">
        <v>94.07</v>
      </c>
      <c r="H346" s="90">
        <f t="shared" si="68"/>
        <v>846.63</v>
      </c>
      <c r="I346" s="89"/>
      <c r="L346" s="97"/>
      <c r="O346" s="104"/>
    </row>
    <row r="347" ht="18.75" customHeight="1" spans="1:15">
      <c r="A347" s="88" t="s">
        <v>530</v>
      </c>
      <c r="B347" s="89" t="s">
        <v>112</v>
      </c>
      <c r="C347" s="89" t="s">
        <v>121</v>
      </c>
      <c r="D347" s="89"/>
      <c r="E347" s="2" t="s">
        <v>93</v>
      </c>
      <c r="F347" s="83">
        <v>9</v>
      </c>
      <c r="G347" s="28">
        <v>98.97</v>
      </c>
      <c r="H347" s="90">
        <f t="shared" si="68"/>
        <v>890.73</v>
      </c>
      <c r="I347" s="89"/>
      <c r="L347" s="97"/>
      <c r="O347" s="104"/>
    </row>
    <row r="348" ht="18.75" customHeight="1" spans="1:15">
      <c r="A348" s="88" t="s">
        <v>531</v>
      </c>
      <c r="B348" s="89" t="s">
        <v>112</v>
      </c>
      <c r="C348" s="89" t="s">
        <v>245</v>
      </c>
      <c r="D348" s="89"/>
      <c r="E348" s="2" t="s">
        <v>93</v>
      </c>
      <c r="F348" s="83">
        <v>2</v>
      </c>
      <c r="G348" s="28">
        <v>90.97</v>
      </c>
      <c r="H348" s="90">
        <f t="shared" si="68"/>
        <v>181.94</v>
      </c>
      <c r="I348" s="89"/>
      <c r="L348" s="97"/>
      <c r="O348" s="104"/>
    </row>
    <row r="349" ht="18.75" customHeight="1" spans="1:15">
      <c r="A349" s="88" t="s">
        <v>532</v>
      </c>
      <c r="B349" s="89" t="s">
        <v>112</v>
      </c>
      <c r="C349" s="89" t="s">
        <v>249</v>
      </c>
      <c r="D349" s="89"/>
      <c r="E349" s="2" t="s">
        <v>93</v>
      </c>
      <c r="F349" s="83">
        <v>2</v>
      </c>
      <c r="G349" s="28">
        <v>94.07</v>
      </c>
      <c r="H349" s="90">
        <f t="shared" si="68"/>
        <v>188.14</v>
      </c>
      <c r="I349" s="89"/>
      <c r="L349" s="97"/>
      <c r="O349" s="104"/>
    </row>
    <row r="350" ht="18.75" customHeight="1" spans="1:15">
      <c r="A350" s="88" t="s">
        <v>533</v>
      </c>
      <c r="B350" s="89" t="s">
        <v>123</v>
      </c>
      <c r="C350" s="89" t="s">
        <v>115</v>
      </c>
      <c r="D350" s="89"/>
      <c r="E350" s="2" t="s">
        <v>93</v>
      </c>
      <c r="F350" s="83">
        <v>9</v>
      </c>
      <c r="G350" s="28">
        <v>165.36</v>
      </c>
      <c r="H350" s="90">
        <f t="shared" si="68"/>
        <v>1488.24</v>
      </c>
      <c r="I350" s="89"/>
      <c r="L350" s="97"/>
      <c r="O350" s="104"/>
    </row>
    <row r="351" ht="18.75" customHeight="1" spans="1:15">
      <c r="A351" s="88" t="s">
        <v>534</v>
      </c>
      <c r="B351" s="89" t="s">
        <v>123</v>
      </c>
      <c r="C351" s="89" t="s">
        <v>117</v>
      </c>
      <c r="D351" s="89"/>
      <c r="E351" s="2" t="s">
        <v>93</v>
      </c>
      <c r="F351" s="83">
        <v>4</v>
      </c>
      <c r="G351" s="28">
        <v>165.36</v>
      </c>
      <c r="H351" s="90">
        <f t="shared" si="68"/>
        <v>661.44</v>
      </c>
      <c r="I351" s="89"/>
      <c r="L351" s="97"/>
      <c r="O351" s="104"/>
    </row>
    <row r="352" ht="18.75" customHeight="1" spans="1:15">
      <c r="A352" s="88" t="s">
        <v>535</v>
      </c>
      <c r="B352" s="89" t="s">
        <v>123</v>
      </c>
      <c r="C352" s="89" t="s">
        <v>121</v>
      </c>
      <c r="D352" s="89"/>
      <c r="E352" s="2" t="s">
        <v>93</v>
      </c>
      <c r="F352" s="83">
        <v>8</v>
      </c>
      <c r="G352" s="28">
        <v>99.52</v>
      </c>
      <c r="H352" s="90">
        <f t="shared" si="68"/>
        <v>796.16</v>
      </c>
      <c r="I352" s="89"/>
      <c r="L352" s="97"/>
      <c r="O352" s="104"/>
    </row>
    <row r="353" ht="18.75" customHeight="1" spans="1:15">
      <c r="A353" s="88" t="s">
        <v>536</v>
      </c>
      <c r="B353" s="89" t="s">
        <v>123</v>
      </c>
      <c r="C353" s="89" t="s">
        <v>249</v>
      </c>
      <c r="D353" s="89"/>
      <c r="E353" s="2" t="s">
        <v>93</v>
      </c>
      <c r="F353" s="83">
        <v>2</v>
      </c>
      <c r="G353" s="28">
        <v>55.2</v>
      </c>
      <c r="H353" s="90">
        <f t="shared" si="68"/>
        <v>110.4</v>
      </c>
      <c r="I353" s="89"/>
      <c r="L353" s="97"/>
      <c r="O353" s="104"/>
    </row>
    <row r="354" ht="18.75" customHeight="1" spans="1:15">
      <c r="A354" s="88" t="s">
        <v>537</v>
      </c>
      <c r="B354" s="89" t="s">
        <v>126</v>
      </c>
      <c r="C354" s="89" t="s">
        <v>127</v>
      </c>
      <c r="D354" s="89"/>
      <c r="E354" s="2" t="s">
        <v>93</v>
      </c>
      <c r="F354" s="83">
        <v>6</v>
      </c>
      <c r="G354" s="28">
        <v>514.2</v>
      </c>
      <c r="H354" s="90">
        <f t="shared" si="68"/>
        <v>3085.2</v>
      </c>
      <c r="I354" s="89"/>
      <c r="L354" s="97"/>
      <c r="O354" s="104"/>
    </row>
    <row r="355" ht="18.75" customHeight="1" spans="1:15">
      <c r="A355" s="88" t="s">
        <v>538</v>
      </c>
      <c r="B355" s="89" t="s">
        <v>126</v>
      </c>
      <c r="C355" s="89" t="s">
        <v>131</v>
      </c>
      <c r="D355" s="89"/>
      <c r="E355" s="2" t="s">
        <v>93</v>
      </c>
      <c r="F355" s="83">
        <v>28</v>
      </c>
      <c r="G355" s="28">
        <v>263.71</v>
      </c>
      <c r="H355" s="90">
        <f t="shared" si="68"/>
        <v>7383.88</v>
      </c>
      <c r="I355" s="89"/>
      <c r="L355" s="97"/>
      <c r="O355" s="104"/>
    </row>
    <row r="356" ht="18.75" customHeight="1" spans="1:15">
      <c r="A356" s="88" t="s">
        <v>539</v>
      </c>
      <c r="B356" s="89" t="s">
        <v>126</v>
      </c>
      <c r="C356" s="89" t="s">
        <v>255</v>
      </c>
      <c r="D356" s="89"/>
      <c r="E356" s="2" t="s">
        <v>93</v>
      </c>
      <c r="F356" s="83">
        <v>10</v>
      </c>
      <c r="G356" s="28">
        <v>182.55</v>
      </c>
      <c r="H356" s="90">
        <f t="shared" si="68"/>
        <v>1825.5</v>
      </c>
      <c r="I356" s="89"/>
      <c r="L356" s="97"/>
      <c r="O356" s="104"/>
    </row>
    <row r="357" ht="18.75" customHeight="1" spans="1:15">
      <c r="A357" s="88" t="s">
        <v>540</v>
      </c>
      <c r="B357" s="89" t="s">
        <v>133</v>
      </c>
      <c r="C357" s="89" t="s">
        <v>106</v>
      </c>
      <c r="D357" s="89"/>
      <c r="E357" s="2" t="s">
        <v>93</v>
      </c>
      <c r="F357" s="83">
        <v>39</v>
      </c>
      <c r="G357" s="28">
        <v>151.7</v>
      </c>
      <c r="H357" s="90">
        <f t="shared" si="68"/>
        <v>5916.3</v>
      </c>
      <c r="I357" s="89"/>
      <c r="L357" s="97"/>
      <c r="O357" s="104"/>
    </row>
    <row r="358" ht="18.75" customHeight="1" spans="1:15">
      <c r="A358" s="88" t="s">
        <v>541</v>
      </c>
      <c r="B358" s="89" t="s">
        <v>133</v>
      </c>
      <c r="C358" s="89" t="s">
        <v>108</v>
      </c>
      <c r="D358" s="89"/>
      <c r="E358" s="2" t="s">
        <v>93</v>
      </c>
      <c r="F358" s="83">
        <v>74</v>
      </c>
      <c r="G358" s="28">
        <v>101.7</v>
      </c>
      <c r="H358" s="90">
        <f t="shared" si="68"/>
        <v>7525.8</v>
      </c>
      <c r="I358" s="89"/>
      <c r="L358" s="97"/>
      <c r="O358" s="104"/>
    </row>
    <row r="359" ht="18.75" customHeight="1" spans="1:15">
      <c r="A359" s="88" t="s">
        <v>542</v>
      </c>
      <c r="B359" s="89" t="s">
        <v>133</v>
      </c>
      <c r="C359" s="89" t="s">
        <v>110</v>
      </c>
      <c r="D359" s="89"/>
      <c r="E359" s="2" t="s">
        <v>93</v>
      </c>
      <c r="F359" s="83">
        <v>42</v>
      </c>
      <c r="G359" s="28">
        <v>96.25</v>
      </c>
      <c r="H359" s="90">
        <f t="shared" si="68"/>
        <v>4042.5</v>
      </c>
      <c r="I359" s="89"/>
      <c r="L359" s="97"/>
      <c r="O359" s="104"/>
    </row>
    <row r="360" ht="18.75" customHeight="1" spans="1:15">
      <c r="A360" s="88" t="s">
        <v>543</v>
      </c>
      <c r="B360" s="89" t="s">
        <v>133</v>
      </c>
      <c r="C360" s="89" t="s">
        <v>242</v>
      </c>
      <c r="D360" s="89"/>
      <c r="E360" s="2" t="s">
        <v>93</v>
      </c>
      <c r="F360" s="83">
        <v>13</v>
      </c>
      <c r="G360" s="28">
        <v>94.07</v>
      </c>
      <c r="H360" s="90">
        <f t="shared" si="68"/>
        <v>1222.91</v>
      </c>
      <c r="I360" s="89"/>
      <c r="L360" s="97"/>
      <c r="O360" s="104"/>
    </row>
    <row r="361" ht="18.75" customHeight="1" spans="1:15">
      <c r="A361" s="88" t="s">
        <v>544</v>
      </c>
      <c r="B361" s="89" t="s">
        <v>137</v>
      </c>
      <c r="C361" s="89" t="s">
        <v>103</v>
      </c>
      <c r="D361" s="89"/>
      <c r="E361" s="2" t="s">
        <v>93</v>
      </c>
      <c r="F361" s="83">
        <v>23</v>
      </c>
      <c r="G361" s="28">
        <v>771.19</v>
      </c>
      <c r="H361" s="90">
        <f t="shared" si="68"/>
        <v>17737.37</v>
      </c>
      <c r="I361" s="89" t="s">
        <v>138</v>
      </c>
      <c r="L361" s="97"/>
      <c r="O361" s="104"/>
    </row>
    <row r="362" ht="18.75" customHeight="1" spans="1:15">
      <c r="A362" s="88" t="s">
        <v>545</v>
      </c>
      <c r="B362" s="89" t="s">
        <v>137</v>
      </c>
      <c r="C362" s="89" t="s">
        <v>235</v>
      </c>
      <c r="D362" s="89"/>
      <c r="E362" s="2" t="s">
        <v>93</v>
      </c>
      <c r="F362" s="83">
        <v>10</v>
      </c>
      <c r="G362" s="28">
        <v>450.68</v>
      </c>
      <c r="H362" s="90">
        <f t="shared" si="68"/>
        <v>4506.8</v>
      </c>
      <c r="I362" s="89" t="s">
        <v>138</v>
      </c>
      <c r="L362" s="97"/>
      <c r="O362" s="104"/>
    </row>
    <row r="363" ht="18.75" customHeight="1" spans="1:15">
      <c r="A363" s="88" t="s">
        <v>546</v>
      </c>
      <c r="B363" s="89" t="s">
        <v>137</v>
      </c>
      <c r="C363" s="89" t="s">
        <v>141</v>
      </c>
      <c r="D363" s="89"/>
      <c r="E363" s="2" t="s">
        <v>93</v>
      </c>
      <c r="F363" s="83">
        <v>200</v>
      </c>
      <c r="G363" s="28">
        <v>360.55</v>
      </c>
      <c r="H363" s="90">
        <f t="shared" si="68"/>
        <v>72110</v>
      </c>
      <c r="I363" s="89" t="s">
        <v>138</v>
      </c>
      <c r="L363" s="97"/>
      <c r="O363" s="104"/>
    </row>
    <row r="364" ht="18.75" customHeight="1" spans="1:15">
      <c r="A364" s="88" t="s">
        <v>547</v>
      </c>
      <c r="B364" s="89" t="s">
        <v>548</v>
      </c>
      <c r="C364" s="89" t="s">
        <v>237</v>
      </c>
      <c r="D364" s="89"/>
      <c r="E364" s="2" t="s">
        <v>93</v>
      </c>
      <c r="F364" s="83">
        <v>94</v>
      </c>
      <c r="G364" s="28">
        <v>120.53</v>
      </c>
      <c r="H364" s="90">
        <f t="shared" ref="H364:H366" si="69">F364*G364</f>
        <v>11329.82</v>
      </c>
      <c r="I364" s="89"/>
      <c r="L364" s="97"/>
      <c r="O364" s="104"/>
    </row>
    <row r="365" ht="18.75" customHeight="1" spans="1:15">
      <c r="A365" s="88" t="s">
        <v>549</v>
      </c>
      <c r="B365" s="89" t="s">
        <v>143</v>
      </c>
      <c r="C365" s="89"/>
      <c r="D365" s="89"/>
      <c r="E365" s="2" t="s">
        <v>21</v>
      </c>
      <c r="F365" s="83">
        <v>1995</v>
      </c>
      <c r="G365" s="28">
        <v>1.89</v>
      </c>
      <c r="H365" s="90">
        <f t="shared" si="69"/>
        <v>3770.55</v>
      </c>
      <c r="I365" s="89"/>
      <c r="K365" s="78">
        <v>1003</v>
      </c>
      <c r="L365" s="97"/>
      <c r="O365" s="104"/>
    </row>
    <row r="366" ht="18.75" customHeight="1" spans="1:15">
      <c r="A366" s="88" t="s">
        <v>550</v>
      </c>
      <c r="B366" s="89" t="s">
        <v>145</v>
      </c>
      <c r="C366" s="89"/>
      <c r="D366" s="89"/>
      <c r="E366" s="2" t="s">
        <v>21</v>
      </c>
      <c r="F366" s="83">
        <v>1995</v>
      </c>
      <c r="G366" s="28">
        <v>6.04</v>
      </c>
      <c r="H366" s="90">
        <f t="shared" si="69"/>
        <v>12049.8</v>
      </c>
      <c r="I366" s="89"/>
      <c r="L366" s="97"/>
      <c r="O366" s="104"/>
    </row>
    <row r="367" ht="18.75" customHeight="1" spans="1:15">
      <c r="A367" s="88" t="s">
        <v>551</v>
      </c>
      <c r="B367" s="89" t="s">
        <v>147</v>
      </c>
      <c r="C367" s="89" t="s">
        <v>358</v>
      </c>
      <c r="D367" s="89"/>
      <c r="E367" s="2" t="s">
        <v>93</v>
      </c>
      <c r="F367" s="83">
        <v>1</v>
      </c>
      <c r="G367" s="28">
        <v>33600.5</v>
      </c>
      <c r="H367" s="90">
        <f t="shared" ref="H367:H378" si="70">F367*G367</f>
        <v>33600.5</v>
      </c>
      <c r="I367" s="89"/>
      <c r="M367" s="98">
        <v>3</v>
      </c>
      <c r="N367" s="81">
        <v>6.46062992125984</v>
      </c>
      <c r="O367" s="104"/>
    </row>
    <row r="368" ht="18.75" customHeight="1" spans="1:15">
      <c r="A368" s="88" t="s">
        <v>552</v>
      </c>
      <c r="B368" s="89" t="s">
        <v>147</v>
      </c>
      <c r="C368" s="89" t="s">
        <v>150</v>
      </c>
      <c r="D368" s="89"/>
      <c r="E368" s="2" t="s">
        <v>93</v>
      </c>
      <c r="F368" s="83">
        <v>4</v>
      </c>
      <c r="G368" s="28">
        <v>93703.96</v>
      </c>
      <c r="H368" s="90">
        <f t="shared" si="70"/>
        <v>374815.84</v>
      </c>
      <c r="I368" s="89"/>
      <c r="M368" s="98">
        <v>3</v>
      </c>
      <c r="N368" s="81">
        <v>6.46062992125984</v>
      </c>
      <c r="O368" s="104"/>
    </row>
    <row r="369" ht="18.75" customHeight="1" spans="1:15">
      <c r="A369" s="88" t="s">
        <v>553</v>
      </c>
      <c r="B369" s="89" t="s">
        <v>152</v>
      </c>
      <c r="C369" s="89" t="s">
        <v>153</v>
      </c>
      <c r="D369" s="89"/>
      <c r="E369" s="2" t="s">
        <v>154</v>
      </c>
      <c r="F369" s="83">
        <v>9148</v>
      </c>
      <c r="G369" s="28">
        <f>0.04*7.85*4*5.5*1.35</f>
        <v>9.3258</v>
      </c>
      <c r="H369" s="90">
        <f t="shared" si="70"/>
        <v>85312.4184</v>
      </c>
      <c r="I369" s="89"/>
      <c r="M369" s="102"/>
      <c r="O369" s="104"/>
    </row>
    <row r="370" ht="18.75" customHeight="1" spans="1:15">
      <c r="A370" s="88" t="s">
        <v>554</v>
      </c>
      <c r="B370" s="89" t="s">
        <v>156</v>
      </c>
      <c r="C370" s="89" t="s">
        <v>157</v>
      </c>
      <c r="D370" s="89"/>
      <c r="E370" s="2" t="s">
        <v>158</v>
      </c>
      <c r="F370" s="83">
        <v>10</v>
      </c>
      <c r="G370" s="28">
        <f>3.77*5.5*1.35</f>
        <v>27.99225</v>
      </c>
      <c r="H370" s="90">
        <f t="shared" si="70"/>
        <v>279.9225</v>
      </c>
      <c r="I370" s="89"/>
      <c r="M370" s="102"/>
      <c r="O370" s="104"/>
    </row>
    <row r="371" ht="18.75" customHeight="1" spans="1:15">
      <c r="A371" s="88" t="s">
        <v>555</v>
      </c>
      <c r="B371" s="89" t="s">
        <v>160</v>
      </c>
      <c r="C371" s="89" t="s">
        <v>103</v>
      </c>
      <c r="D371" s="89" t="s">
        <v>84</v>
      </c>
      <c r="E371" s="2" t="s">
        <v>93</v>
      </c>
      <c r="F371" s="83">
        <v>360</v>
      </c>
      <c r="G371" s="28">
        <v>96.89</v>
      </c>
      <c r="H371" s="90">
        <f t="shared" si="70"/>
        <v>34880.4</v>
      </c>
      <c r="I371" s="89"/>
      <c r="M371" s="102"/>
      <c r="O371" s="104"/>
    </row>
    <row r="372" ht="18" customHeight="1" spans="1:15">
      <c r="A372" s="88" t="s">
        <v>556</v>
      </c>
      <c r="B372" s="89" t="s">
        <v>160</v>
      </c>
      <c r="C372" s="89" t="s">
        <v>235</v>
      </c>
      <c r="D372" s="89" t="s">
        <v>84</v>
      </c>
      <c r="E372" s="2" t="s">
        <v>93</v>
      </c>
      <c r="F372" s="83">
        <v>194</v>
      </c>
      <c r="G372" s="28">
        <v>72.52</v>
      </c>
      <c r="H372" s="90">
        <f t="shared" si="70"/>
        <v>14068.88</v>
      </c>
      <c r="I372" s="89"/>
      <c r="M372" s="102"/>
      <c r="O372" s="104"/>
    </row>
    <row r="373" ht="18" customHeight="1" spans="1:15">
      <c r="A373" s="88" t="s">
        <v>557</v>
      </c>
      <c r="B373" s="89" t="s">
        <v>160</v>
      </c>
      <c r="C373" s="89" t="s">
        <v>141</v>
      </c>
      <c r="D373" s="89" t="s">
        <v>84</v>
      </c>
      <c r="E373" s="2" t="s">
        <v>93</v>
      </c>
      <c r="F373" s="83">
        <v>1264</v>
      </c>
      <c r="G373" s="28">
        <v>31.17</v>
      </c>
      <c r="H373" s="90">
        <f t="shared" si="70"/>
        <v>39398.88</v>
      </c>
      <c r="I373" s="89"/>
      <c r="M373" s="102"/>
      <c r="O373" s="104"/>
    </row>
    <row r="374" ht="18" customHeight="1" spans="1:15">
      <c r="A374" s="88" t="s">
        <v>558</v>
      </c>
      <c r="B374" s="89" t="s">
        <v>160</v>
      </c>
      <c r="C374" s="89" t="s">
        <v>237</v>
      </c>
      <c r="D374" s="89" t="s">
        <v>84</v>
      </c>
      <c r="E374" s="2" t="s">
        <v>93</v>
      </c>
      <c r="F374" s="83">
        <v>1264</v>
      </c>
      <c r="G374" s="28">
        <v>30.24</v>
      </c>
      <c r="H374" s="90">
        <f t="shared" si="70"/>
        <v>38223.36</v>
      </c>
      <c r="I374" s="89"/>
      <c r="M374" s="102"/>
      <c r="O374" s="104"/>
    </row>
    <row r="375" ht="18.75" customHeight="1" spans="1:15">
      <c r="A375" s="88" t="s">
        <v>559</v>
      </c>
      <c r="B375" s="89" t="s">
        <v>164</v>
      </c>
      <c r="C375" s="89"/>
      <c r="D375" s="89"/>
      <c r="E375" s="2" t="s">
        <v>154</v>
      </c>
      <c r="F375" s="83">
        <v>60</v>
      </c>
      <c r="G375" s="28">
        <v>312.6</v>
      </c>
      <c r="H375" s="90">
        <f t="shared" si="70"/>
        <v>18756</v>
      </c>
      <c r="I375" s="89"/>
      <c r="K375" s="78" t="s">
        <v>165</v>
      </c>
      <c r="L375" s="97"/>
      <c r="O375" s="104"/>
    </row>
    <row r="376" ht="18.75" customHeight="1" spans="1:15">
      <c r="A376" s="88" t="s">
        <v>560</v>
      </c>
      <c r="B376" s="89" t="s">
        <v>428</v>
      </c>
      <c r="C376" s="89" t="s">
        <v>235</v>
      </c>
      <c r="D376" s="89" t="s">
        <v>429</v>
      </c>
      <c r="E376" s="2" t="s">
        <v>154</v>
      </c>
      <c r="F376" s="83">
        <v>148</v>
      </c>
      <c r="G376" s="28">
        <v>220</v>
      </c>
      <c r="H376" s="90">
        <f t="shared" si="70"/>
        <v>32560</v>
      </c>
      <c r="I376" s="89"/>
      <c r="K376" s="78" t="s">
        <v>165</v>
      </c>
      <c r="L376" s="97"/>
      <c r="O376" s="104"/>
    </row>
    <row r="377" ht="18.75" customHeight="1" spans="1:15">
      <c r="A377" s="88" t="s">
        <v>561</v>
      </c>
      <c r="B377" s="89" t="s">
        <v>167</v>
      </c>
      <c r="C377" s="89" t="s">
        <v>91</v>
      </c>
      <c r="D377" s="89"/>
      <c r="E377" s="2" t="s">
        <v>168</v>
      </c>
      <c r="F377" s="83">
        <v>1</v>
      </c>
      <c r="G377" s="28">
        <v>13898.1</v>
      </c>
      <c r="H377" s="90">
        <f t="shared" si="70"/>
        <v>13898.1</v>
      </c>
      <c r="I377" s="89"/>
      <c r="L377" s="97"/>
      <c r="O377" s="104"/>
    </row>
    <row r="378" ht="18.75" customHeight="1" spans="1:15">
      <c r="A378" s="88" t="s">
        <v>562</v>
      </c>
      <c r="B378" s="89" t="s">
        <v>170</v>
      </c>
      <c r="C378" s="89" t="s">
        <v>171</v>
      </c>
      <c r="D378" s="89" t="s">
        <v>172</v>
      </c>
      <c r="E378" s="2" t="s">
        <v>173</v>
      </c>
      <c r="F378" s="83">
        <v>2006</v>
      </c>
      <c r="G378" s="28">
        <v>327.12</v>
      </c>
      <c r="H378" s="90">
        <f t="shared" si="70"/>
        <v>656202.72</v>
      </c>
      <c r="I378" s="89" t="s">
        <v>174</v>
      </c>
      <c r="L378" s="97"/>
      <c r="O378" s="104"/>
    </row>
    <row r="379" ht="18.75" customHeight="1" spans="1:15">
      <c r="A379" s="88" t="s">
        <v>563</v>
      </c>
      <c r="B379" s="89" t="s">
        <v>176</v>
      </c>
      <c r="C379" s="89" t="s">
        <v>177</v>
      </c>
      <c r="D379" s="89"/>
      <c r="E379" s="2" t="s">
        <v>93</v>
      </c>
      <c r="F379" s="83">
        <f>F378*2</f>
        <v>4012</v>
      </c>
      <c r="G379" s="28">
        <v>61.86</v>
      </c>
      <c r="H379" s="90">
        <f t="shared" ref="H379:H385" si="71">F379*G379</f>
        <v>248182.32</v>
      </c>
      <c r="I379" s="89"/>
      <c r="L379" s="97"/>
      <c r="O379" s="104"/>
    </row>
    <row r="380" ht="18.75" customHeight="1" spans="1:15">
      <c r="A380" s="88" t="s">
        <v>564</v>
      </c>
      <c r="B380" s="89" t="s">
        <v>179</v>
      </c>
      <c r="C380" s="89" t="s">
        <v>177</v>
      </c>
      <c r="D380" s="89"/>
      <c r="E380" s="2" t="s">
        <v>154</v>
      </c>
      <c r="F380" s="83">
        <f>F378*3</f>
        <v>6018</v>
      </c>
      <c r="G380" s="28">
        <v>46.6</v>
      </c>
      <c r="H380" s="90">
        <f t="shared" si="71"/>
        <v>280438.8</v>
      </c>
      <c r="I380" s="89"/>
      <c r="K380" s="78" t="s">
        <v>180</v>
      </c>
      <c r="L380" s="97"/>
      <c r="O380" s="104"/>
    </row>
    <row r="381" ht="18.75" customHeight="1" spans="1:15">
      <c r="A381" s="88" t="s">
        <v>565</v>
      </c>
      <c r="B381" s="89" t="s">
        <v>182</v>
      </c>
      <c r="C381" s="89" t="s">
        <v>183</v>
      </c>
      <c r="D381" s="89"/>
      <c r="E381" s="2" t="s">
        <v>93</v>
      </c>
      <c r="F381" s="83">
        <f>F378</f>
        <v>2006</v>
      </c>
      <c r="G381" s="28">
        <v>2.74</v>
      </c>
      <c r="H381" s="90">
        <f t="shared" si="71"/>
        <v>5496.44</v>
      </c>
      <c r="I381" s="89"/>
      <c r="L381" s="97"/>
      <c r="O381" s="104"/>
    </row>
    <row r="382" ht="18.75" customHeight="1" spans="1:15">
      <c r="A382" s="88" t="s">
        <v>566</v>
      </c>
      <c r="B382" s="89" t="s">
        <v>185</v>
      </c>
      <c r="C382" s="89" t="s">
        <v>177</v>
      </c>
      <c r="D382" s="89"/>
      <c r="E382" s="2" t="s">
        <v>93</v>
      </c>
      <c r="F382" s="83">
        <f>F378*5</f>
        <v>10030</v>
      </c>
      <c r="G382" s="28">
        <v>2.06</v>
      </c>
      <c r="H382" s="90">
        <f t="shared" si="71"/>
        <v>20661.8</v>
      </c>
      <c r="I382" s="89"/>
      <c r="L382" s="97"/>
      <c r="O382" s="104"/>
    </row>
    <row r="383" ht="18.75" customHeight="1" spans="1:15">
      <c r="A383" s="88" t="s">
        <v>567</v>
      </c>
      <c r="B383" s="89" t="s">
        <v>187</v>
      </c>
      <c r="C383" s="89" t="s">
        <v>177</v>
      </c>
      <c r="D383" s="89"/>
      <c r="E383" s="2" t="s">
        <v>93</v>
      </c>
      <c r="F383" s="83">
        <f>F378*2</f>
        <v>4012</v>
      </c>
      <c r="G383" s="28">
        <v>1.85</v>
      </c>
      <c r="H383" s="90">
        <f t="shared" si="71"/>
        <v>7422.2</v>
      </c>
      <c r="I383" s="89"/>
      <c r="L383" s="97"/>
      <c r="O383" s="104"/>
    </row>
    <row r="384" ht="18.75" customHeight="1" spans="1:15">
      <c r="A384" s="88" t="s">
        <v>568</v>
      </c>
      <c r="B384" s="89" t="s">
        <v>189</v>
      </c>
      <c r="C384" s="89" t="s">
        <v>141</v>
      </c>
      <c r="D384" s="89" t="s">
        <v>172</v>
      </c>
      <c r="E384" s="2" t="s">
        <v>93</v>
      </c>
      <c r="F384" s="83">
        <f>F378</f>
        <v>2006</v>
      </c>
      <c r="G384" s="28">
        <v>20.15</v>
      </c>
      <c r="H384" s="90">
        <f t="shared" si="71"/>
        <v>40420.9</v>
      </c>
      <c r="I384" s="89"/>
      <c r="L384" s="97"/>
      <c r="O384" s="105">
        <f>0.5*3.13*8</f>
        <v>12.52</v>
      </c>
    </row>
    <row r="385" ht="18.75" customHeight="1" spans="1:15">
      <c r="A385" s="88" t="s">
        <v>569</v>
      </c>
      <c r="B385" s="89" t="s">
        <v>191</v>
      </c>
      <c r="C385" s="89" t="s">
        <v>192</v>
      </c>
      <c r="D385" s="89"/>
      <c r="E385" s="2" t="s">
        <v>193</v>
      </c>
      <c r="F385" s="83">
        <f>1995*0.9</f>
        <v>1795.5</v>
      </c>
      <c r="G385" s="28">
        <v>104.45</v>
      </c>
      <c r="H385" s="90">
        <f t="shared" si="71"/>
        <v>187539.975</v>
      </c>
      <c r="I385" s="89"/>
      <c r="K385" s="78">
        <v>2</v>
      </c>
      <c r="L385" s="97"/>
      <c r="O385" s="104"/>
    </row>
    <row r="386" ht="18.75" customHeight="1" spans="1:15">
      <c r="A386" s="88" t="s">
        <v>570</v>
      </c>
      <c r="B386" s="89" t="s">
        <v>195</v>
      </c>
      <c r="C386" s="89"/>
      <c r="D386" s="89"/>
      <c r="E386" s="2" t="s">
        <v>196</v>
      </c>
      <c r="F386" s="83">
        <f>1995*(0.9*1.9)</f>
        <v>3411.45</v>
      </c>
      <c r="G386" s="28">
        <v>10.03</v>
      </c>
      <c r="H386" s="90">
        <f t="shared" ref="H386:H390" si="72">F386*G386</f>
        <v>34216.8435</v>
      </c>
      <c r="I386" s="89"/>
      <c r="L386" s="97"/>
      <c r="O386" s="104"/>
    </row>
    <row r="387" ht="18.75" customHeight="1" spans="1:15">
      <c r="A387" s="88" t="s">
        <v>571</v>
      </c>
      <c r="B387" s="89" t="s">
        <v>198</v>
      </c>
      <c r="C387" s="89"/>
      <c r="D387" s="89"/>
      <c r="E387" s="2" t="s">
        <v>196</v>
      </c>
      <c r="F387" s="83">
        <f>1995*(0.9*1.7)</f>
        <v>3052.35</v>
      </c>
      <c r="G387" s="28">
        <v>14.82</v>
      </c>
      <c r="H387" s="90">
        <f t="shared" si="72"/>
        <v>45235.827</v>
      </c>
      <c r="I387" s="89"/>
      <c r="L387" s="97"/>
      <c r="O387" s="104"/>
    </row>
    <row r="388" ht="18.75" customHeight="1" spans="1:15">
      <c r="A388" s="88" t="s">
        <v>572</v>
      </c>
      <c r="B388" s="89" t="s">
        <v>200</v>
      </c>
      <c r="C388" s="89"/>
      <c r="D388" s="89"/>
      <c r="E388" s="2" t="s">
        <v>196</v>
      </c>
      <c r="F388" s="83">
        <f>1995*(0.9*0.15)</f>
        <v>269.325</v>
      </c>
      <c r="G388" s="28">
        <v>30.63</v>
      </c>
      <c r="H388" s="90">
        <f t="shared" si="72"/>
        <v>8249.42475</v>
      </c>
      <c r="I388" s="89"/>
      <c r="L388" s="97"/>
      <c r="O388" s="104"/>
    </row>
    <row r="389" ht="18.75" customHeight="1" spans="1:15">
      <c r="A389" s="88" t="s">
        <v>573</v>
      </c>
      <c r="B389" s="89" t="s">
        <v>202</v>
      </c>
      <c r="C389" s="89"/>
      <c r="D389" s="89"/>
      <c r="E389" s="2" t="s">
        <v>196</v>
      </c>
      <c r="F389" s="83">
        <f>1995*(0.9*0.15)</f>
        <v>269.325</v>
      </c>
      <c r="G389" s="28">
        <v>209.24</v>
      </c>
      <c r="H389" s="90">
        <f t="shared" si="72"/>
        <v>56353.563</v>
      </c>
      <c r="I389" s="89"/>
      <c r="L389" s="97"/>
      <c r="O389" s="104"/>
    </row>
    <row r="390" ht="18.75" hidden="1" customHeight="1" spans="1:15">
      <c r="A390" s="88" t="s">
        <v>574</v>
      </c>
      <c r="B390" s="89" t="s">
        <v>204</v>
      </c>
      <c r="C390" s="89"/>
      <c r="D390" s="89"/>
      <c r="E390" s="2" t="s">
        <v>196</v>
      </c>
      <c r="F390" s="83">
        <f>1995*(0.9*0.3)*0</f>
        <v>0</v>
      </c>
      <c r="G390" s="28">
        <v>215.73</v>
      </c>
      <c r="H390" s="90">
        <f t="shared" si="72"/>
        <v>0</v>
      </c>
      <c r="I390" s="89"/>
      <c r="L390" s="97"/>
      <c r="O390" s="104"/>
    </row>
    <row r="391" ht="18.75" customHeight="1" spans="1:15">
      <c r="A391" s="88"/>
      <c r="B391" s="89" t="s">
        <v>205</v>
      </c>
      <c r="C391" s="89"/>
      <c r="D391" s="89"/>
      <c r="E391" s="2" t="s">
        <v>206</v>
      </c>
      <c r="F391" s="83"/>
      <c r="G391" s="103"/>
      <c r="H391" s="90">
        <f>SUM(H318:H390)</f>
        <v>3508404.66415</v>
      </c>
      <c r="I391" s="89"/>
      <c r="O391" s="104"/>
    </row>
    <row r="392" ht="18.75" customHeight="1" spans="1:9">
      <c r="A392" s="88"/>
      <c r="B392" s="89"/>
      <c r="C392" s="89"/>
      <c r="D392" s="89"/>
      <c r="E392" s="2"/>
      <c r="F392" s="83"/>
      <c r="G392" s="103"/>
      <c r="H392" s="90"/>
      <c r="I392" s="89"/>
    </row>
  </sheetData>
  <mergeCells count="8">
    <mergeCell ref="A1:I1"/>
    <mergeCell ref="A2:E2"/>
    <mergeCell ref="B4:I4"/>
    <mergeCell ref="B60:I60"/>
    <mergeCell ref="B122:I122"/>
    <mergeCell ref="B199:I199"/>
    <mergeCell ref="B262:I262"/>
    <mergeCell ref="B317:I317"/>
  </mergeCells>
  <pageMargins left="0.748031496062992" right="0.748031496062992" top="0.984251968503937" bottom="0.984251968503937" header="0.511811023622047" footer="0.511811023622047"/>
  <pageSetup paperSize="9" orientation="landscape" blackAndWhite="1"/>
  <headerFooter alignWithMargins="0" scaleWithDoc="0">
    <oddFooter>&amp;C&amp;P</oddFooter>
  </headerFooter>
  <colBreaks count="1" manualBreakCount="1">
    <brk id="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O248"/>
  <sheetViews>
    <sheetView view="pageBreakPreview" zoomScaleNormal="100" workbookViewId="0">
      <pane ySplit="3" topLeftCell="A233" activePane="bottomLeft" state="frozen"/>
      <selection/>
      <selection pane="bottomLeft" activeCell="A1" sqref="$A1:$XFD1048576"/>
    </sheetView>
  </sheetViews>
  <sheetFormatPr defaultColWidth="9" defaultRowHeight="13.5"/>
  <cols>
    <col min="1" max="1" width="8.125" style="42" customWidth="1"/>
    <col min="2" max="2" width="30.125" style="41" customWidth="1"/>
    <col min="3" max="3" width="17.25" style="41" customWidth="1"/>
    <col min="4" max="4" width="9" style="41"/>
    <col min="5" max="5" width="6.75" style="41" customWidth="1"/>
    <col min="6" max="6" width="9.75" style="41" customWidth="1"/>
    <col min="7" max="7" width="9.75" style="43" customWidth="1"/>
    <col min="8" max="8" width="25.25" style="41" customWidth="1"/>
    <col min="9" max="9" width="6.375" style="41" customWidth="1"/>
    <col min="10" max="11" width="9.125" style="41" customWidth="1"/>
    <col min="12" max="12" width="21.625" style="41" customWidth="1"/>
    <col min="13" max="16384" width="9" style="41"/>
  </cols>
  <sheetData>
    <row r="1" ht="20.25" customHeight="1" spans="1:15">
      <c r="A1" s="9" t="s">
        <v>63</v>
      </c>
      <c r="B1" s="9"/>
      <c r="C1" s="9"/>
      <c r="D1" s="9"/>
      <c r="E1" s="9"/>
      <c r="F1" s="9"/>
      <c r="G1" s="9"/>
      <c r="H1" s="9"/>
      <c r="I1" s="68"/>
      <c r="K1" s="23"/>
      <c r="L1" s="23"/>
      <c r="M1" s="23"/>
      <c r="N1" s="24"/>
      <c r="O1" s="23"/>
    </row>
    <row r="2" ht="18.75" customHeight="1" spans="1:15">
      <c r="A2" s="10" t="s">
        <v>575</v>
      </c>
      <c r="B2" s="10"/>
      <c r="C2" s="10"/>
      <c r="D2" s="10"/>
      <c r="E2" s="10"/>
      <c r="F2" s="9"/>
      <c r="G2" s="9"/>
      <c r="H2" s="9"/>
      <c r="I2" s="9"/>
      <c r="K2" s="23"/>
      <c r="L2" s="23"/>
      <c r="M2" s="23"/>
      <c r="N2" s="24"/>
      <c r="O2" s="23"/>
    </row>
    <row r="3" ht="18.75" customHeight="1" spans="1:9">
      <c r="A3" s="44" t="s">
        <v>65</v>
      </c>
      <c r="B3" s="45" t="s">
        <v>576</v>
      </c>
      <c r="C3" s="46" t="s">
        <v>577</v>
      </c>
      <c r="D3" s="45" t="s">
        <v>12</v>
      </c>
      <c r="E3" s="45" t="s">
        <v>13</v>
      </c>
      <c r="F3" s="47" t="s">
        <v>70</v>
      </c>
      <c r="G3" s="48" t="s">
        <v>71</v>
      </c>
      <c r="H3" s="49" t="s">
        <v>578</v>
      </c>
      <c r="I3" s="69"/>
    </row>
    <row r="4" s="38" customFormat="1" ht="18.75" customHeight="1" spans="1:8">
      <c r="A4" s="50" t="s">
        <v>579</v>
      </c>
      <c r="B4" s="49" t="s">
        <v>25</v>
      </c>
      <c r="C4" s="51"/>
      <c r="D4" s="49" t="s">
        <v>580</v>
      </c>
      <c r="E4" s="49"/>
      <c r="F4" s="49"/>
      <c r="G4" s="52"/>
      <c r="H4" s="53"/>
    </row>
    <row r="5" s="38" customFormat="1" ht="18.75" customHeight="1" spans="1:8">
      <c r="A5" s="50">
        <v>1</v>
      </c>
      <c r="B5" s="49" t="s">
        <v>581</v>
      </c>
      <c r="C5" s="54"/>
      <c r="D5" s="49"/>
      <c r="E5" s="49"/>
      <c r="F5" s="49"/>
      <c r="G5" s="52"/>
      <c r="H5" s="53"/>
    </row>
    <row r="6" s="39" customFormat="1" ht="18.75" customHeight="1" spans="1:8">
      <c r="A6" s="55" t="s">
        <v>73</v>
      </c>
      <c r="B6" s="56" t="s">
        <v>582</v>
      </c>
      <c r="C6" s="57" t="s">
        <v>583</v>
      </c>
      <c r="D6" s="56" t="s">
        <v>154</v>
      </c>
      <c r="E6" s="56">
        <v>148</v>
      </c>
      <c r="F6" s="56">
        <v>728.52</v>
      </c>
      <c r="G6" s="58">
        <f>E6*F6</f>
        <v>107820.96</v>
      </c>
      <c r="H6" s="59" t="s">
        <v>584</v>
      </c>
    </row>
    <row r="7" s="39" customFormat="1" ht="18.75" customHeight="1" spans="1:8">
      <c r="A7" s="55" t="s">
        <v>77</v>
      </c>
      <c r="B7" s="56" t="s">
        <v>582</v>
      </c>
      <c r="C7" s="57" t="s">
        <v>585</v>
      </c>
      <c r="D7" s="56" t="s">
        <v>154</v>
      </c>
      <c r="E7" s="56">
        <v>578</v>
      </c>
      <c r="F7" s="56">
        <v>499.95</v>
      </c>
      <c r="G7" s="58">
        <f t="shared" ref="G7:G48" si="0">E7*F7</f>
        <v>288971.1</v>
      </c>
      <c r="H7" s="59" t="s">
        <v>584</v>
      </c>
    </row>
    <row r="8" s="39" customFormat="1" ht="18.75" customHeight="1" spans="1:8">
      <c r="A8" s="55" t="s">
        <v>79</v>
      </c>
      <c r="B8" s="56" t="s">
        <v>582</v>
      </c>
      <c r="C8" s="57" t="s">
        <v>586</v>
      </c>
      <c r="D8" s="56" t="s">
        <v>154</v>
      </c>
      <c r="E8" s="56">
        <v>62</v>
      </c>
      <c r="F8" s="56">
        <v>331.37</v>
      </c>
      <c r="G8" s="58">
        <f t="shared" si="0"/>
        <v>20544.94</v>
      </c>
      <c r="H8" s="59" t="s">
        <v>584</v>
      </c>
    </row>
    <row r="9" s="39" customFormat="1" ht="18.75" customHeight="1" spans="1:8">
      <c r="A9" s="55" t="s">
        <v>81</v>
      </c>
      <c r="B9" s="56" t="s">
        <v>582</v>
      </c>
      <c r="C9" s="57" t="s">
        <v>587</v>
      </c>
      <c r="D9" s="56" t="s">
        <v>154</v>
      </c>
      <c r="E9" s="56">
        <v>1114</v>
      </c>
      <c r="F9" s="56">
        <v>228.63</v>
      </c>
      <c r="G9" s="58">
        <f t="shared" si="0"/>
        <v>254693.82</v>
      </c>
      <c r="H9" s="59" t="s">
        <v>584</v>
      </c>
    </row>
    <row r="10" s="39" customFormat="1" ht="18.75" customHeight="1" spans="1:8">
      <c r="A10" s="55" t="s">
        <v>85</v>
      </c>
      <c r="B10" s="56" t="s">
        <v>582</v>
      </c>
      <c r="C10" s="57" t="s">
        <v>588</v>
      </c>
      <c r="D10" s="56" t="s">
        <v>154</v>
      </c>
      <c r="E10" s="56">
        <v>270</v>
      </c>
      <c r="F10" s="56">
        <v>178.23</v>
      </c>
      <c r="G10" s="58">
        <f t="shared" si="0"/>
        <v>48122.1</v>
      </c>
      <c r="H10" s="59" t="s">
        <v>584</v>
      </c>
    </row>
    <row r="11" s="39" customFormat="1" ht="18.75" customHeight="1" spans="1:10">
      <c r="A11" s="55" t="s">
        <v>87</v>
      </c>
      <c r="B11" s="56" t="s">
        <v>582</v>
      </c>
      <c r="C11" s="57" t="s">
        <v>589</v>
      </c>
      <c r="D11" s="56" t="s">
        <v>154</v>
      </c>
      <c r="E11" s="56">
        <v>2322</v>
      </c>
      <c r="F11" s="56">
        <v>134.75</v>
      </c>
      <c r="G11" s="58">
        <f t="shared" si="0"/>
        <v>312889.5</v>
      </c>
      <c r="H11" s="59" t="s">
        <v>584</v>
      </c>
      <c r="J11" s="39" t="s">
        <v>590</v>
      </c>
    </row>
    <row r="12" s="39" customFormat="1" ht="18.75" customHeight="1" spans="1:10">
      <c r="A12" s="55" t="s">
        <v>89</v>
      </c>
      <c r="B12" s="56" t="s">
        <v>591</v>
      </c>
      <c r="C12" s="57" t="s">
        <v>592</v>
      </c>
      <c r="D12" s="56" t="s">
        <v>168</v>
      </c>
      <c r="E12" s="56">
        <v>3</v>
      </c>
      <c r="F12" s="56">
        <v>6497.23</v>
      </c>
      <c r="G12" s="58">
        <f t="shared" si="0"/>
        <v>19491.69</v>
      </c>
      <c r="H12" s="59"/>
      <c r="I12" s="70"/>
      <c r="J12" s="70">
        <f>1.8*1.8*1.8*850</f>
        <v>4957.2</v>
      </c>
    </row>
    <row r="13" s="39" customFormat="1" ht="18.75" customHeight="1" spans="1:10">
      <c r="A13" s="55" t="s">
        <v>94</v>
      </c>
      <c r="B13" s="56" t="s">
        <v>591</v>
      </c>
      <c r="C13" s="57" t="s">
        <v>593</v>
      </c>
      <c r="D13" s="60" t="s">
        <v>168</v>
      </c>
      <c r="E13" s="56">
        <v>16</v>
      </c>
      <c r="F13" s="56">
        <v>8858.06</v>
      </c>
      <c r="G13" s="58">
        <f t="shared" si="0"/>
        <v>141728.96</v>
      </c>
      <c r="H13" s="59"/>
      <c r="I13" s="70"/>
      <c r="J13" s="70" t="s">
        <v>594</v>
      </c>
    </row>
    <row r="14" ht="18.75" hidden="1" customHeight="1" spans="1:8">
      <c r="A14" s="55" t="s">
        <v>97</v>
      </c>
      <c r="B14" s="56" t="s">
        <v>595</v>
      </c>
      <c r="C14" s="57" t="s">
        <v>300</v>
      </c>
      <c r="D14" s="60" t="s">
        <v>596</v>
      </c>
      <c r="E14" s="56"/>
      <c r="F14" s="56">
        <v>3629.5</v>
      </c>
      <c r="G14" s="58">
        <f t="shared" si="0"/>
        <v>0</v>
      </c>
      <c r="H14" s="59" t="s">
        <v>597</v>
      </c>
    </row>
    <row r="15" ht="18.75" customHeight="1" spans="1:8">
      <c r="A15" s="55" t="s">
        <v>99</v>
      </c>
      <c r="B15" s="56" t="s">
        <v>595</v>
      </c>
      <c r="C15" s="57" t="s">
        <v>302</v>
      </c>
      <c r="D15" s="60" t="s">
        <v>596</v>
      </c>
      <c r="E15" s="56">
        <v>12</v>
      </c>
      <c r="F15" s="56">
        <v>3059.18</v>
      </c>
      <c r="G15" s="58">
        <f t="shared" si="0"/>
        <v>36710.16</v>
      </c>
      <c r="H15" s="59" t="s">
        <v>597</v>
      </c>
    </row>
    <row r="16" ht="18.75" customHeight="1" spans="1:8">
      <c r="A16" s="55" t="s">
        <v>102</v>
      </c>
      <c r="B16" s="56" t="s">
        <v>595</v>
      </c>
      <c r="C16" s="57" t="s">
        <v>91</v>
      </c>
      <c r="D16" s="60" t="s">
        <v>596</v>
      </c>
      <c r="E16" s="56">
        <v>48</v>
      </c>
      <c r="F16" s="56">
        <v>1794.64</v>
      </c>
      <c r="G16" s="58">
        <f t="shared" si="0"/>
        <v>86142.72</v>
      </c>
      <c r="H16" s="59" t="s">
        <v>597</v>
      </c>
    </row>
    <row r="17" ht="18.75" hidden="1" customHeight="1" spans="1:8">
      <c r="A17" s="55" t="s">
        <v>104</v>
      </c>
      <c r="B17" s="56" t="s">
        <v>595</v>
      </c>
      <c r="C17" s="57" t="s">
        <v>598</v>
      </c>
      <c r="D17" s="60" t="s">
        <v>596</v>
      </c>
      <c r="E17" s="56"/>
      <c r="F17" s="56">
        <v>1595.13</v>
      </c>
      <c r="G17" s="58">
        <f t="shared" si="0"/>
        <v>0</v>
      </c>
      <c r="H17" s="59" t="s">
        <v>597</v>
      </c>
    </row>
    <row r="18" ht="18.75" customHeight="1" spans="1:8">
      <c r="A18" s="55" t="s">
        <v>107</v>
      </c>
      <c r="B18" s="56" t="s">
        <v>595</v>
      </c>
      <c r="C18" s="57" t="s">
        <v>101</v>
      </c>
      <c r="D18" s="60" t="s">
        <v>596</v>
      </c>
      <c r="E18" s="56">
        <v>12</v>
      </c>
      <c r="F18" s="56">
        <v>1339.64</v>
      </c>
      <c r="G18" s="58">
        <f t="shared" si="0"/>
        <v>16075.68</v>
      </c>
      <c r="H18" s="59" t="s">
        <v>597</v>
      </c>
    </row>
    <row r="19" ht="18.75" hidden="1" customHeight="1" spans="1:8">
      <c r="A19" s="55" t="s">
        <v>109</v>
      </c>
      <c r="B19" s="56" t="s">
        <v>599</v>
      </c>
      <c r="C19" s="57" t="s">
        <v>300</v>
      </c>
      <c r="D19" s="60" t="s">
        <v>596</v>
      </c>
      <c r="E19" s="56"/>
      <c r="F19" s="56">
        <v>7635.11</v>
      </c>
      <c r="G19" s="58">
        <f t="shared" si="0"/>
        <v>0</v>
      </c>
      <c r="H19" s="59"/>
    </row>
    <row r="20" ht="18.75" customHeight="1" spans="1:8">
      <c r="A20" s="55" t="s">
        <v>111</v>
      </c>
      <c r="B20" s="56" t="s">
        <v>599</v>
      </c>
      <c r="C20" s="57" t="s">
        <v>302</v>
      </c>
      <c r="D20" s="60" t="s">
        <v>596</v>
      </c>
      <c r="E20" s="56">
        <v>3</v>
      </c>
      <c r="F20" s="56">
        <v>4530.54</v>
      </c>
      <c r="G20" s="58">
        <f t="shared" si="0"/>
        <v>13591.62</v>
      </c>
      <c r="H20" s="59"/>
    </row>
    <row r="21" ht="18.75" hidden="1" customHeight="1" spans="1:8">
      <c r="A21" s="55" t="s">
        <v>114</v>
      </c>
      <c r="B21" s="56" t="s">
        <v>599</v>
      </c>
      <c r="C21" s="57" t="s">
        <v>91</v>
      </c>
      <c r="D21" s="60" t="s">
        <v>596</v>
      </c>
      <c r="E21" s="56"/>
      <c r="F21" s="56">
        <v>3610.47</v>
      </c>
      <c r="G21" s="58">
        <f t="shared" si="0"/>
        <v>0</v>
      </c>
      <c r="H21" s="59"/>
    </row>
    <row r="22" ht="18.75" customHeight="1" spans="1:8">
      <c r="A22" s="55" t="s">
        <v>116</v>
      </c>
      <c r="B22" s="56" t="s">
        <v>599</v>
      </c>
      <c r="C22" s="57" t="s">
        <v>598</v>
      </c>
      <c r="D22" s="60" t="s">
        <v>596</v>
      </c>
      <c r="E22" s="56">
        <v>12</v>
      </c>
      <c r="F22" s="56">
        <v>2584.62</v>
      </c>
      <c r="G22" s="58">
        <f t="shared" si="0"/>
        <v>31015.44</v>
      </c>
      <c r="H22" s="59"/>
    </row>
    <row r="23" ht="18.75" customHeight="1" spans="1:8">
      <c r="A23" s="55" t="s">
        <v>118</v>
      </c>
      <c r="B23" s="56" t="s">
        <v>599</v>
      </c>
      <c r="C23" s="57" t="s">
        <v>101</v>
      </c>
      <c r="D23" s="60" t="s">
        <v>596</v>
      </c>
      <c r="E23" s="56">
        <v>3</v>
      </c>
      <c r="F23" s="56">
        <v>1846.21</v>
      </c>
      <c r="G23" s="58">
        <f t="shared" si="0"/>
        <v>5538.63</v>
      </c>
      <c r="H23" s="59"/>
    </row>
    <row r="24" ht="18.75" customHeight="1" spans="1:8">
      <c r="A24" s="55" t="s">
        <v>120</v>
      </c>
      <c r="B24" s="61" t="s">
        <v>600</v>
      </c>
      <c r="C24" s="57" t="s">
        <v>585</v>
      </c>
      <c r="D24" s="60" t="s">
        <v>93</v>
      </c>
      <c r="E24" s="61">
        <v>6</v>
      </c>
      <c r="F24" s="62">
        <v>842.4</v>
      </c>
      <c r="G24" s="58">
        <f t="shared" si="0"/>
        <v>5054.4</v>
      </c>
      <c r="H24" s="59"/>
    </row>
    <row r="25" ht="18.75" customHeight="1" spans="1:8">
      <c r="A25" s="55" t="s">
        <v>122</v>
      </c>
      <c r="B25" s="61" t="s">
        <v>600</v>
      </c>
      <c r="C25" s="57" t="s">
        <v>587</v>
      </c>
      <c r="D25" s="60" t="s">
        <v>93</v>
      </c>
      <c r="E25" s="61">
        <v>22</v>
      </c>
      <c r="F25" s="62">
        <v>374.22</v>
      </c>
      <c r="G25" s="58">
        <f t="shared" si="0"/>
        <v>8232.84</v>
      </c>
      <c r="H25" s="59"/>
    </row>
    <row r="26" ht="18.75" customHeight="1" spans="1:8">
      <c r="A26" s="55" t="s">
        <v>124</v>
      </c>
      <c r="B26" s="61" t="s">
        <v>600</v>
      </c>
      <c r="C26" s="57" t="s">
        <v>588</v>
      </c>
      <c r="D26" s="60" t="s">
        <v>93</v>
      </c>
      <c r="E26" s="61">
        <v>6</v>
      </c>
      <c r="F26" s="62">
        <v>191.16</v>
      </c>
      <c r="G26" s="58">
        <f t="shared" si="0"/>
        <v>1146.96</v>
      </c>
      <c r="H26" s="59"/>
    </row>
    <row r="27" ht="18.75" customHeight="1" spans="1:8">
      <c r="A27" s="55" t="s">
        <v>125</v>
      </c>
      <c r="B27" s="61" t="s">
        <v>600</v>
      </c>
      <c r="C27" s="57" t="s">
        <v>589</v>
      </c>
      <c r="D27" s="60" t="s">
        <v>93</v>
      </c>
      <c r="E27" s="61">
        <v>144</v>
      </c>
      <c r="F27" s="62">
        <v>126.36</v>
      </c>
      <c r="G27" s="58">
        <f t="shared" si="0"/>
        <v>18195.84</v>
      </c>
      <c r="H27" s="59"/>
    </row>
    <row r="28" ht="18.75" customHeight="1" spans="1:8">
      <c r="A28" s="55" t="s">
        <v>128</v>
      </c>
      <c r="B28" s="61" t="s">
        <v>601</v>
      </c>
      <c r="C28" s="57" t="s">
        <v>602</v>
      </c>
      <c r="D28" s="60" t="s">
        <v>93</v>
      </c>
      <c r="E28" s="61">
        <v>2</v>
      </c>
      <c r="F28" s="62">
        <v>2088</v>
      </c>
      <c r="G28" s="58">
        <f t="shared" si="0"/>
        <v>4176</v>
      </c>
      <c r="H28" s="59"/>
    </row>
    <row r="29" ht="18.75" customHeight="1" spans="1:8">
      <c r="A29" s="55" t="s">
        <v>130</v>
      </c>
      <c r="B29" s="61" t="s">
        <v>601</v>
      </c>
      <c r="C29" s="57" t="s">
        <v>603</v>
      </c>
      <c r="D29" s="60" t="s">
        <v>93</v>
      </c>
      <c r="E29" s="61">
        <v>2</v>
      </c>
      <c r="F29" s="62">
        <v>1232.82</v>
      </c>
      <c r="G29" s="58">
        <f t="shared" si="0"/>
        <v>2465.64</v>
      </c>
      <c r="H29" s="59"/>
    </row>
    <row r="30" ht="18.75" customHeight="1" spans="1:8">
      <c r="A30" s="55" t="s">
        <v>132</v>
      </c>
      <c r="B30" s="61" t="s">
        <v>601</v>
      </c>
      <c r="C30" s="57" t="s">
        <v>604</v>
      </c>
      <c r="D30" s="60" t="s">
        <v>93</v>
      </c>
      <c r="E30" s="61">
        <v>16</v>
      </c>
      <c r="F30" s="62">
        <v>1232.82</v>
      </c>
      <c r="G30" s="58">
        <f t="shared" si="0"/>
        <v>19725.12</v>
      </c>
      <c r="H30" s="59"/>
    </row>
    <row r="31" ht="18.75" customHeight="1" spans="1:8">
      <c r="A31" s="55" t="s">
        <v>134</v>
      </c>
      <c r="B31" s="61" t="s">
        <v>601</v>
      </c>
      <c r="C31" s="57" t="s">
        <v>605</v>
      </c>
      <c r="D31" s="60" t="s">
        <v>93</v>
      </c>
      <c r="E31" s="61">
        <v>6</v>
      </c>
      <c r="F31" s="62">
        <v>1232.82</v>
      </c>
      <c r="G31" s="58">
        <f t="shared" si="0"/>
        <v>7396.92</v>
      </c>
      <c r="H31" s="59"/>
    </row>
    <row r="32" ht="18.75" customHeight="1" spans="1:8">
      <c r="A32" s="55" t="s">
        <v>135</v>
      </c>
      <c r="B32" s="61" t="s">
        <v>601</v>
      </c>
      <c r="C32" s="57" t="s">
        <v>606</v>
      </c>
      <c r="D32" s="60" t="s">
        <v>93</v>
      </c>
      <c r="E32" s="61">
        <v>2</v>
      </c>
      <c r="F32" s="62">
        <v>584.82</v>
      </c>
      <c r="G32" s="58">
        <f t="shared" si="0"/>
        <v>1169.64</v>
      </c>
      <c r="H32" s="59"/>
    </row>
    <row r="33" ht="18.75" customHeight="1" spans="1:8">
      <c r="A33" s="55" t="s">
        <v>136</v>
      </c>
      <c r="B33" s="61" t="s">
        <v>601</v>
      </c>
      <c r="C33" s="57" t="s">
        <v>607</v>
      </c>
      <c r="D33" s="60" t="s">
        <v>93</v>
      </c>
      <c r="E33" s="61">
        <v>78</v>
      </c>
      <c r="F33" s="62">
        <v>453.6</v>
      </c>
      <c r="G33" s="58">
        <f t="shared" si="0"/>
        <v>35380.8</v>
      </c>
      <c r="H33" s="59"/>
    </row>
    <row r="34" ht="18.75" customHeight="1" spans="1:8">
      <c r="A34" s="55" t="s">
        <v>139</v>
      </c>
      <c r="B34" s="61" t="s">
        <v>601</v>
      </c>
      <c r="C34" s="57" t="s">
        <v>608</v>
      </c>
      <c r="D34" s="60" t="s">
        <v>93</v>
      </c>
      <c r="E34" s="61">
        <v>18</v>
      </c>
      <c r="F34" s="62">
        <v>288.36</v>
      </c>
      <c r="G34" s="58">
        <f t="shared" si="0"/>
        <v>5190.48</v>
      </c>
      <c r="H34" s="59"/>
    </row>
    <row r="35" ht="18.75" customHeight="1" spans="1:8">
      <c r="A35" s="55" t="s">
        <v>140</v>
      </c>
      <c r="B35" s="61" t="s">
        <v>609</v>
      </c>
      <c r="C35" s="57" t="s">
        <v>602</v>
      </c>
      <c r="D35" s="60" t="s">
        <v>93</v>
      </c>
      <c r="E35" s="61">
        <v>2</v>
      </c>
      <c r="F35" s="62">
        <v>669.06</v>
      </c>
      <c r="G35" s="58">
        <f t="shared" si="0"/>
        <v>1338.12</v>
      </c>
      <c r="H35" s="59"/>
    </row>
    <row r="36" ht="18.75" customHeight="1" spans="1:8">
      <c r="A36" s="55" t="s">
        <v>142</v>
      </c>
      <c r="B36" s="61" t="s">
        <v>609</v>
      </c>
      <c r="C36" s="57" t="s">
        <v>610</v>
      </c>
      <c r="D36" s="60" t="s">
        <v>93</v>
      </c>
      <c r="E36" s="61">
        <v>2</v>
      </c>
      <c r="F36" s="62">
        <v>382.32</v>
      </c>
      <c r="G36" s="58">
        <f t="shared" si="0"/>
        <v>764.64</v>
      </c>
      <c r="H36" s="59"/>
    </row>
    <row r="37" ht="18.75" customHeight="1" spans="1:8">
      <c r="A37" s="55" t="s">
        <v>144</v>
      </c>
      <c r="B37" s="61" t="s">
        <v>609</v>
      </c>
      <c r="C37" s="57" t="s">
        <v>604</v>
      </c>
      <c r="D37" s="60" t="s">
        <v>93</v>
      </c>
      <c r="E37" s="61">
        <v>2</v>
      </c>
      <c r="F37" s="62">
        <v>382.32</v>
      </c>
      <c r="G37" s="58">
        <f t="shared" si="0"/>
        <v>764.64</v>
      </c>
      <c r="H37" s="59"/>
    </row>
    <row r="38" ht="18.75" customHeight="1" spans="1:8">
      <c r="A38" s="55" t="s">
        <v>146</v>
      </c>
      <c r="B38" s="61" t="s">
        <v>609</v>
      </c>
      <c r="C38" s="57" t="s">
        <v>607</v>
      </c>
      <c r="D38" s="60" t="s">
        <v>93</v>
      </c>
      <c r="E38" s="61">
        <v>26</v>
      </c>
      <c r="F38" s="62">
        <v>215.46</v>
      </c>
      <c r="G38" s="58">
        <f t="shared" si="0"/>
        <v>5601.96</v>
      </c>
      <c r="H38" s="59"/>
    </row>
    <row r="39" ht="18.75" customHeight="1" spans="1:8">
      <c r="A39" s="55" t="s">
        <v>149</v>
      </c>
      <c r="B39" s="61" t="s">
        <v>609</v>
      </c>
      <c r="C39" s="57" t="s">
        <v>608</v>
      </c>
      <c r="D39" s="60" t="s">
        <v>93</v>
      </c>
      <c r="E39" s="61">
        <v>8</v>
      </c>
      <c r="F39" s="62">
        <v>189.54</v>
      </c>
      <c r="G39" s="58">
        <f t="shared" si="0"/>
        <v>1516.32</v>
      </c>
      <c r="H39" s="59"/>
    </row>
    <row r="40" ht="18.75" customHeight="1" spans="1:10">
      <c r="A40" s="55" t="s">
        <v>151</v>
      </c>
      <c r="B40" s="61" t="s">
        <v>611</v>
      </c>
      <c r="C40" s="57" t="s">
        <v>612</v>
      </c>
      <c r="D40" s="60" t="s">
        <v>596</v>
      </c>
      <c r="E40" s="61">
        <v>112</v>
      </c>
      <c r="F40" s="61">
        <v>462.73</v>
      </c>
      <c r="G40" s="58">
        <f t="shared" si="0"/>
        <v>51825.76</v>
      </c>
      <c r="H40" s="59"/>
      <c r="J40" s="41" t="s">
        <v>613</v>
      </c>
    </row>
    <row r="41" ht="18.75" customHeight="1" spans="1:10">
      <c r="A41" s="55" t="s">
        <v>155</v>
      </c>
      <c r="B41" s="61" t="s">
        <v>614</v>
      </c>
      <c r="C41" s="57" t="s">
        <v>615</v>
      </c>
      <c r="D41" s="60" t="s">
        <v>596</v>
      </c>
      <c r="E41" s="61">
        <v>112</v>
      </c>
      <c r="F41" s="61">
        <v>987.56</v>
      </c>
      <c r="G41" s="58">
        <f t="shared" si="0"/>
        <v>110606.72</v>
      </c>
      <c r="H41" s="59"/>
      <c r="J41" s="41" t="s">
        <v>613</v>
      </c>
    </row>
    <row r="42" ht="18.75" customHeight="1" spans="1:10">
      <c r="A42" s="55" t="s">
        <v>159</v>
      </c>
      <c r="B42" s="61" t="s">
        <v>616</v>
      </c>
      <c r="C42" s="57" t="s">
        <v>103</v>
      </c>
      <c r="D42" s="56" t="s">
        <v>154</v>
      </c>
      <c r="E42" s="61">
        <v>1120</v>
      </c>
      <c r="F42" s="61">
        <v>76.2</v>
      </c>
      <c r="G42" s="58">
        <f t="shared" si="0"/>
        <v>85344</v>
      </c>
      <c r="H42" s="59"/>
      <c r="J42" s="41" t="s">
        <v>617</v>
      </c>
    </row>
    <row r="43" ht="18.75" customHeight="1" spans="1:10">
      <c r="A43" s="55" t="s">
        <v>161</v>
      </c>
      <c r="B43" s="61" t="s">
        <v>616</v>
      </c>
      <c r="C43" s="57" t="s">
        <v>235</v>
      </c>
      <c r="D43" s="56" t="s">
        <v>154</v>
      </c>
      <c r="E43" s="61">
        <v>672</v>
      </c>
      <c r="F43" s="61">
        <v>50.69</v>
      </c>
      <c r="G43" s="58">
        <f t="shared" si="0"/>
        <v>34063.68</v>
      </c>
      <c r="H43" s="59"/>
      <c r="J43" s="41" t="s">
        <v>618</v>
      </c>
    </row>
    <row r="44" ht="18.75" customHeight="1" spans="1:8">
      <c r="A44" s="55" t="s">
        <v>162</v>
      </c>
      <c r="B44" s="61" t="s">
        <v>619</v>
      </c>
      <c r="C44" s="57" t="s">
        <v>620</v>
      </c>
      <c r="D44" s="56" t="s">
        <v>154</v>
      </c>
      <c r="E44" s="61">
        <v>1000</v>
      </c>
      <c r="F44" s="61">
        <v>35.75</v>
      </c>
      <c r="G44" s="58">
        <f t="shared" si="0"/>
        <v>35750</v>
      </c>
      <c r="H44" s="59" t="s">
        <v>621</v>
      </c>
    </row>
    <row r="45" ht="18.75" customHeight="1" spans="1:8">
      <c r="A45" s="55" t="s">
        <v>163</v>
      </c>
      <c r="B45" s="61" t="s">
        <v>622</v>
      </c>
      <c r="C45" s="57" t="s">
        <v>623</v>
      </c>
      <c r="D45" s="60" t="s">
        <v>596</v>
      </c>
      <c r="E45" s="61">
        <v>50</v>
      </c>
      <c r="F45" s="61">
        <v>173.95</v>
      </c>
      <c r="G45" s="58">
        <f t="shared" si="0"/>
        <v>8697.5</v>
      </c>
      <c r="H45" s="59" t="s">
        <v>621</v>
      </c>
    </row>
    <row r="46" ht="18.75" customHeight="1" spans="1:8">
      <c r="A46" s="55" t="s">
        <v>166</v>
      </c>
      <c r="B46" s="61" t="s">
        <v>624</v>
      </c>
      <c r="C46" s="57" t="s">
        <v>623</v>
      </c>
      <c r="D46" s="60" t="s">
        <v>596</v>
      </c>
      <c r="E46" s="61">
        <v>100</v>
      </c>
      <c r="F46" s="61">
        <v>206.98</v>
      </c>
      <c r="G46" s="58">
        <f t="shared" si="0"/>
        <v>20698</v>
      </c>
      <c r="H46" s="59" t="s">
        <v>621</v>
      </c>
    </row>
    <row r="47" ht="18.75" customHeight="1" spans="1:8">
      <c r="A47" s="55" t="s">
        <v>169</v>
      </c>
      <c r="B47" s="61" t="s">
        <v>595</v>
      </c>
      <c r="C47" s="57" t="s">
        <v>623</v>
      </c>
      <c r="D47" s="60" t="s">
        <v>596</v>
      </c>
      <c r="E47" s="61">
        <v>100</v>
      </c>
      <c r="F47" s="61">
        <v>147.02</v>
      </c>
      <c r="G47" s="58">
        <f t="shared" si="0"/>
        <v>14702</v>
      </c>
      <c r="H47" s="59" t="s">
        <v>621</v>
      </c>
    </row>
    <row r="48" ht="18.75" customHeight="1" spans="1:8">
      <c r="A48" s="55" t="s">
        <v>175</v>
      </c>
      <c r="B48" s="61" t="s">
        <v>625</v>
      </c>
      <c r="C48" s="57" t="s">
        <v>626</v>
      </c>
      <c r="D48" s="60" t="s">
        <v>168</v>
      </c>
      <c r="E48" s="61">
        <v>50</v>
      </c>
      <c r="F48" s="61">
        <v>1500</v>
      </c>
      <c r="G48" s="58">
        <f t="shared" si="0"/>
        <v>75000</v>
      </c>
      <c r="H48" s="59" t="s">
        <v>621</v>
      </c>
    </row>
    <row r="49" ht="18.75" customHeight="1" spans="1:8">
      <c r="A49" s="55"/>
      <c r="B49" s="63" t="s">
        <v>444</v>
      </c>
      <c r="C49" s="57"/>
      <c r="D49" s="60"/>
      <c r="E49" s="61"/>
      <c r="F49" s="61"/>
      <c r="G49" s="64">
        <f>SUM(G6:G48)</f>
        <v>1938145.3</v>
      </c>
      <c r="H49" s="59"/>
    </row>
    <row r="50" ht="18.75" customHeight="1" spans="1:9">
      <c r="A50" s="55" t="s">
        <v>178</v>
      </c>
      <c r="B50" s="63" t="s">
        <v>191</v>
      </c>
      <c r="C50" s="63" t="s">
        <v>627</v>
      </c>
      <c r="D50" s="63" t="s">
        <v>628</v>
      </c>
      <c r="E50" s="65">
        <f>2482*0.8</f>
        <v>1985.6</v>
      </c>
      <c r="F50" s="36">
        <v>181.05</v>
      </c>
      <c r="G50" s="66">
        <f>E50*F50</f>
        <v>359492.88</v>
      </c>
      <c r="H50" s="63"/>
      <c r="I50" s="71"/>
    </row>
    <row r="51" ht="18.75" customHeight="1" spans="1:10">
      <c r="A51" s="55" t="s">
        <v>181</v>
      </c>
      <c r="B51" s="63" t="s">
        <v>191</v>
      </c>
      <c r="C51" s="63" t="s">
        <v>192</v>
      </c>
      <c r="D51" s="63" t="s">
        <v>628</v>
      </c>
      <c r="E51" s="63">
        <f>2100*0.8</f>
        <v>1680</v>
      </c>
      <c r="F51" s="36">
        <v>104.45</v>
      </c>
      <c r="G51" s="66">
        <f>E51*F51</f>
        <v>175476</v>
      </c>
      <c r="H51" s="63"/>
      <c r="I51" s="71"/>
      <c r="J51" s="41">
        <f>SUM(E5:E11)</f>
        <v>4494</v>
      </c>
    </row>
    <row r="52" ht="18.75" customHeight="1" spans="1:10">
      <c r="A52" s="55" t="s">
        <v>184</v>
      </c>
      <c r="B52" s="63" t="s">
        <v>202</v>
      </c>
      <c r="C52" s="63"/>
      <c r="D52" s="63" t="s">
        <v>196</v>
      </c>
      <c r="E52" s="63">
        <v>1414</v>
      </c>
      <c r="F52" s="36">
        <v>209.24</v>
      </c>
      <c r="G52" s="66">
        <f>E52*F52</f>
        <v>295865.36</v>
      </c>
      <c r="H52" s="63"/>
      <c r="I52" s="71"/>
      <c r="J52" s="41">
        <f>SUM(E6:E11)</f>
        <v>4494</v>
      </c>
    </row>
    <row r="53" ht="18.75" customHeight="1" spans="1:9">
      <c r="A53" s="55"/>
      <c r="B53" s="63" t="s">
        <v>444</v>
      </c>
      <c r="C53" s="63"/>
      <c r="D53" s="63"/>
      <c r="E53" s="63"/>
      <c r="F53" s="36"/>
      <c r="G53" s="66">
        <f>SUM(G50:G52)</f>
        <v>830834.24</v>
      </c>
      <c r="H53" s="63"/>
      <c r="I53" s="71"/>
    </row>
    <row r="54" ht="18.75" customHeight="1" spans="1:9">
      <c r="A54" s="55"/>
      <c r="B54" s="63" t="s">
        <v>205</v>
      </c>
      <c r="C54" s="63"/>
      <c r="D54" s="63" t="s">
        <v>206</v>
      </c>
      <c r="E54" s="63"/>
      <c r="F54" s="63"/>
      <c r="G54" s="66">
        <f>SUM(G49,G53)</f>
        <v>2768979.54</v>
      </c>
      <c r="H54" s="63"/>
      <c r="I54" s="71"/>
    </row>
    <row r="55" s="38" customFormat="1" ht="18.75" customHeight="1" spans="1:8">
      <c r="A55" s="49" t="s">
        <v>629</v>
      </c>
      <c r="B55" s="49" t="s">
        <v>27</v>
      </c>
      <c r="C55" s="51"/>
      <c r="D55" s="49" t="s">
        <v>580</v>
      </c>
      <c r="E55" s="49"/>
      <c r="F55" s="49"/>
      <c r="G55" s="52"/>
      <c r="H55" s="53"/>
    </row>
    <row r="56" s="38" customFormat="1" ht="18.75" customHeight="1" spans="1:8">
      <c r="A56" s="49">
        <v>1.1</v>
      </c>
      <c r="B56" s="49" t="s">
        <v>581</v>
      </c>
      <c r="C56" s="54"/>
      <c r="D56" s="49"/>
      <c r="E56" s="49"/>
      <c r="F56" s="49"/>
      <c r="G56" s="52"/>
      <c r="H56" s="53"/>
    </row>
    <row r="57" s="38" customFormat="1" ht="18.75" customHeight="1" spans="1:8">
      <c r="A57" s="55" t="s">
        <v>77</v>
      </c>
      <c r="B57" s="56" t="s">
        <v>582</v>
      </c>
      <c r="C57" s="67" t="s">
        <v>630</v>
      </c>
      <c r="D57" s="56" t="s">
        <v>154</v>
      </c>
      <c r="E57" s="56">
        <v>152</v>
      </c>
      <c r="F57" s="56">
        <v>1141.11</v>
      </c>
      <c r="G57" s="58">
        <f>E57*F57</f>
        <v>173448.72</v>
      </c>
      <c r="H57" s="59" t="s">
        <v>631</v>
      </c>
    </row>
    <row r="58" s="38" customFormat="1" ht="18.75" customHeight="1" spans="1:8">
      <c r="A58" s="55" t="s">
        <v>79</v>
      </c>
      <c r="B58" s="56" t="s">
        <v>582</v>
      </c>
      <c r="C58" s="67" t="s">
        <v>632</v>
      </c>
      <c r="D58" s="56" t="s">
        <v>154</v>
      </c>
      <c r="E58" s="56">
        <v>426</v>
      </c>
      <c r="F58" s="56">
        <v>1077.89</v>
      </c>
      <c r="G58" s="58">
        <f>E58*F58</f>
        <v>459181.14</v>
      </c>
      <c r="H58" s="59" t="s">
        <v>631</v>
      </c>
    </row>
    <row r="59" s="39" customFormat="1" ht="18.75" customHeight="1" spans="1:12">
      <c r="A59" s="55" t="s">
        <v>81</v>
      </c>
      <c r="B59" s="56" t="s">
        <v>582</v>
      </c>
      <c r="C59" s="57" t="s">
        <v>583</v>
      </c>
      <c r="D59" s="56" t="s">
        <v>154</v>
      </c>
      <c r="E59" s="56">
        <v>170</v>
      </c>
      <c r="F59" s="56">
        <v>728.52</v>
      </c>
      <c r="G59" s="58">
        <f t="shared" ref="G59:G99" si="1">E59*F59</f>
        <v>123848.4</v>
      </c>
      <c r="H59" s="59" t="s">
        <v>584</v>
      </c>
      <c r="L59" s="72" t="s">
        <v>633</v>
      </c>
    </row>
    <row r="60" s="39" customFormat="1" ht="18.75" customHeight="1" spans="1:12">
      <c r="A60" s="55" t="s">
        <v>85</v>
      </c>
      <c r="B60" s="56" t="s">
        <v>582</v>
      </c>
      <c r="C60" s="57" t="s">
        <v>585</v>
      </c>
      <c r="D60" s="56" t="s">
        <v>154</v>
      </c>
      <c r="E60" s="56">
        <v>578</v>
      </c>
      <c r="F60" s="56">
        <v>499.95</v>
      </c>
      <c r="G60" s="58">
        <f t="shared" si="1"/>
        <v>288971.1</v>
      </c>
      <c r="H60" s="59" t="s">
        <v>584</v>
      </c>
      <c r="L60" s="72" t="s">
        <v>634</v>
      </c>
    </row>
    <row r="61" s="39" customFormat="1" ht="18.75" customHeight="1" spans="1:12">
      <c r="A61" s="55" t="s">
        <v>87</v>
      </c>
      <c r="B61" s="56" t="s">
        <v>582</v>
      </c>
      <c r="C61" s="57" t="s">
        <v>586</v>
      </c>
      <c r="D61" s="56" t="s">
        <v>154</v>
      </c>
      <c r="E61" s="56">
        <v>2954</v>
      </c>
      <c r="F61" s="56">
        <v>331.37</v>
      </c>
      <c r="G61" s="58">
        <f t="shared" si="1"/>
        <v>978866.98</v>
      </c>
      <c r="H61" s="59" t="s">
        <v>584</v>
      </c>
      <c r="L61" s="72" t="s">
        <v>635</v>
      </c>
    </row>
    <row r="62" s="39" customFormat="1" ht="18.75" customHeight="1" spans="1:12">
      <c r="A62" s="55" t="s">
        <v>89</v>
      </c>
      <c r="B62" s="56" t="s">
        <v>582</v>
      </c>
      <c r="C62" s="57" t="s">
        <v>587</v>
      </c>
      <c r="D62" s="56" t="s">
        <v>154</v>
      </c>
      <c r="E62" s="56">
        <v>1318</v>
      </c>
      <c r="F62" s="56">
        <v>228.63</v>
      </c>
      <c r="G62" s="58">
        <f t="shared" si="1"/>
        <v>301334.34</v>
      </c>
      <c r="H62" s="59" t="s">
        <v>584</v>
      </c>
      <c r="L62" s="72" t="s">
        <v>636</v>
      </c>
    </row>
    <row r="63" s="39" customFormat="1" ht="18.75" customHeight="1" spans="1:12">
      <c r="A63" s="55" t="s">
        <v>94</v>
      </c>
      <c r="B63" s="56" t="s">
        <v>582</v>
      </c>
      <c r="C63" s="57" t="s">
        <v>588</v>
      </c>
      <c r="D63" s="56" t="s">
        <v>154</v>
      </c>
      <c r="E63" s="56">
        <v>1584</v>
      </c>
      <c r="F63" s="56">
        <v>178.23</v>
      </c>
      <c r="G63" s="58">
        <f t="shared" si="1"/>
        <v>282316.32</v>
      </c>
      <c r="H63" s="59" t="s">
        <v>584</v>
      </c>
      <c r="L63" s="72" t="s">
        <v>637</v>
      </c>
    </row>
    <row r="64" s="39" customFormat="1" ht="18.75" customHeight="1" spans="1:12">
      <c r="A64" s="55" t="s">
        <v>97</v>
      </c>
      <c r="B64" s="56" t="s">
        <v>582</v>
      </c>
      <c r="C64" s="57" t="s">
        <v>589</v>
      </c>
      <c r="D64" s="56" t="s">
        <v>154</v>
      </c>
      <c r="E64" s="56">
        <v>1892</v>
      </c>
      <c r="F64" s="56">
        <v>134.75</v>
      </c>
      <c r="G64" s="58">
        <f t="shared" si="1"/>
        <v>254947</v>
      </c>
      <c r="H64" s="59" t="s">
        <v>584</v>
      </c>
      <c r="L64" s="72" t="s">
        <v>638</v>
      </c>
    </row>
    <row r="65" s="39" customFormat="1" ht="18.75" hidden="1" customHeight="1" spans="1:12">
      <c r="A65" s="55" t="s">
        <v>99</v>
      </c>
      <c r="B65" s="56" t="s">
        <v>582</v>
      </c>
      <c r="C65" s="57" t="s">
        <v>639</v>
      </c>
      <c r="D65" s="56" t="s">
        <v>154</v>
      </c>
      <c r="E65" s="56"/>
      <c r="F65" s="56">
        <v>109.11</v>
      </c>
      <c r="G65" s="58">
        <f t="shared" si="1"/>
        <v>0</v>
      </c>
      <c r="H65" s="59"/>
      <c r="L65" s="72"/>
    </row>
    <row r="66" s="39" customFormat="1" ht="18.75" customHeight="1" spans="1:12">
      <c r="A66" s="55" t="s">
        <v>102</v>
      </c>
      <c r="B66" s="56" t="s">
        <v>591</v>
      </c>
      <c r="C66" s="57" t="s">
        <v>592</v>
      </c>
      <c r="D66" s="56" t="s">
        <v>168</v>
      </c>
      <c r="E66" s="56">
        <v>5</v>
      </c>
      <c r="F66" s="56">
        <f>F12</f>
        <v>6497.23</v>
      </c>
      <c r="G66" s="58">
        <f t="shared" si="1"/>
        <v>32486.15</v>
      </c>
      <c r="H66" s="73"/>
      <c r="J66" s="70" t="s">
        <v>640</v>
      </c>
      <c r="L66" s="72" t="s">
        <v>641</v>
      </c>
    </row>
    <row r="67" s="39" customFormat="1" ht="18.75" customHeight="1" spans="1:12">
      <c r="A67" s="55" t="s">
        <v>104</v>
      </c>
      <c r="B67" s="56" t="s">
        <v>591</v>
      </c>
      <c r="C67" s="57" t="s">
        <v>593</v>
      </c>
      <c r="D67" s="60" t="s">
        <v>168</v>
      </c>
      <c r="E67" s="56">
        <v>31</v>
      </c>
      <c r="F67" s="56">
        <f>F13</f>
        <v>8858.06</v>
      </c>
      <c r="G67" s="58">
        <f t="shared" si="1"/>
        <v>274599.86</v>
      </c>
      <c r="H67" s="73"/>
      <c r="J67" s="70" t="s">
        <v>594</v>
      </c>
      <c r="L67" s="72" t="s">
        <v>642</v>
      </c>
    </row>
    <row r="68" s="39" customFormat="1" ht="18.75" hidden="1" customHeight="1" spans="1:12">
      <c r="A68" s="55" t="s">
        <v>107</v>
      </c>
      <c r="B68" s="56" t="s">
        <v>595</v>
      </c>
      <c r="C68" s="57" t="s">
        <v>643</v>
      </c>
      <c r="D68" s="60" t="s">
        <v>596</v>
      </c>
      <c r="E68" s="56"/>
      <c r="F68" s="56">
        <v>4629.5</v>
      </c>
      <c r="G68" s="58">
        <f t="shared" si="1"/>
        <v>0</v>
      </c>
      <c r="H68" s="73" t="s">
        <v>597</v>
      </c>
      <c r="L68" s="72"/>
    </row>
    <row r="69" s="39" customFormat="1" ht="18.75" hidden="1" customHeight="1" spans="1:12">
      <c r="A69" s="55" t="s">
        <v>109</v>
      </c>
      <c r="B69" s="56" t="s">
        <v>595</v>
      </c>
      <c r="C69" s="57" t="s">
        <v>644</v>
      </c>
      <c r="D69" s="60" t="s">
        <v>596</v>
      </c>
      <c r="E69" s="56"/>
      <c r="F69" s="56">
        <v>4129.5</v>
      </c>
      <c r="G69" s="58">
        <f t="shared" si="1"/>
        <v>0</v>
      </c>
      <c r="H69" s="73" t="s">
        <v>597</v>
      </c>
      <c r="L69" s="72"/>
    </row>
    <row r="70" ht="18.75" hidden="1" customHeight="1" spans="1:12">
      <c r="A70" s="55" t="s">
        <v>111</v>
      </c>
      <c r="B70" s="56" t="s">
        <v>595</v>
      </c>
      <c r="C70" s="57" t="s">
        <v>300</v>
      </c>
      <c r="D70" s="60" t="s">
        <v>596</v>
      </c>
      <c r="E70" s="56"/>
      <c r="F70" s="56">
        <v>3629.5</v>
      </c>
      <c r="G70" s="58">
        <f t="shared" si="1"/>
        <v>0</v>
      </c>
      <c r="H70" s="73" t="s">
        <v>597</v>
      </c>
      <c r="L70" s="72" t="s">
        <v>645</v>
      </c>
    </row>
    <row r="71" ht="18.75" customHeight="1" spans="1:8">
      <c r="A71" s="55" t="s">
        <v>114</v>
      </c>
      <c r="B71" s="56" t="s">
        <v>595</v>
      </c>
      <c r="C71" s="57" t="s">
        <v>302</v>
      </c>
      <c r="D71" s="60" t="s">
        <v>596</v>
      </c>
      <c r="E71" s="56">
        <v>24</v>
      </c>
      <c r="F71" s="56">
        <v>3059.18</v>
      </c>
      <c r="G71" s="58">
        <f t="shared" si="1"/>
        <v>73420.32</v>
      </c>
      <c r="H71" s="73" t="s">
        <v>597</v>
      </c>
    </row>
    <row r="72" ht="18.75" customHeight="1" spans="1:8">
      <c r="A72" s="55" t="s">
        <v>116</v>
      </c>
      <c r="B72" s="56" t="s">
        <v>595</v>
      </c>
      <c r="C72" s="57" t="s">
        <v>91</v>
      </c>
      <c r="D72" s="60" t="s">
        <v>596</v>
      </c>
      <c r="E72" s="56">
        <v>7</v>
      </c>
      <c r="F72" s="56">
        <v>1595.13</v>
      </c>
      <c r="G72" s="58">
        <f t="shared" si="1"/>
        <v>11165.91</v>
      </c>
      <c r="H72" s="73" t="s">
        <v>597</v>
      </c>
    </row>
    <row r="73" ht="18.75" customHeight="1" spans="1:8">
      <c r="A73" s="55" t="s">
        <v>118</v>
      </c>
      <c r="B73" s="56" t="s">
        <v>595</v>
      </c>
      <c r="C73" s="57" t="s">
        <v>101</v>
      </c>
      <c r="D73" s="60" t="s">
        <v>596</v>
      </c>
      <c r="E73" s="56">
        <v>5</v>
      </c>
      <c r="F73" s="56">
        <v>1339.64</v>
      </c>
      <c r="G73" s="58">
        <f t="shared" si="1"/>
        <v>6698.2</v>
      </c>
      <c r="H73" s="73" t="s">
        <v>597</v>
      </c>
    </row>
    <row r="74" ht="18.75" hidden="1" customHeight="1" spans="1:8">
      <c r="A74" s="55" t="s">
        <v>120</v>
      </c>
      <c r="B74" s="56" t="s">
        <v>599</v>
      </c>
      <c r="C74" s="57" t="s">
        <v>643</v>
      </c>
      <c r="D74" s="60" t="s">
        <v>596</v>
      </c>
      <c r="E74" s="56"/>
      <c r="F74" s="56">
        <v>12135.11</v>
      </c>
      <c r="G74" s="58">
        <f t="shared" si="1"/>
        <v>0</v>
      </c>
      <c r="H74" s="73"/>
    </row>
    <row r="75" ht="18.75" hidden="1" customHeight="1" spans="1:8">
      <c r="A75" s="55" t="s">
        <v>122</v>
      </c>
      <c r="B75" s="56" t="s">
        <v>599</v>
      </c>
      <c r="C75" s="57" t="s">
        <v>644</v>
      </c>
      <c r="D75" s="60" t="s">
        <v>596</v>
      </c>
      <c r="E75" s="56"/>
      <c r="F75" s="56">
        <v>9635.11</v>
      </c>
      <c r="G75" s="58">
        <f t="shared" si="1"/>
        <v>0</v>
      </c>
      <c r="H75" s="73"/>
    </row>
    <row r="76" ht="18.75" hidden="1" customHeight="1" spans="1:8">
      <c r="A76" s="55" t="s">
        <v>124</v>
      </c>
      <c r="B76" s="56" t="s">
        <v>599</v>
      </c>
      <c r="C76" s="57" t="s">
        <v>300</v>
      </c>
      <c r="D76" s="60" t="s">
        <v>596</v>
      </c>
      <c r="E76" s="56"/>
      <c r="F76" s="56">
        <v>7635.11</v>
      </c>
      <c r="G76" s="58">
        <f t="shared" si="1"/>
        <v>0</v>
      </c>
      <c r="H76" s="73"/>
    </row>
    <row r="77" ht="18.75" customHeight="1" spans="1:8">
      <c r="A77" s="55" t="s">
        <v>125</v>
      </c>
      <c r="B77" s="56" t="s">
        <v>599</v>
      </c>
      <c r="C77" s="57" t="s">
        <v>302</v>
      </c>
      <c r="D77" s="60" t="s">
        <v>596</v>
      </c>
      <c r="E77" s="56">
        <v>27</v>
      </c>
      <c r="F77" s="56">
        <v>4530.54</v>
      </c>
      <c r="G77" s="58">
        <f t="shared" si="1"/>
        <v>122324.58</v>
      </c>
      <c r="H77" s="73"/>
    </row>
    <row r="78" ht="18.75" customHeight="1" spans="1:8">
      <c r="A78" s="55" t="s">
        <v>128</v>
      </c>
      <c r="B78" s="56" t="s">
        <v>599</v>
      </c>
      <c r="C78" s="57" t="s">
        <v>598</v>
      </c>
      <c r="D78" s="60" t="s">
        <v>596</v>
      </c>
      <c r="E78" s="56">
        <v>7</v>
      </c>
      <c r="F78" s="56">
        <v>2584.62</v>
      </c>
      <c r="G78" s="58">
        <f t="shared" si="1"/>
        <v>18092.34</v>
      </c>
      <c r="H78" s="73"/>
    </row>
    <row r="79" ht="18.75" customHeight="1" spans="1:8">
      <c r="A79" s="55" t="s">
        <v>130</v>
      </c>
      <c r="B79" s="56" t="s">
        <v>599</v>
      </c>
      <c r="C79" s="57" t="s">
        <v>101</v>
      </c>
      <c r="D79" s="60" t="s">
        <v>596</v>
      </c>
      <c r="E79" s="56">
        <v>5</v>
      </c>
      <c r="F79" s="56">
        <v>1846.21</v>
      </c>
      <c r="G79" s="58">
        <f t="shared" si="1"/>
        <v>9231.05</v>
      </c>
      <c r="H79" s="73"/>
    </row>
    <row r="80" ht="18.75" customHeight="1" spans="1:8">
      <c r="A80" s="55" t="s">
        <v>132</v>
      </c>
      <c r="B80" s="61" t="s">
        <v>600</v>
      </c>
      <c r="C80" s="57" t="s">
        <v>585</v>
      </c>
      <c r="D80" s="60" t="s">
        <v>93</v>
      </c>
      <c r="E80" s="61">
        <v>12</v>
      </c>
      <c r="F80" s="62">
        <v>842.4</v>
      </c>
      <c r="G80" s="58">
        <f t="shared" si="1"/>
        <v>10108.8</v>
      </c>
      <c r="H80" s="73"/>
    </row>
    <row r="81" ht="18.75" customHeight="1" spans="1:8">
      <c r="A81" s="55" t="s">
        <v>134</v>
      </c>
      <c r="B81" s="61" t="s">
        <v>600</v>
      </c>
      <c r="C81" s="57" t="s">
        <v>587</v>
      </c>
      <c r="D81" s="60" t="s">
        <v>93</v>
      </c>
      <c r="E81" s="61">
        <v>20</v>
      </c>
      <c r="F81" s="62">
        <v>374.22</v>
      </c>
      <c r="G81" s="58">
        <f t="shared" si="1"/>
        <v>7484.4</v>
      </c>
      <c r="H81" s="73"/>
    </row>
    <row r="82" ht="18.75" customHeight="1" spans="1:8">
      <c r="A82" s="55" t="s">
        <v>135</v>
      </c>
      <c r="B82" s="61" t="s">
        <v>600</v>
      </c>
      <c r="C82" s="57" t="s">
        <v>588</v>
      </c>
      <c r="D82" s="60" t="s">
        <v>93</v>
      </c>
      <c r="E82" s="61">
        <v>16</v>
      </c>
      <c r="F82" s="62">
        <v>191.16</v>
      </c>
      <c r="G82" s="58">
        <f t="shared" si="1"/>
        <v>3058.56</v>
      </c>
      <c r="H82" s="73"/>
    </row>
    <row r="83" ht="18.75" customHeight="1" spans="1:8">
      <c r="A83" s="55" t="s">
        <v>136</v>
      </c>
      <c r="B83" s="61" t="s">
        <v>600</v>
      </c>
      <c r="C83" s="57" t="s">
        <v>589</v>
      </c>
      <c r="D83" s="60" t="s">
        <v>93</v>
      </c>
      <c r="E83" s="61">
        <v>124</v>
      </c>
      <c r="F83" s="62">
        <v>126.36</v>
      </c>
      <c r="G83" s="58">
        <f t="shared" si="1"/>
        <v>15668.64</v>
      </c>
      <c r="H83" s="73"/>
    </row>
    <row r="84" ht="18.75" customHeight="1" spans="1:8">
      <c r="A84" s="55" t="s">
        <v>139</v>
      </c>
      <c r="B84" s="61" t="s">
        <v>601</v>
      </c>
      <c r="C84" s="57" t="s">
        <v>646</v>
      </c>
      <c r="D84" s="60" t="s">
        <v>93</v>
      </c>
      <c r="E84" s="61">
        <v>8</v>
      </c>
      <c r="F84" s="61">
        <v>2697</v>
      </c>
      <c r="G84" s="58">
        <f t="shared" si="1"/>
        <v>21576</v>
      </c>
      <c r="H84" s="73"/>
    </row>
    <row r="85" ht="18.75" customHeight="1" spans="1:8">
      <c r="A85" s="55" t="s">
        <v>140</v>
      </c>
      <c r="B85" s="61" t="s">
        <v>601</v>
      </c>
      <c r="C85" s="57" t="s">
        <v>647</v>
      </c>
      <c r="D85" s="60" t="s">
        <v>93</v>
      </c>
      <c r="E85" s="61">
        <v>6</v>
      </c>
      <c r="F85" s="61">
        <v>2697</v>
      </c>
      <c r="G85" s="58">
        <f t="shared" si="1"/>
        <v>16182</v>
      </c>
      <c r="H85" s="73"/>
    </row>
    <row r="86" ht="18.75" customHeight="1" spans="1:8">
      <c r="A86" s="55" t="s">
        <v>142</v>
      </c>
      <c r="B86" s="61" t="s">
        <v>601</v>
      </c>
      <c r="C86" s="57" t="s">
        <v>648</v>
      </c>
      <c r="D86" s="60" t="s">
        <v>93</v>
      </c>
      <c r="E86" s="61">
        <v>6</v>
      </c>
      <c r="F86" s="61">
        <v>2088</v>
      </c>
      <c r="G86" s="58">
        <f t="shared" si="1"/>
        <v>12528</v>
      </c>
      <c r="H86" s="73"/>
    </row>
    <row r="87" ht="18.75" customHeight="1" spans="1:8">
      <c r="A87" s="55" t="s">
        <v>144</v>
      </c>
      <c r="B87" s="61" t="s">
        <v>601</v>
      </c>
      <c r="C87" s="57" t="s">
        <v>649</v>
      </c>
      <c r="D87" s="60" t="s">
        <v>93</v>
      </c>
      <c r="E87" s="61">
        <v>6</v>
      </c>
      <c r="F87" s="61">
        <v>2088</v>
      </c>
      <c r="G87" s="58">
        <f t="shared" si="1"/>
        <v>12528</v>
      </c>
      <c r="H87" s="73"/>
    </row>
    <row r="88" ht="18.75" customHeight="1" spans="1:8">
      <c r="A88" s="55" t="s">
        <v>146</v>
      </c>
      <c r="B88" s="61" t="s">
        <v>601</v>
      </c>
      <c r="C88" s="57" t="s">
        <v>606</v>
      </c>
      <c r="D88" s="60" t="s">
        <v>93</v>
      </c>
      <c r="E88" s="61">
        <v>4</v>
      </c>
      <c r="F88" s="61">
        <v>584.82</v>
      </c>
      <c r="G88" s="58">
        <f t="shared" si="1"/>
        <v>2339.28</v>
      </c>
      <c r="H88" s="73"/>
    </row>
    <row r="89" ht="18.75" customHeight="1" spans="1:8">
      <c r="A89" s="55" t="s">
        <v>149</v>
      </c>
      <c r="B89" s="61" t="s">
        <v>601</v>
      </c>
      <c r="C89" s="57" t="s">
        <v>607</v>
      </c>
      <c r="D89" s="60" t="s">
        <v>93</v>
      </c>
      <c r="E89" s="61">
        <v>4</v>
      </c>
      <c r="F89" s="61">
        <v>453.6</v>
      </c>
      <c r="G89" s="58">
        <f t="shared" si="1"/>
        <v>1814.4</v>
      </c>
      <c r="H89" s="73"/>
    </row>
    <row r="90" ht="18.75" customHeight="1" spans="1:8">
      <c r="A90" s="55" t="s">
        <v>151</v>
      </c>
      <c r="B90" s="61" t="s">
        <v>609</v>
      </c>
      <c r="C90" s="57" t="s">
        <v>650</v>
      </c>
      <c r="D90" s="60"/>
      <c r="E90" s="61">
        <v>14</v>
      </c>
      <c r="F90" s="61">
        <v>1404.54</v>
      </c>
      <c r="G90" s="58">
        <f t="shared" si="1"/>
        <v>19663.56</v>
      </c>
      <c r="H90" s="73"/>
    </row>
    <row r="91" ht="18.75" customHeight="1" spans="1:8">
      <c r="A91" s="55" t="s">
        <v>155</v>
      </c>
      <c r="B91" s="61" t="s">
        <v>609</v>
      </c>
      <c r="C91" s="57" t="s">
        <v>651</v>
      </c>
      <c r="D91" s="60"/>
      <c r="E91" s="61">
        <v>12</v>
      </c>
      <c r="F91" s="61">
        <v>1130.76</v>
      </c>
      <c r="G91" s="58">
        <f t="shared" si="1"/>
        <v>13569.12</v>
      </c>
      <c r="H91" s="73"/>
    </row>
    <row r="92" ht="18.75" customHeight="1" spans="1:8">
      <c r="A92" s="55" t="s">
        <v>159</v>
      </c>
      <c r="B92" s="61" t="s">
        <v>609</v>
      </c>
      <c r="C92" s="57" t="s">
        <v>648</v>
      </c>
      <c r="D92" s="60"/>
      <c r="E92" s="61">
        <v>12</v>
      </c>
      <c r="F92" s="61">
        <v>669.06</v>
      </c>
      <c r="G92" s="58">
        <f t="shared" si="1"/>
        <v>8028.72</v>
      </c>
      <c r="H92" s="73"/>
    </row>
    <row r="93" ht="18.75" customHeight="1" spans="1:8">
      <c r="A93" s="55" t="s">
        <v>161</v>
      </c>
      <c r="B93" s="61" t="s">
        <v>609</v>
      </c>
      <c r="C93" s="57" t="s">
        <v>606</v>
      </c>
      <c r="D93" s="60"/>
      <c r="E93" s="61">
        <v>52</v>
      </c>
      <c r="F93" s="61">
        <v>267.3</v>
      </c>
      <c r="G93" s="58">
        <f t="shared" si="1"/>
        <v>13899.6</v>
      </c>
      <c r="H93" s="73"/>
    </row>
    <row r="94" ht="18.75" customHeight="1" spans="1:8">
      <c r="A94" s="55" t="s">
        <v>162</v>
      </c>
      <c r="B94" s="61" t="s">
        <v>609</v>
      </c>
      <c r="C94" s="57" t="s">
        <v>607</v>
      </c>
      <c r="D94" s="60" t="s">
        <v>93</v>
      </c>
      <c r="E94" s="61">
        <v>26</v>
      </c>
      <c r="F94" s="61">
        <v>215.46</v>
      </c>
      <c r="G94" s="58">
        <f t="shared" si="1"/>
        <v>5601.96</v>
      </c>
      <c r="H94" s="73"/>
    </row>
    <row r="95" ht="18.75" customHeight="1" spans="1:8">
      <c r="A95" s="55" t="s">
        <v>163</v>
      </c>
      <c r="B95" s="61" t="s">
        <v>609</v>
      </c>
      <c r="C95" s="57" t="s">
        <v>608</v>
      </c>
      <c r="D95" s="60" t="s">
        <v>93</v>
      </c>
      <c r="E95" s="61">
        <v>104</v>
      </c>
      <c r="F95" s="61">
        <v>189.54</v>
      </c>
      <c r="G95" s="58">
        <f t="shared" si="1"/>
        <v>19712.16</v>
      </c>
      <c r="H95" s="73"/>
    </row>
    <row r="96" ht="18.75" customHeight="1" spans="1:8">
      <c r="A96" s="55" t="s">
        <v>166</v>
      </c>
      <c r="B96" s="61" t="s">
        <v>611</v>
      </c>
      <c r="C96" s="57" t="s">
        <v>612</v>
      </c>
      <c r="D96" s="60" t="s">
        <v>596</v>
      </c>
      <c r="E96" s="61">
        <v>224</v>
      </c>
      <c r="F96" s="61">
        <v>462.73</v>
      </c>
      <c r="G96" s="58">
        <f t="shared" si="1"/>
        <v>103651.52</v>
      </c>
      <c r="H96" s="73"/>
    </row>
    <row r="97" ht="18.75" customHeight="1" spans="1:8">
      <c r="A97" s="55" t="s">
        <v>169</v>
      </c>
      <c r="B97" s="61" t="s">
        <v>614</v>
      </c>
      <c r="C97" s="57" t="s">
        <v>615</v>
      </c>
      <c r="D97" s="60" t="s">
        <v>596</v>
      </c>
      <c r="E97" s="61">
        <v>224</v>
      </c>
      <c r="F97" s="61">
        <v>987.56</v>
      </c>
      <c r="G97" s="58">
        <f t="shared" si="1"/>
        <v>221213.44</v>
      </c>
      <c r="H97" s="73"/>
    </row>
    <row r="98" ht="18.75" customHeight="1" spans="1:10">
      <c r="A98" s="55" t="s">
        <v>175</v>
      </c>
      <c r="B98" s="61" t="s">
        <v>616</v>
      </c>
      <c r="C98" s="57" t="s">
        <v>103</v>
      </c>
      <c r="D98" s="56" t="s">
        <v>154</v>
      </c>
      <c r="E98" s="61">
        <v>2688</v>
      </c>
      <c r="F98" s="61">
        <v>76.2</v>
      </c>
      <c r="G98" s="58">
        <f t="shared" si="1"/>
        <v>204825.6</v>
      </c>
      <c r="H98" s="73"/>
      <c r="J98" s="41" t="s">
        <v>613</v>
      </c>
    </row>
    <row r="99" ht="18.75" customHeight="1" spans="1:10">
      <c r="A99" s="55" t="s">
        <v>178</v>
      </c>
      <c r="B99" s="61" t="s">
        <v>616</v>
      </c>
      <c r="C99" s="57" t="s">
        <v>235</v>
      </c>
      <c r="D99" s="56" t="s">
        <v>154</v>
      </c>
      <c r="E99" s="61">
        <v>1344</v>
      </c>
      <c r="F99" s="61">
        <v>50.69</v>
      </c>
      <c r="G99" s="58">
        <f t="shared" si="1"/>
        <v>68127.36</v>
      </c>
      <c r="H99" s="73"/>
      <c r="J99" s="41" t="s">
        <v>613</v>
      </c>
    </row>
    <row r="100" ht="18.75" customHeight="1" spans="1:8">
      <c r="A100" s="55"/>
      <c r="B100" s="63" t="s">
        <v>444</v>
      </c>
      <c r="C100" s="57"/>
      <c r="D100" s="56"/>
      <c r="E100" s="61"/>
      <c r="F100" s="61"/>
      <c r="G100" s="64">
        <f>SUM(G57:G99)</f>
        <v>4192513.53</v>
      </c>
      <c r="H100" s="73"/>
    </row>
    <row r="101" ht="18.75" customHeight="1" spans="1:10">
      <c r="A101" s="55" t="s">
        <v>181</v>
      </c>
      <c r="B101" s="63" t="s">
        <v>191</v>
      </c>
      <c r="C101" s="63" t="s">
        <v>627</v>
      </c>
      <c r="D101" s="63" t="s">
        <v>628</v>
      </c>
      <c r="E101" s="63">
        <f>4574*0.8</f>
        <v>3659.2</v>
      </c>
      <c r="F101" s="36">
        <f>F50</f>
        <v>181.05</v>
      </c>
      <c r="G101" s="66">
        <f>E101*F101</f>
        <v>662498.16</v>
      </c>
      <c r="H101" s="63"/>
      <c r="J101" s="41" t="s">
        <v>618</v>
      </c>
    </row>
    <row r="102" ht="18.75" customHeight="1" spans="1:10">
      <c r="A102" s="55" t="s">
        <v>184</v>
      </c>
      <c r="B102" s="63" t="s">
        <v>191</v>
      </c>
      <c r="C102" s="63" t="s">
        <v>192</v>
      </c>
      <c r="D102" s="63" t="s">
        <v>628</v>
      </c>
      <c r="E102" s="63">
        <f>4500*0.85</f>
        <v>3825</v>
      </c>
      <c r="F102" s="36">
        <f>F51</f>
        <v>104.45</v>
      </c>
      <c r="G102" s="64">
        <f>E102*F102</f>
        <v>399521.25</v>
      </c>
      <c r="H102" s="63"/>
      <c r="J102" s="41" t="s">
        <v>618</v>
      </c>
    </row>
    <row r="103" ht="18.75" customHeight="1" spans="1:10">
      <c r="A103" s="55" t="s">
        <v>184</v>
      </c>
      <c r="B103" s="63" t="s">
        <v>202</v>
      </c>
      <c r="C103" s="63"/>
      <c r="D103" s="63" t="s">
        <v>196</v>
      </c>
      <c r="E103" s="63">
        <v>1814.8</v>
      </c>
      <c r="F103" s="36">
        <f>F52</f>
        <v>209.24</v>
      </c>
      <c r="G103" s="66">
        <f>E103*F103</f>
        <v>379728.752</v>
      </c>
      <c r="H103" s="63"/>
      <c r="I103" s="71"/>
      <c r="J103" s="41">
        <f>SUM(E64:E72)</f>
        <v>1959</v>
      </c>
    </row>
    <row r="104" ht="18.75" customHeight="1" spans="1:9">
      <c r="A104" s="55" t="s">
        <v>186</v>
      </c>
      <c r="B104" s="63" t="s">
        <v>444</v>
      </c>
      <c r="C104" s="63"/>
      <c r="D104" s="63" t="s">
        <v>206</v>
      </c>
      <c r="E104" s="63"/>
      <c r="F104" s="63"/>
      <c r="G104" s="66">
        <f>SUM(G101:G103)</f>
        <v>1441748.162</v>
      </c>
      <c r="H104" s="63"/>
      <c r="I104" s="71"/>
    </row>
    <row r="105" ht="18.75" customHeight="1" spans="1:9">
      <c r="A105" s="55"/>
      <c r="B105" s="63" t="s">
        <v>205</v>
      </c>
      <c r="C105" s="63"/>
      <c r="D105" s="63" t="s">
        <v>206</v>
      </c>
      <c r="E105" s="63"/>
      <c r="F105" s="63"/>
      <c r="G105" s="66">
        <f>SUM(G100,G104)</f>
        <v>5634261.692</v>
      </c>
      <c r="H105" s="63"/>
      <c r="I105" s="71"/>
    </row>
    <row r="106" ht="18.75" customHeight="1" spans="1:10">
      <c r="A106" s="50" t="s">
        <v>652</v>
      </c>
      <c r="B106" s="49" t="s">
        <v>33</v>
      </c>
      <c r="C106" s="51"/>
      <c r="D106" s="49" t="s">
        <v>580</v>
      </c>
      <c r="E106" s="49"/>
      <c r="F106" s="49"/>
      <c r="G106" s="52"/>
      <c r="H106" s="74"/>
      <c r="I106" s="38"/>
      <c r="J106" s="38"/>
    </row>
    <row r="107" ht="18.75" customHeight="1" spans="1:10">
      <c r="A107" s="50">
        <v>1</v>
      </c>
      <c r="B107" s="49" t="s">
        <v>581</v>
      </c>
      <c r="C107" s="54"/>
      <c r="D107" s="49"/>
      <c r="E107" s="49"/>
      <c r="F107" s="49"/>
      <c r="G107" s="52"/>
      <c r="H107" s="74"/>
      <c r="I107" s="38"/>
      <c r="J107" s="38"/>
    </row>
    <row r="108" s="38" customFormat="1" ht="18.75" customHeight="1" spans="1:8">
      <c r="A108" s="55" t="s">
        <v>73</v>
      </c>
      <c r="B108" s="56" t="s">
        <v>582</v>
      </c>
      <c r="C108" s="67" t="s">
        <v>632</v>
      </c>
      <c r="D108" s="56" t="s">
        <v>154</v>
      </c>
      <c r="E108" s="56">
        <v>348</v>
      </c>
      <c r="F108" s="56">
        <v>1077.89</v>
      </c>
      <c r="G108" s="58">
        <f>E108*F108</f>
        <v>375105.72</v>
      </c>
      <c r="H108" s="73" t="s">
        <v>631</v>
      </c>
    </row>
    <row r="109" ht="18.75" customHeight="1" spans="1:10">
      <c r="A109" s="55" t="s">
        <v>77</v>
      </c>
      <c r="B109" s="56" t="s">
        <v>582</v>
      </c>
      <c r="C109" s="57" t="s">
        <v>583</v>
      </c>
      <c r="D109" s="56" t="s">
        <v>154</v>
      </c>
      <c r="E109" s="56">
        <v>156</v>
      </c>
      <c r="F109" s="56">
        <v>728.52</v>
      </c>
      <c r="G109" s="64">
        <f>E109*F109</f>
        <v>113649.12</v>
      </c>
      <c r="H109" s="73" t="s">
        <v>584</v>
      </c>
      <c r="I109" s="39"/>
      <c r="J109" s="39"/>
    </row>
    <row r="110" ht="18.75" customHeight="1" spans="1:10">
      <c r="A110" s="55" t="s">
        <v>79</v>
      </c>
      <c r="B110" s="56" t="s">
        <v>582</v>
      </c>
      <c r="C110" s="57" t="s">
        <v>585</v>
      </c>
      <c r="D110" s="56" t="s">
        <v>154</v>
      </c>
      <c r="E110" s="56">
        <v>74</v>
      </c>
      <c r="F110" s="56">
        <v>499.95</v>
      </c>
      <c r="G110" s="64">
        <f t="shared" ref="G110:G160" si="2">E110*F110</f>
        <v>36996.3</v>
      </c>
      <c r="H110" s="73" t="s">
        <v>584</v>
      </c>
      <c r="I110" s="39"/>
      <c r="J110" s="39"/>
    </row>
    <row r="111" ht="18.75" customHeight="1" spans="1:10">
      <c r="A111" s="55" t="s">
        <v>81</v>
      </c>
      <c r="B111" s="56" t="s">
        <v>582</v>
      </c>
      <c r="C111" s="57" t="s">
        <v>586</v>
      </c>
      <c r="D111" s="56" t="s">
        <v>154</v>
      </c>
      <c r="E111" s="56">
        <v>642</v>
      </c>
      <c r="F111" s="56">
        <v>331.37</v>
      </c>
      <c r="G111" s="64">
        <f t="shared" si="2"/>
        <v>212739.54</v>
      </c>
      <c r="H111" s="73" t="s">
        <v>584</v>
      </c>
      <c r="I111" s="39"/>
      <c r="J111" s="39"/>
    </row>
    <row r="112" ht="18.75" customHeight="1" spans="1:10">
      <c r="A112" s="55" t="s">
        <v>85</v>
      </c>
      <c r="B112" s="56" t="s">
        <v>582</v>
      </c>
      <c r="C112" s="57" t="s">
        <v>587</v>
      </c>
      <c r="D112" s="56" t="s">
        <v>154</v>
      </c>
      <c r="E112" s="56">
        <v>586</v>
      </c>
      <c r="F112" s="56">
        <v>228.63</v>
      </c>
      <c r="G112" s="64">
        <f t="shared" si="2"/>
        <v>133977.18</v>
      </c>
      <c r="H112" s="73" t="s">
        <v>584</v>
      </c>
      <c r="I112" s="39"/>
      <c r="J112" s="39"/>
    </row>
    <row r="113" ht="18.75" customHeight="1" spans="1:10">
      <c r="A113" s="55" t="s">
        <v>87</v>
      </c>
      <c r="B113" s="56" t="s">
        <v>582</v>
      </c>
      <c r="C113" s="57" t="s">
        <v>588</v>
      </c>
      <c r="D113" s="56" t="s">
        <v>154</v>
      </c>
      <c r="E113" s="56">
        <v>254</v>
      </c>
      <c r="F113" s="56">
        <v>178.23</v>
      </c>
      <c r="G113" s="64">
        <f t="shared" si="2"/>
        <v>45270.42</v>
      </c>
      <c r="H113" s="73" t="s">
        <v>584</v>
      </c>
      <c r="I113" s="39"/>
      <c r="J113" s="39"/>
    </row>
    <row r="114" s="39" customFormat="1" ht="18.75" customHeight="1" spans="1:12">
      <c r="A114" s="55" t="s">
        <v>89</v>
      </c>
      <c r="B114" s="56" t="s">
        <v>582</v>
      </c>
      <c r="C114" s="57" t="s">
        <v>589</v>
      </c>
      <c r="D114" s="56" t="s">
        <v>154</v>
      </c>
      <c r="E114" s="56">
        <v>1798</v>
      </c>
      <c r="F114" s="56">
        <v>134.75</v>
      </c>
      <c r="G114" s="58">
        <f t="shared" si="2"/>
        <v>242280.5</v>
      </c>
      <c r="H114" s="59" t="s">
        <v>584</v>
      </c>
      <c r="L114" s="72" t="s">
        <v>638</v>
      </c>
    </row>
    <row r="115" ht="18.75" customHeight="1" spans="1:10">
      <c r="A115" s="55" t="s">
        <v>94</v>
      </c>
      <c r="B115" s="56" t="s">
        <v>582</v>
      </c>
      <c r="C115" s="57" t="s">
        <v>653</v>
      </c>
      <c r="D115" s="56" t="s">
        <v>154</v>
      </c>
      <c r="E115" s="56">
        <v>116</v>
      </c>
      <c r="F115" s="56">
        <v>89.02</v>
      </c>
      <c r="G115" s="64">
        <f t="shared" si="2"/>
        <v>10326.32</v>
      </c>
      <c r="H115" s="73" t="s">
        <v>584</v>
      </c>
      <c r="I115" s="39"/>
      <c r="J115" s="39" t="s">
        <v>654</v>
      </c>
    </row>
    <row r="116" ht="18.75" customHeight="1" spans="1:10">
      <c r="A116" s="55" t="s">
        <v>97</v>
      </c>
      <c r="B116" s="56" t="s">
        <v>600</v>
      </c>
      <c r="C116" s="57" t="s">
        <v>632</v>
      </c>
      <c r="D116" s="56" t="s">
        <v>93</v>
      </c>
      <c r="E116" s="56">
        <v>2</v>
      </c>
      <c r="F116" s="56">
        <v>2025</v>
      </c>
      <c r="G116" s="64">
        <f t="shared" si="2"/>
        <v>4050</v>
      </c>
      <c r="H116" s="73"/>
      <c r="I116" s="39"/>
      <c r="J116" s="39"/>
    </row>
    <row r="117" ht="18.75" customHeight="1" spans="1:10">
      <c r="A117" s="55" t="s">
        <v>99</v>
      </c>
      <c r="B117" s="56" t="s">
        <v>600</v>
      </c>
      <c r="C117" s="57" t="s">
        <v>583</v>
      </c>
      <c r="D117" s="56" t="s">
        <v>93</v>
      </c>
      <c r="E117" s="56">
        <v>4</v>
      </c>
      <c r="F117" s="56">
        <v>1490.4</v>
      </c>
      <c r="G117" s="64">
        <f t="shared" si="2"/>
        <v>5961.6</v>
      </c>
      <c r="H117" s="73"/>
      <c r="I117" s="39"/>
      <c r="J117" s="39"/>
    </row>
    <row r="118" ht="18.75" customHeight="1" spans="1:10">
      <c r="A118" s="55" t="s">
        <v>102</v>
      </c>
      <c r="B118" s="56" t="s">
        <v>600</v>
      </c>
      <c r="C118" s="57" t="s">
        <v>586</v>
      </c>
      <c r="D118" s="56" t="s">
        <v>93</v>
      </c>
      <c r="E118" s="56">
        <v>16</v>
      </c>
      <c r="F118" s="56">
        <v>390.54</v>
      </c>
      <c r="G118" s="64">
        <f t="shared" si="2"/>
        <v>6248.64</v>
      </c>
      <c r="H118" s="73"/>
      <c r="I118" s="39"/>
      <c r="J118" s="39"/>
    </row>
    <row r="119" ht="18.75" customHeight="1" spans="1:10">
      <c r="A119" s="55" t="s">
        <v>104</v>
      </c>
      <c r="B119" s="56" t="s">
        <v>600</v>
      </c>
      <c r="C119" s="57" t="s">
        <v>587</v>
      </c>
      <c r="D119" s="56" t="s">
        <v>93</v>
      </c>
      <c r="E119" s="56">
        <v>14</v>
      </c>
      <c r="F119" s="56">
        <v>327.24</v>
      </c>
      <c r="G119" s="64">
        <f t="shared" si="2"/>
        <v>4581.36</v>
      </c>
      <c r="H119" s="73"/>
      <c r="I119" s="39"/>
      <c r="J119" s="39"/>
    </row>
    <row r="120" ht="18.75" customHeight="1" spans="1:10">
      <c r="A120" s="55" t="s">
        <v>107</v>
      </c>
      <c r="B120" s="56" t="s">
        <v>600</v>
      </c>
      <c r="C120" s="57" t="s">
        <v>588</v>
      </c>
      <c r="D120" s="56" t="s">
        <v>93</v>
      </c>
      <c r="E120" s="56">
        <v>4</v>
      </c>
      <c r="F120" s="56">
        <v>191.16</v>
      </c>
      <c r="G120" s="64">
        <f t="shared" si="2"/>
        <v>764.64</v>
      </c>
      <c r="H120" s="73"/>
      <c r="I120" s="39"/>
      <c r="J120" s="39"/>
    </row>
    <row r="121" ht="18.75" customHeight="1" spans="1:10">
      <c r="A121" s="55" t="s">
        <v>109</v>
      </c>
      <c r="B121" s="56" t="s">
        <v>600</v>
      </c>
      <c r="C121" s="57" t="s">
        <v>589</v>
      </c>
      <c r="D121" s="56" t="s">
        <v>93</v>
      </c>
      <c r="E121" s="56">
        <v>36</v>
      </c>
      <c r="F121" s="56">
        <v>126.36</v>
      </c>
      <c r="G121" s="64">
        <f t="shared" si="2"/>
        <v>4548.96</v>
      </c>
      <c r="H121" s="73"/>
      <c r="I121" s="39"/>
      <c r="J121" s="39"/>
    </row>
    <row r="122" ht="18.75" customHeight="1" spans="1:10">
      <c r="A122" s="55" t="s">
        <v>111</v>
      </c>
      <c r="B122" s="56" t="s">
        <v>600</v>
      </c>
      <c r="C122" s="57" t="s">
        <v>653</v>
      </c>
      <c r="D122" s="56" t="s">
        <v>93</v>
      </c>
      <c r="E122" s="56">
        <v>6</v>
      </c>
      <c r="F122" s="56">
        <v>97.2</v>
      </c>
      <c r="G122" s="64">
        <f t="shared" si="2"/>
        <v>583.2</v>
      </c>
      <c r="H122" s="73"/>
      <c r="I122" s="39"/>
      <c r="J122" s="39"/>
    </row>
    <row r="123" ht="18.75" customHeight="1" spans="1:10">
      <c r="A123" s="55" t="s">
        <v>114</v>
      </c>
      <c r="B123" s="56" t="s">
        <v>655</v>
      </c>
      <c r="C123" s="57" t="s">
        <v>588</v>
      </c>
      <c r="D123" s="56" t="s">
        <v>93</v>
      </c>
      <c r="E123" s="56">
        <v>4</v>
      </c>
      <c r="F123" s="56">
        <v>176.58</v>
      </c>
      <c r="G123" s="64">
        <f t="shared" si="2"/>
        <v>706.32</v>
      </c>
      <c r="H123" s="73"/>
      <c r="I123" s="39"/>
      <c r="J123" s="39"/>
    </row>
    <row r="124" ht="18.75" customHeight="1" spans="1:10">
      <c r="A124" s="55" t="s">
        <v>116</v>
      </c>
      <c r="B124" s="56" t="s">
        <v>655</v>
      </c>
      <c r="C124" s="57" t="s">
        <v>653</v>
      </c>
      <c r="D124" s="56" t="s">
        <v>93</v>
      </c>
      <c r="E124" s="56">
        <v>2</v>
      </c>
      <c r="F124" s="56">
        <v>92.34</v>
      </c>
      <c r="G124" s="64">
        <f t="shared" si="2"/>
        <v>184.68</v>
      </c>
      <c r="H124" s="73"/>
      <c r="I124" s="39"/>
      <c r="J124" s="39"/>
    </row>
    <row r="125" ht="18.75" customHeight="1" spans="1:10">
      <c r="A125" s="55" t="s">
        <v>118</v>
      </c>
      <c r="B125" s="56" t="s">
        <v>601</v>
      </c>
      <c r="C125" s="57" t="s">
        <v>656</v>
      </c>
      <c r="D125" s="56" t="s">
        <v>93</v>
      </c>
      <c r="E125" s="56">
        <v>8</v>
      </c>
      <c r="F125" s="56">
        <v>2697</v>
      </c>
      <c r="G125" s="64">
        <f t="shared" si="2"/>
        <v>21576</v>
      </c>
      <c r="H125" s="73"/>
      <c r="I125" s="39"/>
      <c r="J125" s="39"/>
    </row>
    <row r="126" ht="18.75" customHeight="1" spans="1:10">
      <c r="A126" s="55" t="s">
        <v>120</v>
      </c>
      <c r="B126" s="56" t="s">
        <v>601</v>
      </c>
      <c r="C126" s="57" t="s">
        <v>657</v>
      </c>
      <c r="D126" s="56" t="s">
        <v>93</v>
      </c>
      <c r="E126" s="56">
        <v>6</v>
      </c>
      <c r="F126" s="56">
        <v>2088</v>
      </c>
      <c r="G126" s="64">
        <f t="shared" si="2"/>
        <v>12528</v>
      </c>
      <c r="H126" s="73"/>
      <c r="I126" s="39"/>
      <c r="J126" s="39"/>
    </row>
    <row r="127" ht="18.75" customHeight="1" spans="1:10">
      <c r="A127" s="55" t="s">
        <v>122</v>
      </c>
      <c r="B127" s="56" t="s">
        <v>601</v>
      </c>
      <c r="C127" s="57" t="s">
        <v>658</v>
      </c>
      <c r="D127" s="56" t="s">
        <v>93</v>
      </c>
      <c r="E127" s="56">
        <v>2</v>
      </c>
      <c r="F127" s="56">
        <v>1232.82</v>
      </c>
      <c r="G127" s="64">
        <f t="shared" si="2"/>
        <v>2465.64</v>
      </c>
      <c r="H127" s="73"/>
      <c r="I127" s="39"/>
      <c r="J127" s="39"/>
    </row>
    <row r="128" ht="18.75" customHeight="1" spans="1:10">
      <c r="A128" s="55" t="s">
        <v>124</v>
      </c>
      <c r="B128" s="56" t="s">
        <v>601</v>
      </c>
      <c r="C128" s="57" t="s">
        <v>659</v>
      </c>
      <c r="D128" s="56" t="s">
        <v>93</v>
      </c>
      <c r="E128" s="56">
        <v>2</v>
      </c>
      <c r="F128" s="56">
        <v>1232.82</v>
      </c>
      <c r="G128" s="64">
        <f t="shared" si="2"/>
        <v>2465.64</v>
      </c>
      <c r="H128" s="73"/>
      <c r="I128" s="39"/>
      <c r="J128" s="39"/>
    </row>
    <row r="129" ht="18.75" customHeight="1" spans="1:10">
      <c r="A129" s="55" t="s">
        <v>125</v>
      </c>
      <c r="B129" s="56" t="s">
        <v>601</v>
      </c>
      <c r="C129" s="57" t="s">
        <v>660</v>
      </c>
      <c r="D129" s="56" t="s">
        <v>93</v>
      </c>
      <c r="E129" s="56">
        <v>12</v>
      </c>
      <c r="F129" s="56">
        <v>584.82</v>
      </c>
      <c r="G129" s="64">
        <f t="shared" si="2"/>
        <v>7017.84</v>
      </c>
      <c r="H129" s="73"/>
      <c r="I129" s="39"/>
      <c r="J129" s="39"/>
    </row>
    <row r="130" ht="18.75" customHeight="1" spans="1:10">
      <c r="A130" s="55" t="s">
        <v>128</v>
      </c>
      <c r="B130" s="56" t="s">
        <v>601</v>
      </c>
      <c r="C130" s="57" t="s">
        <v>661</v>
      </c>
      <c r="D130" s="56" t="s">
        <v>93</v>
      </c>
      <c r="E130" s="56">
        <v>4</v>
      </c>
      <c r="F130" s="56">
        <v>584.82</v>
      </c>
      <c r="G130" s="64">
        <f t="shared" si="2"/>
        <v>2339.28</v>
      </c>
      <c r="H130" s="73"/>
      <c r="I130" s="39"/>
      <c r="J130" s="39"/>
    </row>
    <row r="131" ht="18.75" customHeight="1" spans="1:10">
      <c r="A131" s="55" t="s">
        <v>130</v>
      </c>
      <c r="B131" s="56" t="s">
        <v>601</v>
      </c>
      <c r="C131" s="57" t="s">
        <v>662</v>
      </c>
      <c r="D131" s="56" t="s">
        <v>93</v>
      </c>
      <c r="E131" s="56">
        <v>48</v>
      </c>
      <c r="F131" s="56">
        <v>453.6</v>
      </c>
      <c r="G131" s="64">
        <f t="shared" si="2"/>
        <v>21772.8</v>
      </c>
      <c r="H131" s="73"/>
      <c r="I131" s="39"/>
      <c r="J131" s="39"/>
    </row>
    <row r="132" ht="18.75" customHeight="1" spans="1:10">
      <c r="A132" s="55" t="s">
        <v>132</v>
      </c>
      <c r="B132" s="56" t="s">
        <v>601</v>
      </c>
      <c r="C132" s="57" t="s">
        <v>663</v>
      </c>
      <c r="D132" s="56" t="s">
        <v>93</v>
      </c>
      <c r="E132" s="56">
        <v>14</v>
      </c>
      <c r="F132" s="56">
        <v>288.36</v>
      </c>
      <c r="G132" s="64">
        <f t="shared" si="2"/>
        <v>4037.04</v>
      </c>
      <c r="H132" s="73"/>
      <c r="I132" s="39"/>
      <c r="J132" s="39"/>
    </row>
    <row r="133" ht="18.75" customHeight="1" spans="1:10">
      <c r="A133" s="55" t="s">
        <v>134</v>
      </c>
      <c r="B133" s="56" t="s">
        <v>601</v>
      </c>
      <c r="C133" s="57" t="s">
        <v>664</v>
      </c>
      <c r="D133" s="56" t="s">
        <v>93</v>
      </c>
      <c r="E133" s="56">
        <v>2</v>
      </c>
      <c r="F133" s="56">
        <v>191.16</v>
      </c>
      <c r="G133" s="64">
        <f t="shared" si="2"/>
        <v>382.32</v>
      </c>
      <c r="H133" s="73"/>
      <c r="I133" s="39"/>
      <c r="J133" s="39"/>
    </row>
    <row r="134" ht="18.75" customHeight="1" spans="1:10">
      <c r="A134" s="55" t="s">
        <v>135</v>
      </c>
      <c r="B134" s="56" t="s">
        <v>601</v>
      </c>
      <c r="C134" s="57" t="s">
        <v>665</v>
      </c>
      <c r="D134" s="56" t="s">
        <v>93</v>
      </c>
      <c r="E134" s="56">
        <v>4</v>
      </c>
      <c r="F134" s="56">
        <v>2697</v>
      </c>
      <c r="G134" s="64">
        <f t="shared" si="2"/>
        <v>10788</v>
      </c>
      <c r="H134" s="73"/>
      <c r="I134" s="39"/>
      <c r="J134" s="39"/>
    </row>
    <row r="135" ht="18.75" customHeight="1" spans="1:10">
      <c r="A135" s="55" t="s">
        <v>136</v>
      </c>
      <c r="B135" s="56" t="s">
        <v>609</v>
      </c>
      <c r="C135" s="57" t="s">
        <v>666</v>
      </c>
      <c r="D135" s="56" t="s">
        <v>93</v>
      </c>
      <c r="E135" s="56">
        <v>2</v>
      </c>
      <c r="F135" s="56">
        <v>1130.76</v>
      </c>
      <c r="G135" s="64">
        <f t="shared" si="2"/>
        <v>2261.52</v>
      </c>
      <c r="H135" s="73"/>
      <c r="I135" s="39"/>
      <c r="J135" s="39"/>
    </row>
    <row r="136" ht="18.75" customHeight="1" spans="1:10">
      <c r="A136" s="55" t="s">
        <v>139</v>
      </c>
      <c r="B136" s="56" t="s">
        <v>609</v>
      </c>
      <c r="C136" s="57" t="s">
        <v>667</v>
      </c>
      <c r="D136" s="56" t="s">
        <v>93</v>
      </c>
      <c r="E136" s="56">
        <v>2</v>
      </c>
      <c r="F136" s="56">
        <v>669.06</v>
      </c>
      <c r="G136" s="64">
        <f t="shared" si="2"/>
        <v>1338.12</v>
      </c>
      <c r="H136" s="73"/>
      <c r="I136" s="39"/>
      <c r="J136" s="39"/>
    </row>
    <row r="137" ht="18.75" customHeight="1" spans="1:10">
      <c r="A137" s="55" t="s">
        <v>140</v>
      </c>
      <c r="B137" s="56" t="s">
        <v>609</v>
      </c>
      <c r="C137" s="57" t="s">
        <v>668</v>
      </c>
      <c r="D137" s="56" t="s">
        <v>93</v>
      </c>
      <c r="E137" s="56">
        <v>2</v>
      </c>
      <c r="F137" s="56">
        <v>382.32</v>
      </c>
      <c r="G137" s="64">
        <f t="shared" si="2"/>
        <v>764.64</v>
      </c>
      <c r="H137" s="73"/>
      <c r="I137" s="39"/>
      <c r="J137" s="39"/>
    </row>
    <row r="138" ht="18.75" customHeight="1" spans="1:10">
      <c r="A138" s="55" t="s">
        <v>142</v>
      </c>
      <c r="B138" s="56" t="s">
        <v>609</v>
      </c>
      <c r="C138" s="57" t="s">
        <v>660</v>
      </c>
      <c r="D138" s="56" t="s">
        <v>93</v>
      </c>
      <c r="E138" s="56">
        <v>10</v>
      </c>
      <c r="F138" s="56">
        <v>267.3</v>
      </c>
      <c r="G138" s="64">
        <f t="shared" si="2"/>
        <v>2673</v>
      </c>
      <c r="H138" s="73"/>
      <c r="I138" s="39"/>
      <c r="J138" s="39"/>
    </row>
    <row r="139" ht="18.75" customHeight="1" spans="1:10">
      <c r="A139" s="55" t="s">
        <v>144</v>
      </c>
      <c r="B139" s="56" t="s">
        <v>609</v>
      </c>
      <c r="C139" s="57" t="s">
        <v>661</v>
      </c>
      <c r="D139" s="56" t="s">
        <v>93</v>
      </c>
      <c r="E139" s="56">
        <v>6</v>
      </c>
      <c r="F139" s="56">
        <v>267.3</v>
      </c>
      <c r="G139" s="64">
        <f t="shared" si="2"/>
        <v>1603.8</v>
      </c>
      <c r="H139" s="73"/>
      <c r="I139" s="39"/>
      <c r="J139" s="39"/>
    </row>
    <row r="140" ht="18.75" customHeight="1" spans="1:10">
      <c r="A140" s="55" t="s">
        <v>146</v>
      </c>
      <c r="B140" s="56" t="s">
        <v>609</v>
      </c>
      <c r="C140" s="57" t="s">
        <v>669</v>
      </c>
      <c r="D140" s="56" t="s">
        <v>93</v>
      </c>
      <c r="E140" s="56">
        <v>2</v>
      </c>
      <c r="F140" s="56">
        <v>215.46</v>
      </c>
      <c r="G140" s="64">
        <f t="shared" si="2"/>
        <v>430.92</v>
      </c>
      <c r="H140" s="73"/>
      <c r="I140" s="39"/>
      <c r="J140" s="39"/>
    </row>
    <row r="141" ht="18.75" customHeight="1" spans="1:10">
      <c r="A141" s="55" t="s">
        <v>149</v>
      </c>
      <c r="B141" s="56" t="s">
        <v>609</v>
      </c>
      <c r="C141" s="57" t="s">
        <v>662</v>
      </c>
      <c r="D141" s="56" t="s">
        <v>93</v>
      </c>
      <c r="E141" s="56">
        <v>22</v>
      </c>
      <c r="F141" s="56">
        <v>215.46</v>
      </c>
      <c r="G141" s="64">
        <f t="shared" si="2"/>
        <v>4740.12</v>
      </c>
      <c r="H141" s="73"/>
      <c r="I141" s="39"/>
      <c r="J141" s="39"/>
    </row>
    <row r="142" ht="18.75" customHeight="1" spans="1:10">
      <c r="A142" s="55" t="s">
        <v>151</v>
      </c>
      <c r="B142" s="56" t="s">
        <v>609</v>
      </c>
      <c r="C142" s="57" t="s">
        <v>663</v>
      </c>
      <c r="D142" s="56" t="s">
        <v>93</v>
      </c>
      <c r="E142" s="56">
        <v>14</v>
      </c>
      <c r="F142" s="56">
        <v>189.54</v>
      </c>
      <c r="G142" s="64">
        <f t="shared" si="2"/>
        <v>2653.56</v>
      </c>
      <c r="H142" s="73"/>
      <c r="I142" s="39"/>
      <c r="J142" s="39"/>
    </row>
    <row r="143" ht="18.75" hidden="1" customHeight="1" spans="1:8">
      <c r="A143" s="55" t="s">
        <v>161</v>
      </c>
      <c r="B143" s="56" t="s">
        <v>595</v>
      </c>
      <c r="C143" s="57" t="s">
        <v>300</v>
      </c>
      <c r="D143" s="60" t="s">
        <v>596</v>
      </c>
      <c r="E143" s="56"/>
      <c r="F143" s="56">
        <v>3629.5</v>
      </c>
      <c r="G143" s="64">
        <f t="shared" si="2"/>
        <v>0</v>
      </c>
      <c r="H143" s="73" t="s">
        <v>597</v>
      </c>
    </row>
    <row r="144" ht="18.75" hidden="1" customHeight="1" spans="1:8">
      <c r="A144" s="55" t="s">
        <v>162</v>
      </c>
      <c r="B144" s="56" t="s">
        <v>595</v>
      </c>
      <c r="C144" s="57" t="s">
        <v>302</v>
      </c>
      <c r="D144" s="60" t="s">
        <v>596</v>
      </c>
      <c r="E144" s="56"/>
      <c r="F144" s="56">
        <v>3059.18</v>
      </c>
      <c r="G144" s="64">
        <f t="shared" si="2"/>
        <v>0</v>
      </c>
      <c r="H144" s="73" t="s">
        <v>597</v>
      </c>
    </row>
    <row r="145" ht="18.75" customHeight="1" spans="1:8">
      <c r="A145" s="55" t="s">
        <v>163</v>
      </c>
      <c r="B145" s="56" t="s">
        <v>595</v>
      </c>
      <c r="C145" s="57" t="s">
        <v>598</v>
      </c>
      <c r="D145" s="60" t="s">
        <v>596</v>
      </c>
      <c r="E145" s="56">
        <v>8</v>
      </c>
      <c r="F145" s="56">
        <v>1595.13</v>
      </c>
      <c r="G145" s="64">
        <f t="shared" si="2"/>
        <v>12761.04</v>
      </c>
      <c r="H145" s="73" t="s">
        <v>597</v>
      </c>
    </row>
    <row r="146" ht="18.75" customHeight="1" spans="1:8">
      <c r="A146" s="55" t="s">
        <v>166</v>
      </c>
      <c r="B146" s="56" t="s">
        <v>595</v>
      </c>
      <c r="C146" s="57" t="s">
        <v>101</v>
      </c>
      <c r="D146" s="60" t="s">
        <v>596</v>
      </c>
      <c r="E146" s="56">
        <v>1</v>
      </c>
      <c r="F146" s="56">
        <v>1339.64</v>
      </c>
      <c r="G146" s="64">
        <f t="shared" si="2"/>
        <v>1339.64</v>
      </c>
      <c r="H146" s="73" t="s">
        <v>597</v>
      </c>
    </row>
    <row r="147" ht="18.75" customHeight="1" spans="1:8">
      <c r="A147" s="55" t="s">
        <v>166</v>
      </c>
      <c r="B147" s="56" t="s">
        <v>595</v>
      </c>
      <c r="C147" s="57" t="s">
        <v>103</v>
      </c>
      <c r="D147" s="60" t="s">
        <v>596</v>
      </c>
      <c r="E147" s="56">
        <v>1</v>
      </c>
      <c r="F147" s="56">
        <f>879*1.25</f>
        <v>1098.75</v>
      </c>
      <c r="G147" s="64">
        <f t="shared" ref="G147:G148" si="3">E147*F147</f>
        <v>1098.75</v>
      </c>
      <c r="H147" s="73" t="s">
        <v>597</v>
      </c>
    </row>
    <row r="148" ht="18.75" customHeight="1" spans="1:8">
      <c r="A148" s="55" t="s">
        <v>166</v>
      </c>
      <c r="B148" s="56" t="s">
        <v>595</v>
      </c>
      <c r="C148" s="57" t="s">
        <v>235</v>
      </c>
      <c r="D148" s="60" t="s">
        <v>596</v>
      </c>
      <c r="E148" s="56">
        <v>2</v>
      </c>
      <c r="F148" s="56">
        <f>465*1.25</f>
        <v>581.25</v>
      </c>
      <c r="G148" s="64">
        <f t="shared" si="3"/>
        <v>1162.5</v>
      </c>
      <c r="H148" s="73" t="s">
        <v>597</v>
      </c>
    </row>
    <row r="149" ht="18.75" hidden="1" customHeight="1" spans="1:8">
      <c r="A149" s="55" t="s">
        <v>169</v>
      </c>
      <c r="B149" s="56" t="s">
        <v>599</v>
      </c>
      <c r="C149" s="57" t="s">
        <v>300</v>
      </c>
      <c r="D149" s="60" t="s">
        <v>596</v>
      </c>
      <c r="E149" s="56"/>
      <c r="F149" s="56">
        <v>7635.11</v>
      </c>
      <c r="G149" s="64">
        <f t="shared" si="2"/>
        <v>0</v>
      </c>
      <c r="H149" s="73"/>
    </row>
    <row r="150" ht="18.75" hidden="1" customHeight="1" spans="1:8">
      <c r="A150" s="55" t="s">
        <v>175</v>
      </c>
      <c r="B150" s="56" t="s">
        <v>599</v>
      </c>
      <c r="C150" s="57" t="s">
        <v>302</v>
      </c>
      <c r="D150" s="60" t="s">
        <v>596</v>
      </c>
      <c r="E150" s="56"/>
      <c r="F150" s="56">
        <v>4530.54</v>
      </c>
      <c r="G150" s="64">
        <f t="shared" si="2"/>
        <v>0</v>
      </c>
      <c r="H150" s="73"/>
    </row>
    <row r="151" ht="18.75" customHeight="1" spans="1:8">
      <c r="A151" s="55" t="s">
        <v>178</v>
      </c>
      <c r="B151" s="56" t="s">
        <v>599</v>
      </c>
      <c r="C151" s="57" t="s">
        <v>598</v>
      </c>
      <c r="D151" s="60" t="s">
        <v>596</v>
      </c>
      <c r="E151" s="56">
        <v>16</v>
      </c>
      <c r="F151" s="56">
        <v>2584.62</v>
      </c>
      <c r="G151" s="64">
        <f t="shared" si="2"/>
        <v>41353.92</v>
      </c>
      <c r="H151" s="73"/>
    </row>
    <row r="152" ht="18.75" customHeight="1" spans="1:8">
      <c r="A152" s="55" t="s">
        <v>181</v>
      </c>
      <c r="B152" s="56" t="s">
        <v>599</v>
      </c>
      <c r="C152" s="57" t="s">
        <v>101</v>
      </c>
      <c r="D152" s="60" t="s">
        <v>596</v>
      </c>
      <c r="E152" s="56">
        <v>2</v>
      </c>
      <c r="F152" s="56">
        <v>1846.21</v>
      </c>
      <c r="G152" s="64">
        <f t="shared" si="2"/>
        <v>3692.42</v>
      </c>
      <c r="H152" s="73"/>
    </row>
    <row r="153" ht="18.75" hidden="1" customHeight="1" spans="1:8">
      <c r="A153" s="55" t="s">
        <v>181</v>
      </c>
      <c r="B153" s="56" t="s">
        <v>599</v>
      </c>
      <c r="C153" s="57" t="s">
        <v>103</v>
      </c>
      <c r="D153" s="60" t="s">
        <v>596</v>
      </c>
      <c r="E153" s="56">
        <v>2</v>
      </c>
      <c r="F153" s="56"/>
      <c r="G153" s="64">
        <f t="shared" ref="G153:G156" si="4">E153*F153</f>
        <v>0</v>
      </c>
      <c r="H153" s="73"/>
    </row>
    <row r="154" ht="18.75" hidden="1" customHeight="1" spans="1:8">
      <c r="A154" s="55" t="s">
        <v>181</v>
      </c>
      <c r="B154" s="56" t="s">
        <v>599</v>
      </c>
      <c r="C154" s="57" t="s">
        <v>235</v>
      </c>
      <c r="D154" s="60" t="s">
        <v>596</v>
      </c>
      <c r="E154" s="56">
        <v>4</v>
      </c>
      <c r="F154" s="56"/>
      <c r="G154" s="64">
        <f t="shared" si="4"/>
        <v>0</v>
      </c>
      <c r="H154" s="73"/>
    </row>
    <row r="155" s="40" customFormat="1" ht="18.75" customHeight="1" spans="1:10">
      <c r="A155" s="55" t="s">
        <v>155</v>
      </c>
      <c r="B155" s="56" t="s">
        <v>591</v>
      </c>
      <c r="C155" s="57" t="s">
        <v>670</v>
      </c>
      <c r="D155" s="56" t="s">
        <v>168</v>
      </c>
      <c r="E155" s="56">
        <v>2</v>
      </c>
      <c r="F155" s="56">
        <f>1.8*2*1.8*1650</f>
        <v>10692</v>
      </c>
      <c r="G155" s="64">
        <f t="shared" si="4"/>
        <v>21384</v>
      </c>
      <c r="H155" s="63"/>
      <c r="J155" s="75" t="s">
        <v>640</v>
      </c>
    </row>
    <row r="156" s="40" customFormat="1" ht="18.75" customHeight="1" spans="1:10">
      <c r="A156" s="55" t="s">
        <v>159</v>
      </c>
      <c r="B156" s="56" t="s">
        <v>591</v>
      </c>
      <c r="C156" s="57" t="s">
        <v>671</v>
      </c>
      <c r="D156" s="60" t="s">
        <v>168</v>
      </c>
      <c r="E156" s="56">
        <v>10</v>
      </c>
      <c r="F156" s="56">
        <f>1.8*2*1.8*1650</f>
        <v>10692</v>
      </c>
      <c r="G156" s="64">
        <f t="shared" si="4"/>
        <v>106920</v>
      </c>
      <c r="H156" s="63"/>
      <c r="J156" s="75" t="s">
        <v>594</v>
      </c>
    </row>
    <row r="157" ht="18.75" customHeight="1" spans="1:10">
      <c r="A157" s="55" t="s">
        <v>184</v>
      </c>
      <c r="B157" s="61" t="s">
        <v>611</v>
      </c>
      <c r="C157" s="57" t="s">
        <v>672</v>
      </c>
      <c r="D157" s="60" t="s">
        <v>596</v>
      </c>
      <c r="E157" s="61">
        <v>98</v>
      </c>
      <c r="F157" s="61">
        <v>662.73</v>
      </c>
      <c r="G157" s="64">
        <f t="shared" si="2"/>
        <v>64947.54</v>
      </c>
      <c r="H157" s="73"/>
      <c r="J157" s="41" t="s">
        <v>613</v>
      </c>
    </row>
    <row r="158" ht="18.75" customHeight="1" spans="1:10">
      <c r="A158" s="55" t="s">
        <v>186</v>
      </c>
      <c r="B158" s="61" t="s">
        <v>614</v>
      </c>
      <c r="C158" s="57" t="s">
        <v>673</v>
      </c>
      <c r="D158" s="60" t="s">
        <v>596</v>
      </c>
      <c r="E158" s="61">
        <v>98</v>
      </c>
      <c r="F158" s="61">
        <f>848*1.2</f>
        <v>1017.6</v>
      </c>
      <c r="G158" s="64">
        <f t="shared" si="2"/>
        <v>99724.8</v>
      </c>
      <c r="H158" s="73"/>
      <c r="J158" s="41" t="s">
        <v>613</v>
      </c>
    </row>
    <row r="159" ht="18.75" hidden="1" customHeight="1" spans="1:10">
      <c r="A159" s="55" t="s">
        <v>188</v>
      </c>
      <c r="B159" s="61" t="s">
        <v>616</v>
      </c>
      <c r="C159" s="57" t="s">
        <v>103</v>
      </c>
      <c r="D159" s="56" t="s">
        <v>154</v>
      </c>
      <c r="E159" s="61"/>
      <c r="F159" s="61">
        <v>76.2</v>
      </c>
      <c r="G159" s="64">
        <f t="shared" si="2"/>
        <v>0</v>
      </c>
      <c r="H159" s="73"/>
      <c r="J159" s="41" t="s">
        <v>617</v>
      </c>
    </row>
    <row r="160" ht="18.75" hidden="1" customHeight="1" spans="1:10">
      <c r="A160" s="55" t="s">
        <v>190</v>
      </c>
      <c r="B160" s="61" t="s">
        <v>616</v>
      </c>
      <c r="C160" s="57" t="s">
        <v>235</v>
      </c>
      <c r="D160" s="56" t="s">
        <v>154</v>
      </c>
      <c r="E160" s="61"/>
      <c r="F160" s="61">
        <v>50.69</v>
      </c>
      <c r="G160" s="64">
        <f t="shared" si="2"/>
        <v>0</v>
      </c>
      <c r="H160" s="73"/>
      <c r="J160" s="41" t="s">
        <v>618</v>
      </c>
    </row>
    <row r="161" ht="18.75" customHeight="1" spans="1:8">
      <c r="A161" s="55"/>
      <c r="B161" s="63" t="s">
        <v>444</v>
      </c>
      <c r="C161" s="57"/>
      <c r="D161" s="56"/>
      <c r="E161" s="61"/>
      <c r="F161" s="61"/>
      <c r="G161" s="64">
        <f>SUM(G108:G160)</f>
        <v>1654197.35</v>
      </c>
      <c r="H161" s="73"/>
    </row>
    <row r="162" ht="18.75" customHeight="1" spans="1:8">
      <c r="A162" s="55" t="s">
        <v>194</v>
      </c>
      <c r="B162" s="63" t="s">
        <v>191</v>
      </c>
      <c r="C162" s="63" t="s">
        <v>627</v>
      </c>
      <c r="D162" s="63" t="s">
        <v>628</v>
      </c>
      <c r="E162" s="63">
        <f>1974*0.8</f>
        <v>1579.2</v>
      </c>
      <c r="F162" s="36">
        <f>F101</f>
        <v>181.05</v>
      </c>
      <c r="G162" s="64">
        <f>E162*F162</f>
        <v>285914.16</v>
      </c>
      <c r="H162" s="63"/>
    </row>
    <row r="163" ht="18.75" customHeight="1" spans="1:11">
      <c r="A163" s="55" t="s">
        <v>197</v>
      </c>
      <c r="B163" s="63" t="s">
        <v>191</v>
      </c>
      <c r="C163" s="63" t="s">
        <v>192</v>
      </c>
      <c r="D163" s="63" t="s">
        <v>628</v>
      </c>
      <c r="E163" s="63">
        <f>2000*0.8</f>
        <v>1600</v>
      </c>
      <c r="F163" s="36">
        <f>F102</f>
        <v>104.45</v>
      </c>
      <c r="G163" s="64">
        <f>E163*F163</f>
        <v>167120</v>
      </c>
      <c r="H163" s="63"/>
      <c r="K163" s="41">
        <f>SUM(E108:E115)</f>
        <v>3974</v>
      </c>
    </row>
    <row r="164" ht="18.75" customHeight="1" spans="1:10">
      <c r="A164" s="55" t="s">
        <v>199</v>
      </c>
      <c r="B164" s="63" t="s">
        <v>202</v>
      </c>
      <c r="C164" s="63"/>
      <c r="D164" s="63" t="s">
        <v>196</v>
      </c>
      <c r="E164" s="63">
        <v>1255</v>
      </c>
      <c r="F164" s="36">
        <f>F103</f>
        <v>209.24</v>
      </c>
      <c r="G164" s="66">
        <f>E164*F164</f>
        <v>262596.2</v>
      </c>
      <c r="H164" s="63"/>
      <c r="I164" s="71"/>
      <c r="J164" s="41">
        <f>SUM(E47:E54)</f>
        <v>5229.6</v>
      </c>
    </row>
    <row r="165" ht="18.75" customHeight="1" spans="1:9">
      <c r="A165" s="55"/>
      <c r="B165" s="63" t="s">
        <v>444</v>
      </c>
      <c r="C165" s="63"/>
      <c r="D165" s="63"/>
      <c r="E165" s="63"/>
      <c r="F165" s="36"/>
      <c r="G165" s="66">
        <f>SUM(G162:G164)</f>
        <v>715630.36</v>
      </c>
      <c r="H165" s="63"/>
      <c r="I165" s="71"/>
    </row>
    <row r="166" ht="18.75" customHeight="1" spans="1:9">
      <c r="A166" s="55"/>
      <c r="B166" s="63" t="s">
        <v>205</v>
      </c>
      <c r="C166" s="63"/>
      <c r="D166" s="63" t="s">
        <v>206</v>
      </c>
      <c r="E166" s="63"/>
      <c r="F166" s="63"/>
      <c r="G166" s="66">
        <f>SUM(G161,G165)</f>
        <v>2369827.71</v>
      </c>
      <c r="H166" s="63"/>
      <c r="I166" s="71"/>
    </row>
    <row r="167" ht="18.75" customHeight="1" spans="1:10">
      <c r="A167" s="50" t="s">
        <v>674</v>
      </c>
      <c r="B167" s="49" t="s">
        <v>29</v>
      </c>
      <c r="C167" s="51"/>
      <c r="D167" s="49" t="s">
        <v>580</v>
      </c>
      <c r="E167" s="49"/>
      <c r="F167" s="49"/>
      <c r="G167" s="52"/>
      <c r="H167" s="74"/>
      <c r="I167" s="38"/>
      <c r="J167" s="38"/>
    </row>
    <row r="168" ht="18.75" customHeight="1" spans="1:13">
      <c r="A168" s="50">
        <v>1</v>
      </c>
      <c r="B168" s="49" t="s">
        <v>581</v>
      </c>
      <c r="C168" s="54"/>
      <c r="D168" s="49"/>
      <c r="E168" s="49"/>
      <c r="F168" s="49"/>
      <c r="G168" s="52"/>
      <c r="H168" s="74"/>
      <c r="I168" s="38"/>
      <c r="J168" s="38"/>
      <c r="M168" s="41" t="s">
        <v>675</v>
      </c>
    </row>
    <row r="169" s="38" customFormat="1" ht="18.75" customHeight="1" spans="1:8">
      <c r="A169" s="55" t="s">
        <v>73</v>
      </c>
      <c r="B169" s="56" t="s">
        <v>582</v>
      </c>
      <c r="C169" s="67" t="s">
        <v>632</v>
      </c>
      <c r="D169" s="56" t="s">
        <v>154</v>
      </c>
      <c r="E169" s="56">
        <v>170</v>
      </c>
      <c r="F169" s="56">
        <v>1077.89</v>
      </c>
      <c r="G169" s="58">
        <f>E169*F169</f>
        <v>183241.3</v>
      </c>
      <c r="H169" s="73" t="s">
        <v>631</v>
      </c>
    </row>
    <row r="170" ht="18.75" customHeight="1" spans="1:10">
      <c r="A170" s="55" t="s">
        <v>77</v>
      </c>
      <c r="B170" s="56" t="s">
        <v>582</v>
      </c>
      <c r="C170" s="57" t="s">
        <v>583</v>
      </c>
      <c r="D170" s="56" t="s">
        <v>154</v>
      </c>
      <c r="E170" s="56">
        <v>846</v>
      </c>
      <c r="F170" s="56">
        <v>728.52</v>
      </c>
      <c r="G170" s="64">
        <f>E170*F170</f>
        <v>616327.92</v>
      </c>
      <c r="H170" s="73" t="s">
        <v>584</v>
      </c>
      <c r="I170" s="39"/>
      <c r="J170" s="39"/>
    </row>
    <row r="171" ht="18.75" customHeight="1" spans="1:10">
      <c r="A171" s="55" t="s">
        <v>79</v>
      </c>
      <c r="B171" s="56" t="s">
        <v>582</v>
      </c>
      <c r="C171" s="57" t="s">
        <v>585</v>
      </c>
      <c r="D171" s="56" t="s">
        <v>154</v>
      </c>
      <c r="E171" s="56">
        <v>1310</v>
      </c>
      <c r="F171" s="56">
        <v>499.95</v>
      </c>
      <c r="G171" s="64">
        <f>E171*F171</f>
        <v>654934.5</v>
      </c>
      <c r="H171" s="73" t="s">
        <v>584</v>
      </c>
      <c r="I171" s="39"/>
      <c r="J171" s="39"/>
    </row>
    <row r="172" ht="18.75" customHeight="1" spans="1:10">
      <c r="A172" s="55" t="s">
        <v>81</v>
      </c>
      <c r="B172" s="56" t="s">
        <v>582</v>
      </c>
      <c r="C172" s="57" t="s">
        <v>586</v>
      </c>
      <c r="D172" s="56" t="s">
        <v>154</v>
      </c>
      <c r="E172" s="56">
        <v>510</v>
      </c>
      <c r="F172" s="56">
        <v>331.37</v>
      </c>
      <c r="G172" s="64">
        <f t="shared" ref="G172:G182" si="5">E172*F172</f>
        <v>168998.7</v>
      </c>
      <c r="H172" s="73" t="s">
        <v>584</v>
      </c>
      <c r="I172" s="39"/>
      <c r="J172" s="39"/>
    </row>
    <row r="173" ht="18.75" customHeight="1" spans="1:10">
      <c r="A173" s="55" t="s">
        <v>85</v>
      </c>
      <c r="B173" s="56" t="s">
        <v>582</v>
      </c>
      <c r="C173" s="57" t="s">
        <v>587</v>
      </c>
      <c r="D173" s="56" t="s">
        <v>154</v>
      </c>
      <c r="E173" s="56">
        <v>2662</v>
      </c>
      <c r="F173" s="56">
        <v>228.63</v>
      </c>
      <c r="G173" s="64">
        <f t="shared" si="5"/>
        <v>608613.06</v>
      </c>
      <c r="H173" s="73" t="s">
        <v>584</v>
      </c>
      <c r="I173" s="39"/>
      <c r="J173" s="39"/>
    </row>
    <row r="174" ht="18.75" customHeight="1" spans="1:10">
      <c r="A174" s="55" t="s">
        <v>87</v>
      </c>
      <c r="B174" s="56" t="s">
        <v>582</v>
      </c>
      <c r="C174" s="57" t="s">
        <v>588</v>
      </c>
      <c r="D174" s="56" t="s">
        <v>154</v>
      </c>
      <c r="E174" s="56"/>
      <c r="F174" s="56">
        <v>178.23</v>
      </c>
      <c r="G174" s="64">
        <f t="shared" si="5"/>
        <v>0</v>
      </c>
      <c r="H174" s="73" t="s">
        <v>584</v>
      </c>
      <c r="I174" s="39"/>
      <c r="J174" s="39"/>
    </row>
    <row r="175" ht="18.75" customHeight="1" spans="1:10">
      <c r="A175" s="55" t="s">
        <v>89</v>
      </c>
      <c r="B175" s="56" t="s">
        <v>582</v>
      </c>
      <c r="C175" s="57" t="s">
        <v>589</v>
      </c>
      <c r="D175" s="56" t="s">
        <v>154</v>
      </c>
      <c r="E175" s="56">
        <v>1220</v>
      </c>
      <c r="F175" s="56">
        <v>134.75</v>
      </c>
      <c r="G175" s="64">
        <f t="shared" si="5"/>
        <v>164395</v>
      </c>
      <c r="H175" s="73" t="s">
        <v>584</v>
      </c>
      <c r="I175" s="39"/>
      <c r="J175" s="39" t="s">
        <v>590</v>
      </c>
    </row>
    <row r="176" ht="18.75" customHeight="1" spans="1:10">
      <c r="A176" s="55" t="s">
        <v>94</v>
      </c>
      <c r="B176" s="56" t="s">
        <v>600</v>
      </c>
      <c r="C176" s="57" t="s">
        <v>632</v>
      </c>
      <c r="D176" s="56" t="s">
        <v>93</v>
      </c>
      <c r="E176" s="56">
        <v>2</v>
      </c>
      <c r="F176" s="56">
        <v>2025</v>
      </c>
      <c r="G176" s="64">
        <f t="shared" si="5"/>
        <v>4050</v>
      </c>
      <c r="H176" s="73"/>
      <c r="I176" s="39"/>
      <c r="J176" s="39"/>
    </row>
    <row r="177" ht="18.75" customHeight="1" spans="1:10">
      <c r="A177" s="55" t="s">
        <v>97</v>
      </c>
      <c r="B177" s="56" t="s">
        <v>600</v>
      </c>
      <c r="C177" s="57" t="s">
        <v>583</v>
      </c>
      <c r="D177" s="56" t="s">
        <v>93</v>
      </c>
      <c r="E177" s="56">
        <v>8</v>
      </c>
      <c r="F177" s="56">
        <v>1490.4</v>
      </c>
      <c r="G177" s="64">
        <f t="shared" si="5"/>
        <v>11923.2</v>
      </c>
      <c r="H177" s="73"/>
      <c r="I177" s="39"/>
      <c r="J177" s="39"/>
    </row>
    <row r="178" ht="18.75" customHeight="1" spans="1:10">
      <c r="A178" s="55" t="s">
        <v>99</v>
      </c>
      <c r="B178" s="56" t="s">
        <v>601</v>
      </c>
      <c r="C178" s="57" t="s">
        <v>676</v>
      </c>
      <c r="D178" s="56" t="s">
        <v>93</v>
      </c>
      <c r="E178" s="56">
        <v>6</v>
      </c>
      <c r="F178" s="56">
        <v>2088</v>
      </c>
      <c r="G178" s="64">
        <f t="shared" si="5"/>
        <v>12528</v>
      </c>
      <c r="H178" s="73"/>
      <c r="I178" s="39"/>
      <c r="J178" s="39"/>
    </row>
    <row r="179" ht="18.75" customHeight="1" spans="1:10">
      <c r="A179" s="55" t="s">
        <v>102</v>
      </c>
      <c r="B179" s="56" t="s">
        <v>601</v>
      </c>
      <c r="C179" s="57" t="s">
        <v>659</v>
      </c>
      <c r="D179" s="56" t="s">
        <v>93</v>
      </c>
      <c r="E179" s="56">
        <v>16</v>
      </c>
      <c r="F179" s="56">
        <v>1232.82</v>
      </c>
      <c r="G179" s="64">
        <f t="shared" si="5"/>
        <v>19725.12</v>
      </c>
      <c r="H179" s="73"/>
      <c r="I179" s="39"/>
      <c r="J179" s="39"/>
    </row>
    <row r="180" ht="18.75" customHeight="1" spans="1:10">
      <c r="A180" s="55" t="s">
        <v>104</v>
      </c>
      <c r="B180" s="56" t="s">
        <v>601</v>
      </c>
      <c r="C180" s="57" t="s">
        <v>660</v>
      </c>
      <c r="D180" s="56" t="s">
        <v>93</v>
      </c>
      <c r="E180" s="56">
        <v>6</v>
      </c>
      <c r="F180" s="56">
        <v>584.82</v>
      </c>
      <c r="G180" s="64">
        <f t="shared" si="5"/>
        <v>3508.92</v>
      </c>
      <c r="H180" s="73"/>
      <c r="I180" s="39"/>
      <c r="J180" s="39"/>
    </row>
    <row r="181" ht="18.75" customHeight="1" spans="1:10">
      <c r="A181" s="55" t="s">
        <v>107</v>
      </c>
      <c r="B181" s="56" t="s">
        <v>601</v>
      </c>
      <c r="C181" s="57" t="s">
        <v>662</v>
      </c>
      <c r="D181" s="56" t="s">
        <v>93</v>
      </c>
      <c r="E181" s="56">
        <v>244</v>
      </c>
      <c r="F181" s="56">
        <v>453.6</v>
      </c>
      <c r="G181" s="64">
        <f t="shared" si="5"/>
        <v>110678.4</v>
      </c>
      <c r="H181" s="73"/>
      <c r="I181" s="39"/>
      <c r="J181" s="39"/>
    </row>
    <row r="182" ht="18.75" customHeight="1" spans="1:10">
      <c r="A182" s="55" t="s">
        <v>109</v>
      </c>
      <c r="B182" s="56" t="s">
        <v>609</v>
      </c>
      <c r="C182" s="57" t="s">
        <v>662</v>
      </c>
      <c r="D182" s="56" t="s">
        <v>93</v>
      </c>
      <c r="E182" s="56">
        <v>28</v>
      </c>
      <c r="F182" s="56">
        <v>215.46</v>
      </c>
      <c r="G182" s="64">
        <f t="shared" si="5"/>
        <v>6032.88</v>
      </c>
      <c r="H182" s="73"/>
      <c r="I182" s="39"/>
      <c r="J182" s="39"/>
    </row>
    <row r="183" ht="18.75" customHeight="1" spans="1:8">
      <c r="A183" s="55" t="s">
        <v>111</v>
      </c>
      <c r="B183" s="56" t="s">
        <v>677</v>
      </c>
      <c r="C183" s="57" t="s">
        <v>302</v>
      </c>
      <c r="D183" s="60" t="s">
        <v>596</v>
      </c>
      <c r="E183" s="56">
        <v>4</v>
      </c>
      <c r="F183" s="56">
        <v>3059.18</v>
      </c>
      <c r="G183" s="64">
        <f t="shared" ref="G183:G189" si="6">E183*F183</f>
        <v>12236.72</v>
      </c>
      <c r="H183" s="73"/>
    </row>
    <row r="184" ht="18.75" customHeight="1" spans="1:8">
      <c r="A184" s="55" t="s">
        <v>114</v>
      </c>
      <c r="B184" s="56" t="s">
        <v>678</v>
      </c>
      <c r="C184" s="57" t="s">
        <v>103</v>
      </c>
      <c r="D184" s="60" t="s">
        <v>596</v>
      </c>
      <c r="E184" s="56">
        <v>244</v>
      </c>
      <c r="F184" s="56">
        <v>1244</v>
      </c>
      <c r="G184" s="64">
        <f t="shared" si="6"/>
        <v>303536</v>
      </c>
      <c r="H184" s="73"/>
    </row>
    <row r="185" ht="18.75" customHeight="1" spans="1:8">
      <c r="A185" s="55" t="s">
        <v>116</v>
      </c>
      <c r="B185" s="56" t="s">
        <v>595</v>
      </c>
      <c r="C185" s="57" t="s">
        <v>103</v>
      </c>
      <c r="D185" s="60" t="s">
        <v>596</v>
      </c>
      <c r="E185" s="56">
        <v>244</v>
      </c>
      <c r="F185" s="56">
        <f>879*1.25</f>
        <v>1098.75</v>
      </c>
      <c r="G185" s="64">
        <f t="shared" si="6"/>
        <v>268095</v>
      </c>
      <c r="H185" s="73"/>
    </row>
    <row r="186" ht="18.75" customHeight="1" spans="1:8">
      <c r="A186" s="55" t="s">
        <v>118</v>
      </c>
      <c r="B186" s="56" t="s">
        <v>679</v>
      </c>
      <c r="C186" s="57" t="s">
        <v>103</v>
      </c>
      <c r="D186" s="60" t="s">
        <v>596</v>
      </c>
      <c r="E186" s="56">
        <v>122</v>
      </c>
      <c r="F186" s="56">
        <f>730*1.25</f>
        <v>912.5</v>
      </c>
      <c r="G186" s="64">
        <f t="shared" si="6"/>
        <v>111325</v>
      </c>
      <c r="H186" s="73"/>
    </row>
    <row r="187" ht="18.75" customHeight="1" spans="1:10">
      <c r="A187" s="55" t="s">
        <v>120</v>
      </c>
      <c r="B187" s="56" t="s">
        <v>591</v>
      </c>
      <c r="C187" s="57" t="s">
        <v>592</v>
      </c>
      <c r="D187" s="56" t="s">
        <v>168</v>
      </c>
      <c r="E187" s="56">
        <v>2</v>
      </c>
      <c r="F187" s="56">
        <f>F66</f>
        <v>6497.23</v>
      </c>
      <c r="G187" s="64">
        <f t="shared" si="6"/>
        <v>12994.46</v>
      </c>
      <c r="H187" s="73"/>
      <c r="I187" s="39"/>
      <c r="J187" s="70" t="s">
        <v>640</v>
      </c>
    </row>
    <row r="188" ht="18.75" customHeight="1" spans="1:10">
      <c r="A188" s="55" t="s">
        <v>122</v>
      </c>
      <c r="B188" s="56" t="s">
        <v>591</v>
      </c>
      <c r="C188" s="57" t="s">
        <v>593</v>
      </c>
      <c r="D188" s="60" t="s">
        <v>168</v>
      </c>
      <c r="E188" s="56">
        <v>14</v>
      </c>
      <c r="F188" s="56">
        <f>F67</f>
        <v>8858.06</v>
      </c>
      <c r="G188" s="64">
        <f t="shared" si="6"/>
        <v>124012.84</v>
      </c>
      <c r="H188" s="73"/>
      <c r="I188" s="39"/>
      <c r="J188" s="70"/>
    </row>
    <row r="189" s="41" customFormat="1" ht="18.75" customHeight="1" spans="1:10">
      <c r="A189" s="55" t="s">
        <v>124</v>
      </c>
      <c r="B189" s="56" t="s">
        <v>680</v>
      </c>
      <c r="C189" s="57" t="s">
        <v>681</v>
      </c>
      <c r="D189" s="56" t="s">
        <v>168</v>
      </c>
      <c r="E189" s="56">
        <v>122</v>
      </c>
      <c r="F189" s="56">
        <f>1.8*2*1.8*1650</f>
        <v>10692</v>
      </c>
      <c r="G189" s="64">
        <f t="shared" si="6"/>
        <v>1304424</v>
      </c>
      <c r="H189" s="73"/>
      <c r="I189" s="39"/>
      <c r="J189" s="70" t="s">
        <v>640</v>
      </c>
    </row>
    <row r="190" ht="18.75" customHeight="1" spans="1:8">
      <c r="A190" s="55" t="s">
        <v>125</v>
      </c>
      <c r="B190" s="56" t="s">
        <v>611</v>
      </c>
      <c r="C190" s="57" t="s">
        <v>682</v>
      </c>
      <c r="D190" s="60" t="s">
        <v>596</v>
      </c>
      <c r="E190" s="56">
        <v>28</v>
      </c>
      <c r="F190" s="56">
        <v>1339.64</v>
      </c>
      <c r="G190" s="64">
        <f t="shared" ref="G190:G191" si="7">E190*F190</f>
        <v>37509.92</v>
      </c>
      <c r="H190" s="73"/>
    </row>
    <row r="191" ht="18.75" customHeight="1" spans="1:8">
      <c r="A191" s="55" t="s">
        <v>128</v>
      </c>
      <c r="B191" s="56" t="s">
        <v>614</v>
      </c>
      <c r="C191" s="57" t="s">
        <v>683</v>
      </c>
      <c r="D191" s="60" t="s">
        <v>596</v>
      </c>
      <c r="E191" s="56">
        <v>14</v>
      </c>
      <c r="F191" s="56">
        <v>1846.21</v>
      </c>
      <c r="G191" s="64">
        <f t="shared" si="7"/>
        <v>25846.94</v>
      </c>
      <c r="H191" s="73"/>
    </row>
    <row r="192" ht="18.75" customHeight="1" spans="1:8">
      <c r="A192" s="55"/>
      <c r="B192" s="63" t="s">
        <v>444</v>
      </c>
      <c r="C192" s="57"/>
      <c r="D192" s="60"/>
      <c r="E192" s="61"/>
      <c r="F192" s="61"/>
      <c r="G192" s="64">
        <f>SUM(G169:G191)</f>
        <v>4764937.88</v>
      </c>
      <c r="H192" s="59"/>
    </row>
    <row r="193" ht="18.75" hidden="1" customHeight="1" spans="1:8">
      <c r="A193" s="55" t="s">
        <v>130</v>
      </c>
      <c r="B193" s="63" t="s">
        <v>191</v>
      </c>
      <c r="C193" s="63" t="s">
        <v>627</v>
      </c>
      <c r="D193" s="63" t="s">
        <v>628</v>
      </c>
      <c r="E193" s="63"/>
      <c r="F193" s="36">
        <v>245.61</v>
      </c>
      <c r="G193" s="64">
        <f>E193*F193</f>
        <v>0</v>
      </c>
      <c r="H193" s="63"/>
    </row>
    <row r="194" ht="18.75" customHeight="1" spans="1:8">
      <c r="A194" s="55" t="s">
        <v>132</v>
      </c>
      <c r="B194" s="63" t="s">
        <v>191</v>
      </c>
      <c r="C194" s="63" t="s">
        <v>192</v>
      </c>
      <c r="D194" s="63" t="s">
        <v>628</v>
      </c>
      <c r="E194" s="63">
        <f>6718*0.8</f>
        <v>5374.4</v>
      </c>
      <c r="F194" s="36">
        <f>F163</f>
        <v>104.45</v>
      </c>
      <c r="G194" s="64">
        <f>E194*F194</f>
        <v>561356.08</v>
      </c>
      <c r="H194" s="63"/>
    </row>
    <row r="195" ht="18.75" customHeight="1" spans="1:10">
      <c r="A195" s="55" t="s">
        <v>134</v>
      </c>
      <c r="B195" s="63" t="s">
        <v>202</v>
      </c>
      <c r="C195" s="63"/>
      <c r="D195" s="63" t="s">
        <v>196</v>
      </c>
      <c r="E195" s="63">
        <v>1343</v>
      </c>
      <c r="F195" s="36">
        <f>F164</f>
        <v>209.24</v>
      </c>
      <c r="G195" s="66">
        <f>E195*F195</f>
        <v>281009.32</v>
      </c>
      <c r="H195" s="63"/>
      <c r="I195" s="71"/>
      <c r="J195" s="41">
        <f>SUM(E162:E168)</f>
        <v>4434.2</v>
      </c>
    </row>
    <row r="196" ht="18.75" customHeight="1" spans="1:9">
      <c r="A196" s="55"/>
      <c r="B196" s="63" t="s">
        <v>444</v>
      </c>
      <c r="C196" s="63"/>
      <c r="D196" s="63"/>
      <c r="E196" s="63"/>
      <c r="F196" s="63"/>
      <c r="G196" s="66">
        <f>SUM(G193:G195)</f>
        <v>842365.4</v>
      </c>
      <c r="H196" s="63"/>
      <c r="I196" s="71"/>
    </row>
    <row r="197" ht="18.75" customHeight="1" spans="1:9">
      <c r="A197" s="55"/>
      <c r="B197" s="63" t="s">
        <v>444</v>
      </c>
      <c r="C197" s="63"/>
      <c r="D197" s="63" t="s">
        <v>206</v>
      </c>
      <c r="E197" s="63"/>
      <c r="F197" s="63"/>
      <c r="G197" s="66">
        <f>SUM(G192,G196)</f>
        <v>5607303.28</v>
      </c>
      <c r="H197" s="63"/>
      <c r="I197" s="71"/>
    </row>
    <row r="198" s="38" customFormat="1" ht="18.75" customHeight="1" spans="1:8">
      <c r="A198" s="50" t="s">
        <v>684</v>
      </c>
      <c r="B198" s="49" t="s">
        <v>31</v>
      </c>
      <c r="C198" s="51"/>
      <c r="D198" s="49" t="s">
        <v>580</v>
      </c>
      <c r="E198" s="49"/>
      <c r="F198" s="49"/>
      <c r="G198" s="52"/>
      <c r="H198" s="53"/>
    </row>
    <row r="199" s="38" customFormat="1" ht="18.75" customHeight="1" spans="1:8">
      <c r="A199" s="50">
        <v>1</v>
      </c>
      <c r="B199" s="49" t="s">
        <v>581</v>
      </c>
      <c r="C199" s="54"/>
      <c r="D199" s="49"/>
      <c r="E199" s="49"/>
      <c r="F199" s="49"/>
      <c r="G199" s="52"/>
      <c r="H199" s="53"/>
    </row>
    <row r="200" s="38" customFormat="1" ht="18.75" customHeight="1" spans="1:8">
      <c r="A200" s="55" t="s">
        <v>73</v>
      </c>
      <c r="B200" s="56" t="s">
        <v>582</v>
      </c>
      <c r="C200" s="67" t="s">
        <v>632</v>
      </c>
      <c r="D200" s="56" t="s">
        <v>154</v>
      </c>
      <c r="E200" s="56">
        <v>582</v>
      </c>
      <c r="F200" s="56">
        <v>1077.89</v>
      </c>
      <c r="G200" s="58">
        <f>E200*F200</f>
        <v>627331.98</v>
      </c>
      <c r="H200" s="73" t="s">
        <v>631</v>
      </c>
    </row>
    <row r="201" s="39" customFormat="1" ht="18.75" customHeight="1" spans="1:8">
      <c r="A201" s="55" t="s">
        <v>79</v>
      </c>
      <c r="B201" s="56" t="s">
        <v>582</v>
      </c>
      <c r="C201" s="57" t="s">
        <v>586</v>
      </c>
      <c r="D201" s="56" t="s">
        <v>154</v>
      </c>
      <c r="E201" s="56">
        <v>376</v>
      </c>
      <c r="F201" s="56">
        <v>331.37</v>
      </c>
      <c r="G201" s="64">
        <f t="shared" ref="G201:G242" si="8">E201*F201</f>
        <v>124595.12</v>
      </c>
      <c r="H201" s="59" t="s">
        <v>584</v>
      </c>
    </row>
    <row r="202" s="39" customFormat="1" ht="18.75" customHeight="1" spans="1:8">
      <c r="A202" s="55" t="s">
        <v>81</v>
      </c>
      <c r="B202" s="56" t="s">
        <v>582</v>
      </c>
      <c r="C202" s="57" t="s">
        <v>587</v>
      </c>
      <c r="D202" s="56" t="s">
        <v>154</v>
      </c>
      <c r="E202" s="56">
        <v>1138</v>
      </c>
      <c r="F202" s="56">
        <v>228.63</v>
      </c>
      <c r="G202" s="64">
        <f t="shared" si="8"/>
        <v>260180.94</v>
      </c>
      <c r="H202" s="59" t="s">
        <v>584</v>
      </c>
    </row>
    <row r="203" s="39" customFormat="1" ht="18.75" customHeight="1" spans="1:8">
      <c r="A203" s="55" t="s">
        <v>85</v>
      </c>
      <c r="B203" s="56" t="s">
        <v>582</v>
      </c>
      <c r="C203" s="57" t="s">
        <v>588</v>
      </c>
      <c r="D203" s="56" t="s">
        <v>154</v>
      </c>
      <c r="E203" s="56">
        <v>848</v>
      </c>
      <c r="F203" s="56">
        <v>178.23</v>
      </c>
      <c r="G203" s="64">
        <f t="shared" si="8"/>
        <v>151139.04</v>
      </c>
      <c r="H203" s="59" t="s">
        <v>584</v>
      </c>
    </row>
    <row r="204" s="39" customFormat="1" ht="18.75" customHeight="1" spans="1:10">
      <c r="A204" s="55" t="s">
        <v>87</v>
      </c>
      <c r="B204" s="56" t="s">
        <v>582</v>
      </c>
      <c r="C204" s="57" t="s">
        <v>589</v>
      </c>
      <c r="D204" s="56" t="s">
        <v>154</v>
      </c>
      <c r="E204" s="56">
        <v>2164</v>
      </c>
      <c r="F204" s="56">
        <v>134.75</v>
      </c>
      <c r="G204" s="64">
        <f t="shared" si="8"/>
        <v>291599</v>
      </c>
      <c r="H204" s="59" t="s">
        <v>584</v>
      </c>
      <c r="J204" s="39" t="s">
        <v>685</v>
      </c>
    </row>
    <row r="205" s="39" customFormat="1" ht="18.75" customHeight="1" spans="1:10">
      <c r="A205" s="55" t="s">
        <v>89</v>
      </c>
      <c r="B205" s="56" t="s">
        <v>591</v>
      </c>
      <c r="C205" s="57" t="s">
        <v>592</v>
      </c>
      <c r="D205" s="56" t="s">
        <v>168</v>
      </c>
      <c r="E205" s="56">
        <v>6</v>
      </c>
      <c r="F205" s="56">
        <f>F187</f>
        <v>6497.23</v>
      </c>
      <c r="G205" s="64">
        <f t="shared" si="8"/>
        <v>38983.38</v>
      </c>
      <c r="H205" s="59"/>
      <c r="J205" s="70" t="s">
        <v>640</v>
      </c>
    </row>
    <row r="206" s="39" customFormat="1" ht="18.75" customHeight="1" spans="1:10">
      <c r="A206" s="55" t="s">
        <v>94</v>
      </c>
      <c r="B206" s="56" t="s">
        <v>591</v>
      </c>
      <c r="C206" s="57" t="s">
        <v>593</v>
      </c>
      <c r="D206" s="60" t="s">
        <v>168</v>
      </c>
      <c r="E206" s="56">
        <v>15</v>
      </c>
      <c r="F206" s="56">
        <f>F188</f>
        <v>8858.06</v>
      </c>
      <c r="G206" s="64">
        <f t="shared" si="8"/>
        <v>132870.9</v>
      </c>
      <c r="H206" s="59"/>
      <c r="J206" s="70" t="s">
        <v>594</v>
      </c>
    </row>
    <row r="207" s="39" customFormat="1" ht="18.75" customHeight="1" spans="1:12">
      <c r="A207" s="55" t="s">
        <v>109</v>
      </c>
      <c r="B207" s="56" t="s">
        <v>595</v>
      </c>
      <c r="C207" s="57" t="s">
        <v>644</v>
      </c>
      <c r="D207" s="60" t="s">
        <v>596</v>
      </c>
      <c r="E207" s="56">
        <v>2</v>
      </c>
      <c r="F207" s="56">
        <v>4129.5</v>
      </c>
      <c r="G207" s="58">
        <f t="shared" si="8"/>
        <v>8259</v>
      </c>
      <c r="H207" s="76" t="s">
        <v>597</v>
      </c>
      <c r="L207" s="72"/>
    </row>
    <row r="208" ht="18.75" customHeight="1" spans="1:8">
      <c r="A208" s="55" t="s">
        <v>99</v>
      </c>
      <c r="B208" s="56" t="s">
        <v>595</v>
      </c>
      <c r="C208" s="57" t="s">
        <v>91</v>
      </c>
      <c r="D208" s="60" t="s">
        <v>596</v>
      </c>
      <c r="E208" s="56">
        <v>6</v>
      </c>
      <c r="F208" s="56">
        <v>1794.64</v>
      </c>
      <c r="G208" s="64">
        <f t="shared" si="8"/>
        <v>10767.84</v>
      </c>
      <c r="H208" s="59" t="s">
        <v>597</v>
      </c>
    </row>
    <row r="209" ht="18.75" customHeight="1" spans="1:8">
      <c r="A209" s="55" t="s">
        <v>102</v>
      </c>
      <c r="B209" s="56" t="s">
        <v>595</v>
      </c>
      <c r="C209" s="57" t="s">
        <v>598</v>
      </c>
      <c r="D209" s="60" t="s">
        <v>596</v>
      </c>
      <c r="E209" s="56">
        <v>30</v>
      </c>
      <c r="F209" s="56">
        <v>1595.13</v>
      </c>
      <c r="G209" s="64">
        <f t="shared" si="8"/>
        <v>47853.9</v>
      </c>
      <c r="H209" s="59" t="s">
        <v>597</v>
      </c>
    </row>
    <row r="210" ht="18.75" customHeight="1" spans="1:8">
      <c r="A210" s="55" t="s">
        <v>104</v>
      </c>
      <c r="B210" s="56" t="s">
        <v>595</v>
      </c>
      <c r="C210" s="57" t="s">
        <v>101</v>
      </c>
      <c r="D210" s="60" t="s">
        <v>596</v>
      </c>
      <c r="E210" s="56">
        <v>28</v>
      </c>
      <c r="F210" s="56">
        <v>1339.64</v>
      </c>
      <c r="G210" s="64">
        <f t="shared" si="8"/>
        <v>37509.92</v>
      </c>
      <c r="H210" s="59" t="s">
        <v>597</v>
      </c>
    </row>
    <row r="211" ht="18.75" customHeight="1" spans="1:8">
      <c r="A211" s="55" t="s">
        <v>122</v>
      </c>
      <c r="B211" s="56" t="s">
        <v>599</v>
      </c>
      <c r="C211" s="57" t="s">
        <v>644</v>
      </c>
      <c r="D211" s="60" t="s">
        <v>596</v>
      </c>
      <c r="E211" s="56">
        <v>2</v>
      </c>
      <c r="F211" s="56">
        <v>9635.11</v>
      </c>
      <c r="G211" s="58">
        <f t="shared" si="8"/>
        <v>19270.22</v>
      </c>
      <c r="H211" s="73"/>
    </row>
    <row r="212" ht="18.75" customHeight="1" spans="1:8">
      <c r="A212" s="55" t="s">
        <v>109</v>
      </c>
      <c r="B212" s="56" t="s">
        <v>599</v>
      </c>
      <c r="C212" s="57" t="s">
        <v>91</v>
      </c>
      <c r="D212" s="60" t="s">
        <v>596</v>
      </c>
      <c r="E212" s="56">
        <v>3</v>
      </c>
      <c r="F212" s="56">
        <v>3610.47</v>
      </c>
      <c r="G212" s="64">
        <f t="shared" si="8"/>
        <v>10831.41</v>
      </c>
      <c r="H212" s="59"/>
    </row>
    <row r="213" ht="18.75" customHeight="1" spans="1:8">
      <c r="A213" s="55" t="s">
        <v>111</v>
      </c>
      <c r="B213" s="56" t="s">
        <v>599</v>
      </c>
      <c r="C213" s="57" t="s">
        <v>598</v>
      </c>
      <c r="D213" s="60" t="s">
        <v>596</v>
      </c>
      <c r="E213" s="56">
        <v>9</v>
      </c>
      <c r="F213" s="56">
        <v>2584.62</v>
      </c>
      <c r="G213" s="64">
        <f t="shared" si="8"/>
        <v>23261.58</v>
      </c>
      <c r="H213" s="59"/>
    </row>
    <row r="214" ht="18.75" customHeight="1" spans="1:8">
      <c r="A214" s="55" t="s">
        <v>114</v>
      </c>
      <c r="B214" s="56" t="s">
        <v>599</v>
      </c>
      <c r="C214" s="57" t="s">
        <v>101</v>
      </c>
      <c r="D214" s="60" t="s">
        <v>596</v>
      </c>
      <c r="E214" s="56">
        <v>7</v>
      </c>
      <c r="F214" s="56">
        <v>1846.21</v>
      </c>
      <c r="G214" s="64">
        <f t="shared" si="8"/>
        <v>12923.47</v>
      </c>
      <c r="H214" s="59"/>
    </row>
    <row r="215" ht="18.75" customHeight="1" spans="1:8">
      <c r="A215" s="55" t="s">
        <v>116</v>
      </c>
      <c r="B215" s="61" t="s">
        <v>600</v>
      </c>
      <c r="C215" s="57" t="s">
        <v>632</v>
      </c>
      <c r="D215" s="60" t="s">
        <v>93</v>
      </c>
      <c r="E215" s="61">
        <v>4</v>
      </c>
      <c r="F215" s="61">
        <v>2025</v>
      </c>
      <c r="G215" s="64">
        <f t="shared" si="8"/>
        <v>8100</v>
      </c>
      <c r="H215" s="59"/>
    </row>
    <row r="216" ht="18.75" customHeight="1" spans="1:8">
      <c r="A216" s="55" t="s">
        <v>118</v>
      </c>
      <c r="B216" s="61" t="s">
        <v>600</v>
      </c>
      <c r="C216" s="57" t="s">
        <v>586</v>
      </c>
      <c r="D216" s="60" t="s">
        <v>93</v>
      </c>
      <c r="E216" s="61">
        <v>6</v>
      </c>
      <c r="F216" s="61">
        <v>374.22</v>
      </c>
      <c r="G216" s="64">
        <f t="shared" si="8"/>
        <v>2245.32</v>
      </c>
      <c r="H216" s="59"/>
    </row>
    <row r="217" ht="18.75" customHeight="1" spans="1:8">
      <c r="A217" s="55" t="s">
        <v>120</v>
      </c>
      <c r="B217" s="61" t="s">
        <v>600</v>
      </c>
      <c r="C217" s="57" t="s">
        <v>587</v>
      </c>
      <c r="D217" s="60" t="s">
        <v>93</v>
      </c>
      <c r="E217" s="61">
        <v>20</v>
      </c>
      <c r="F217" s="61">
        <v>327.24</v>
      </c>
      <c r="G217" s="64">
        <f t="shared" si="8"/>
        <v>6544.8</v>
      </c>
      <c r="H217" s="59"/>
    </row>
    <row r="218" ht="18.75" customHeight="1" spans="1:8">
      <c r="A218" s="55" t="s">
        <v>122</v>
      </c>
      <c r="B218" s="61" t="s">
        <v>600</v>
      </c>
      <c r="C218" s="57" t="s">
        <v>588</v>
      </c>
      <c r="D218" s="60" t="s">
        <v>93</v>
      </c>
      <c r="E218" s="61">
        <v>8</v>
      </c>
      <c r="F218" s="61">
        <v>191.16</v>
      </c>
      <c r="G218" s="64">
        <f t="shared" si="8"/>
        <v>1529.28</v>
      </c>
      <c r="H218" s="59"/>
    </row>
    <row r="219" ht="18.75" customHeight="1" spans="1:8">
      <c r="A219" s="55" t="s">
        <v>124</v>
      </c>
      <c r="B219" s="61" t="s">
        <v>600</v>
      </c>
      <c r="C219" s="57" t="s">
        <v>589</v>
      </c>
      <c r="D219" s="60" t="s">
        <v>93</v>
      </c>
      <c r="E219" s="61">
        <v>32</v>
      </c>
      <c r="F219" s="61">
        <v>126.36</v>
      </c>
      <c r="G219" s="64">
        <f t="shared" si="8"/>
        <v>4043.52</v>
      </c>
      <c r="H219" s="59"/>
    </row>
    <row r="220" ht="18.75" customHeight="1" spans="1:8">
      <c r="A220" s="55" t="s">
        <v>125</v>
      </c>
      <c r="B220" s="61" t="s">
        <v>655</v>
      </c>
      <c r="C220" s="57" t="s">
        <v>587</v>
      </c>
      <c r="D220" s="60" t="s">
        <v>93</v>
      </c>
      <c r="E220" s="61">
        <v>2</v>
      </c>
      <c r="F220" s="61">
        <v>255.96</v>
      </c>
      <c r="G220" s="64">
        <f t="shared" si="8"/>
        <v>511.92</v>
      </c>
      <c r="H220" s="59"/>
    </row>
    <row r="221" ht="18.75" customHeight="1" spans="1:8">
      <c r="A221" s="55" t="s">
        <v>128</v>
      </c>
      <c r="B221" s="61" t="s">
        <v>601</v>
      </c>
      <c r="C221" s="57" t="s">
        <v>686</v>
      </c>
      <c r="D221" s="60" t="s">
        <v>93</v>
      </c>
      <c r="E221" s="61">
        <v>2</v>
      </c>
      <c r="F221" s="61">
        <v>1130.76</v>
      </c>
      <c r="G221" s="64">
        <f t="shared" si="8"/>
        <v>2261.52</v>
      </c>
      <c r="H221" s="59"/>
    </row>
    <row r="222" ht="18.75" customHeight="1" spans="1:8">
      <c r="A222" s="55" t="s">
        <v>130</v>
      </c>
      <c r="B222" s="61" t="s">
        <v>601</v>
      </c>
      <c r="C222" s="57" t="s">
        <v>687</v>
      </c>
      <c r="D222" s="60" t="s">
        <v>93</v>
      </c>
      <c r="E222" s="61">
        <v>6</v>
      </c>
      <c r="F222" s="61">
        <v>1130.76</v>
      </c>
      <c r="G222" s="64">
        <f t="shared" si="8"/>
        <v>6784.56</v>
      </c>
      <c r="H222" s="59"/>
    </row>
    <row r="223" ht="18.75" customHeight="1" spans="1:8">
      <c r="A223" s="55" t="s">
        <v>132</v>
      </c>
      <c r="B223" s="61" t="s">
        <v>601</v>
      </c>
      <c r="C223" s="57" t="s">
        <v>688</v>
      </c>
      <c r="D223" s="60" t="s">
        <v>93</v>
      </c>
      <c r="E223" s="61">
        <v>8</v>
      </c>
      <c r="F223" s="61">
        <v>1130.76</v>
      </c>
      <c r="G223" s="64">
        <f t="shared" si="8"/>
        <v>9046.08</v>
      </c>
      <c r="H223" s="59"/>
    </row>
    <row r="224" ht="18.75" customHeight="1" spans="1:8">
      <c r="A224" s="55" t="s">
        <v>134</v>
      </c>
      <c r="B224" s="61" t="s">
        <v>601</v>
      </c>
      <c r="C224" s="57" t="s">
        <v>606</v>
      </c>
      <c r="D224" s="60" t="s">
        <v>93</v>
      </c>
      <c r="E224" s="61">
        <v>4</v>
      </c>
      <c r="F224" s="61">
        <v>584.82</v>
      </c>
      <c r="G224" s="64">
        <f t="shared" si="8"/>
        <v>2339.28</v>
      </c>
      <c r="H224" s="59"/>
    </row>
    <row r="225" ht="18.75" customHeight="1" spans="1:8">
      <c r="A225" s="55" t="s">
        <v>135</v>
      </c>
      <c r="B225" s="61" t="s">
        <v>601</v>
      </c>
      <c r="C225" s="57" t="s">
        <v>689</v>
      </c>
      <c r="D225" s="60" t="s">
        <v>93</v>
      </c>
      <c r="E225" s="61">
        <v>4</v>
      </c>
      <c r="F225" s="61">
        <v>584.82</v>
      </c>
      <c r="G225" s="64">
        <f t="shared" si="8"/>
        <v>2339.28</v>
      </c>
      <c r="H225" s="59"/>
    </row>
    <row r="226" ht="18.75" customHeight="1" spans="1:8">
      <c r="A226" s="55" t="s">
        <v>136</v>
      </c>
      <c r="B226" s="61" t="s">
        <v>601</v>
      </c>
      <c r="C226" s="57" t="s">
        <v>690</v>
      </c>
      <c r="D226" s="60" t="s">
        <v>93</v>
      </c>
      <c r="E226" s="61">
        <v>6</v>
      </c>
      <c r="F226" s="61">
        <v>584.82</v>
      </c>
      <c r="G226" s="64">
        <f t="shared" si="8"/>
        <v>3508.92</v>
      </c>
      <c r="H226" s="59"/>
    </row>
    <row r="227" ht="18.75" customHeight="1" spans="1:8">
      <c r="A227" s="55" t="s">
        <v>139</v>
      </c>
      <c r="B227" s="61" t="s">
        <v>601</v>
      </c>
      <c r="C227" s="57" t="s">
        <v>691</v>
      </c>
      <c r="D227" s="60" t="s">
        <v>93</v>
      </c>
      <c r="E227" s="61">
        <v>10</v>
      </c>
      <c r="F227" s="61">
        <v>453.6</v>
      </c>
      <c r="G227" s="64">
        <f t="shared" si="8"/>
        <v>4536</v>
      </c>
      <c r="H227" s="59"/>
    </row>
    <row r="228" ht="18.75" customHeight="1" spans="1:8">
      <c r="A228" s="55" t="s">
        <v>140</v>
      </c>
      <c r="B228" s="61" t="s">
        <v>601</v>
      </c>
      <c r="C228" s="57" t="s">
        <v>607</v>
      </c>
      <c r="D228" s="60" t="s">
        <v>93</v>
      </c>
      <c r="E228" s="61">
        <v>40</v>
      </c>
      <c r="F228" s="61">
        <v>453.6</v>
      </c>
      <c r="G228" s="64">
        <f t="shared" si="8"/>
        <v>18144</v>
      </c>
      <c r="H228" s="59"/>
    </row>
    <row r="229" ht="18.75" customHeight="1" spans="1:8">
      <c r="A229" s="55" t="s">
        <v>142</v>
      </c>
      <c r="B229" s="61" t="s">
        <v>601</v>
      </c>
      <c r="C229" s="57" t="s">
        <v>608</v>
      </c>
      <c r="D229" s="60" t="s">
        <v>93</v>
      </c>
      <c r="E229" s="61">
        <v>32</v>
      </c>
      <c r="F229" s="61">
        <v>288.36</v>
      </c>
      <c r="G229" s="64">
        <f t="shared" si="8"/>
        <v>9227.52</v>
      </c>
      <c r="H229" s="59"/>
    </row>
    <row r="230" ht="18.75" customHeight="1" spans="1:8">
      <c r="A230" s="55" t="s">
        <v>144</v>
      </c>
      <c r="B230" s="61" t="s">
        <v>609</v>
      </c>
      <c r="C230" s="57" t="s">
        <v>606</v>
      </c>
      <c r="D230" s="60" t="s">
        <v>93</v>
      </c>
      <c r="E230" s="61">
        <v>6</v>
      </c>
      <c r="F230" s="61">
        <v>267.3</v>
      </c>
      <c r="G230" s="64">
        <f t="shared" si="8"/>
        <v>1603.8</v>
      </c>
      <c r="H230" s="59"/>
    </row>
    <row r="231" ht="18.75" customHeight="1" spans="1:8">
      <c r="A231" s="55" t="s">
        <v>146</v>
      </c>
      <c r="B231" s="61" t="s">
        <v>609</v>
      </c>
      <c r="C231" s="57" t="s">
        <v>691</v>
      </c>
      <c r="D231" s="60" t="s">
        <v>93</v>
      </c>
      <c r="E231" s="61">
        <v>8</v>
      </c>
      <c r="F231" s="61">
        <v>215.46</v>
      </c>
      <c r="G231" s="64">
        <f t="shared" si="8"/>
        <v>1723.68</v>
      </c>
      <c r="H231" s="59"/>
    </row>
    <row r="232" ht="18.75" customHeight="1" spans="1:8">
      <c r="A232" s="55" t="s">
        <v>149</v>
      </c>
      <c r="B232" s="61" t="s">
        <v>609</v>
      </c>
      <c r="C232" s="57" t="s">
        <v>607</v>
      </c>
      <c r="D232" s="60" t="s">
        <v>93</v>
      </c>
      <c r="E232" s="61">
        <v>10</v>
      </c>
      <c r="F232" s="61">
        <v>215.46</v>
      </c>
      <c r="G232" s="64">
        <f t="shared" si="8"/>
        <v>2154.6</v>
      </c>
      <c r="H232" s="59"/>
    </row>
    <row r="233" ht="18.75" customHeight="1" spans="1:8">
      <c r="A233" s="55" t="s">
        <v>151</v>
      </c>
      <c r="B233" s="61" t="s">
        <v>609</v>
      </c>
      <c r="C233" s="57" t="s">
        <v>608</v>
      </c>
      <c r="D233" s="60" t="s">
        <v>93</v>
      </c>
      <c r="E233" s="61">
        <v>18</v>
      </c>
      <c r="F233" s="61">
        <v>189.54</v>
      </c>
      <c r="G233" s="64">
        <f t="shared" si="8"/>
        <v>3411.72</v>
      </c>
      <c r="H233" s="59"/>
    </row>
    <row r="234" ht="18.75" customHeight="1" spans="1:10">
      <c r="A234" s="55" t="s">
        <v>155</v>
      </c>
      <c r="B234" s="61" t="s">
        <v>611</v>
      </c>
      <c r="C234" s="57" t="s">
        <v>612</v>
      </c>
      <c r="D234" s="60" t="s">
        <v>596</v>
      </c>
      <c r="E234" s="61">
        <v>112</v>
      </c>
      <c r="F234" s="61">
        <v>462.73</v>
      </c>
      <c r="G234" s="64">
        <f t="shared" si="8"/>
        <v>51825.76</v>
      </c>
      <c r="H234" s="59"/>
      <c r="J234" s="41" t="s">
        <v>613</v>
      </c>
    </row>
    <row r="235" ht="18.75" customHeight="1" spans="1:10">
      <c r="A235" s="55" t="s">
        <v>159</v>
      </c>
      <c r="B235" s="61" t="s">
        <v>614</v>
      </c>
      <c r="C235" s="57" t="s">
        <v>615</v>
      </c>
      <c r="D235" s="60" t="s">
        <v>596</v>
      </c>
      <c r="E235" s="61">
        <v>112</v>
      </c>
      <c r="F235" s="61">
        <v>987.56</v>
      </c>
      <c r="G235" s="64">
        <f t="shared" si="8"/>
        <v>110606.72</v>
      </c>
      <c r="H235" s="59"/>
      <c r="J235" s="41" t="s">
        <v>613</v>
      </c>
    </row>
    <row r="236" ht="18.75" customHeight="1" spans="1:10">
      <c r="A236" s="55" t="s">
        <v>161</v>
      </c>
      <c r="B236" s="61" t="s">
        <v>616</v>
      </c>
      <c r="C236" s="57" t="s">
        <v>103</v>
      </c>
      <c r="D236" s="56" t="s">
        <v>154</v>
      </c>
      <c r="E236" s="61">
        <v>1120</v>
      </c>
      <c r="F236" s="61">
        <v>76.2</v>
      </c>
      <c r="G236" s="64">
        <f t="shared" si="8"/>
        <v>85344</v>
      </c>
      <c r="H236" s="59"/>
      <c r="J236" s="41" t="s">
        <v>617</v>
      </c>
    </row>
    <row r="237" ht="18.75" customHeight="1" spans="1:10">
      <c r="A237" s="55" t="s">
        <v>162</v>
      </c>
      <c r="B237" s="61" t="s">
        <v>616</v>
      </c>
      <c r="C237" s="57" t="s">
        <v>235</v>
      </c>
      <c r="D237" s="56" t="s">
        <v>154</v>
      </c>
      <c r="E237" s="61">
        <v>672</v>
      </c>
      <c r="F237" s="61">
        <v>50.69</v>
      </c>
      <c r="G237" s="64">
        <f t="shared" si="8"/>
        <v>34063.68</v>
      </c>
      <c r="H237" s="59"/>
      <c r="J237" s="41" t="s">
        <v>618</v>
      </c>
    </row>
    <row r="238" ht="18.75" customHeight="1" spans="1:8">
      <c r="A238" s="55" t="s">
        <v>163</v>
      </c>
      <c r="B238" s="61" t="s">
        <v>619</v>
      </c>
      <c r="C238" s="57" t="s">
        <v>620</v>
      </c>
      <c r="D238" s="56" t="s">
        <v>154</v>
      </c>
      <c r="E238" s="61">
        <v>1020</v>
      </c>
      <c r="F238" s="61">
        <v>35.75</v>
      </c>
      <c r="G238" s="64">
        <f t="shared" si="8"/>
        <v>36465</v>
      </c>
      <c r="H238" s="59" t="s">
        <v>621</v>
      </c>
    </row>
    <row r="239" ht="18.75" customHeight="1" spans="1:8">
      <c r="A239" s="55" t="s">
        <v>166</v>
      </c>
      <c r="B239" s="61" t="s">
        <v>622</v>
      </c>
      <c r="C239" s="57" t="s">
        <v>623</v>
      </c>
      <c r="D239" s="60" t="s">
        <v>596</v>
      </c>
      <c r="E239" s="61">
        <v>51</v>
      </c>
      <c r="F239" s="61">
        <v>173.95</v>
      </c>
      <c r="G239" s="64">
        <f t="shared" si="8"/>
        <v>8871.45</v>
      </c>
      <c r="H239" s="59" t="s">
        <v>621</v>
      </c>
    </row>
    <row r="240" ht="18.75" customHeight="1" spans="1:8">
      <c r="A240" s="55" t="s">
        <v>169</v>
      </c>
      <c r="B240" s="61" t="s">
        <v>624</v>
      </c>
      <c r="C240" s="57" t="s">
        <v>623</v>
      </c>
      <c r="D240" s="60" t="s">
        <v>596</v>
      </c>
      <c r="E240" s="61">
        <v>102</v>
      </c>
      <c r="F240" s="61">
        <v>206.98</v>
      </c>
      <c r="G240" s="64">
        <f t="shared" si="8"/>
        <v>21111.96</v>
      </c>
      <c r="H240" s="59" t="s">
        <v>621</v>
      </c>
    </row>
    <row r="241" ht="18.75" customHeight="1" spans="1:8">
      <c r="A241" s="55" t="s">
        <v>175</v>
      </c>
      <c r="B241" s="61" t="s">
        <v>595</v>
      </c>
      <c r="C241" s="57" t="s">
        <v>623</v>
      </c>
      <c r="D241" s="60" t="s">
        <v>596</v>
      </c>
      <c r="E241" s="61">
        <v>102</v>
      </c>
      <c r="F241" s="61">
        <v>147.02</v>
      </c>
      <c r="G241" s="64">
        <f t="shared" si="8"/>
        <v>14996.04</v>
      </c>
      <c r="H241" s="59" t="s">
        <v>621</v>
      </c>
    </row>
    <row r="242" ht="18.75" customHeight="1" spans="1:8">
      <c r="A242" s="55" t="s">
        <v>178</v>
      </c>
      <c r="B242" s="61" t="s">
        <v>625</v>
      </c>
      <c r="C242" s="57" t="s">
        <v>626</v>
      </c>
      <c r="D242" s="60" t="s">
        <v>168</v>
      </c>
      <c r="E242" s="61">
        <v>51</v>
      </c>
      <c r="F242" s="61">
        <f>F48</f>
        <v>1500</v>
      </c>
      <c r="G242" s="64">
        <f t="shared" si="8"/>
        <v>76500</v>
      </c>
      <c r="H242" s="59" t="s">
        <v>621</v>
      </c>
    </row>
    <row r="243" ht="18.75" customHeight="1" spans="1:8">
      <c r="A243" s="55"/>
      <c r="B243" s="63" t="s">
        <v>444</v>
      </c>
      <c r="C243" s="57"/>
      <c r="D243" s="60"/>
      <c r="E243" s="61"/>
      <c r="F243" s="61"/>
      <c r="G243" s="64">
        <f>SUM(G200:G242)</f>
        <v>2327218.11</v>
      </c>
      <c r="H243" s="59"/>
    </row>
    <row r="244" ht="18.75" customHeight="1" spans="1:10">
      <c r="A244" s="55" t="s">
        <v>181</v>
      </c>
      <c r="B244" s="63" t="s">
        <v>191</v>
      </c>
      <c r="C244" s="63" t="s">
        <v>627</v>
      </c>
      <c r="D244" s="63" t="s">
        <v>628</v>
      </c>
      <c r="E244" s="63">
        <f>2859*0.8</f>
        <v>2287.2</v>
      </c>
      <c r="F244" s="36">
        <f>F162</f>
        <v>181.05</v>
      </c>
      <c r="G244" s="64">
        <f>E244*F244</f>
        <v>414097.56</v>
      </c>
      <c r="H244" s="63"/>
      <c r="J244" s="41">
        <f>SUM(E200:E204)</f>
        <v>5108</v>
      </c>
    </row>
    <row r="245" ht="18.75" customHeight="1" spans="1:8">
      <c r="A245" s="55" t="s">
        <v>184</v>
      </c>
      <c r="B245" s="63" t="s">
        <v>191</v>
      </c>
      <c r="C245" s="63" t="s">
        <v>192</v>
      </c>
      <c r="D245" s="63" t="s">
        <v>628</v>
      </c>
      <c r="E245" s="63">
        <f>2300*0.8</f>
        <v>1840</v>
      </c>
      <c r="F245" s="36">
        <f>F194</f>
        <v>104.45</v>
      </c>
      <c r="G245" s="64">
        <f>E245*F245</f>
        <v>192188</v>
      </c>
      <c r="H245" s="63"/>
    </row>
    <row r="246" ht="18.75" customHeight="1" spans="1:10">
      <c r="A246" s="55" t="s">
        <v>186</v>
      </c>
      <c r="B246" s="63" t="s">
        <v>202</v>
      </c>
      <c r="C246" s="63"/>
      <c r="D246" s="63" t="s">
        <v>196</v>
      </c>
      <c r="E246" s="63">
        <v>1117</v>
      </c>
      <c r="F246" s="36">
        <f>F195</f>
        <v>209.24</v>
      </c>
      <c r="G246" s="64">
        <f>E246*F246</f>
        <v>233721.08</v>
      </c>
      <c r="H246" s="63"/>
      <c r="I246" s="71"/>
      <c r="J246" s="41">
        <f>SUM(E194:E200)</f>
        <v>7299.4</v>
      </c>
    </row>
    <row r="247" ht="18.75" customHeight="1" spans="1:9">
      <c r="A247" s="55"/>
      <c r="B247" s="63" t="s">
        <v>444</v>
      </c>
      <c r="C247" s="63"/>
      <c r="D247" s="63"/>
      <c r="E247" s="63"/>
      <c r="F247" s="36"/>
      <c r="G247" s="66">
        <f>SUM(G244:G246)</f>
        <v>840006.64</v>
      </c>
      <c r="H247" s="63"/>
      <c r="I247" s="71"/>
    </row>
    <row r="248" ht="18.75" customHeight="1" spans="1:9">
      <c r="A248" s="55"/>
      <c r="B248" s="63" t="s">
        <v>205</v>
      </c>
      <c r="C248" s="63"/>
      <c r="D248" s="63" t="s">
        <v>206</v>
      </c>
      <c r="E248" s="63"/>
      <c r="F248" s="63"/>
      <c r="G248" s="66">
        <f>SUM(G243,G247)</f>
        <v>3167224.75</v>
      </c>
      <c r="H248" s="63"/>
      <c r="I248" s="71"/>
    </row>
  </sheetData>
  <mergeCells count="2">
    <mergeCell ref="A1:H1"/>
    <mergeCell ref="A2:E2"/>
  </mergeCells>
  <printOptions horizontalCentered="1"/>
  <pageMargins left="0.748031496062992" right="0.748031496062992" top="0.551181102362205" bottom="0.590551181102362" header="0.511811023622047" footer="0.511811023622047"/>
  <pageSetup paperSize="9" orientation="landscape" blackAndWhite="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O435"/>
  <sheetViews>
    <sheetView view="pageBreakPreview" zoomScaleNormal="100" topLeftCell="A288" workbookViewId="0">
      <selection activeCell="C341" sqref="C341"/>
    </sheetView>
  </sheetViews>
  <sheetFormatPr defaultColWidth="9" defaultRowHeight="14.25"/>
  <cols>
    <col min="1" max="1" width="6.125" style="7" customWidth="1"/>
    <col min="2" max="2" width="23" style="7" customWidth="1"/>
    <col min="3" max="3" width="15.75" style="7" customWidth="1"/>
    <col min="4" max="4" width="19.875" style="7" customWidth="1"/>
    <col min="5" max="5" width="6.375" style="7" customWidth="1"/>
    <col min="6" max="6" width="5" style="7" customWidth="1"/>
    <col min="7" max="7" width="9.375" style="7" customWidth="1"/>
    <col min="8" max="8" width="9.5" style="7" customWidth="1"/>
    <col min="9" max="9" width="24" style="7" customWidth="1"/>
    <col min="10" max="11" width="9" style="7"/>
    <col min="12" max="12" width="6.5" style="7" customWidth="1"/>
    <col min="13" max="13" width="20.125" style="7" customWidth="1"/>
    <col min="14" max="14" width="35.625" style="8" customWidth="1"/>
    <col min="15" max="15" width="45.25" style="7" customWidth="1"/>
    <col min="16" max="16384" width="9" style="7"/>
  </cols>
  <sheetData>
    <row r="1" ht="20.25" spans="1:14">
      <c r="A1" s="9" t="s">
        <v>63</v>
      </c>
      <c r="B1" s="9"/>
      <c r="C1" s="9"/>
      <c r="D1" s="9"/>
      <c r="E1" s="9"/>
      <c r="F1" s="9"/>
      <c r="G1" s="9"/>
      <c r="H1" s="9"/>
      <c r="I1" s="9"/>
      <c r="L1" s="21" t="s">
        <v>65</v>
      </c>
      <c r="M1" s="21" t="s">
        <v>576</v>
      </c>
      <c r="N1" s="22" t="s">
        <v>692</v>
      </c>
    </row>
    <row r="2" ht="18.75" customHeight="1" spans="1:15">
      <c r="A2" s="10" t="s">
        <v>693</v>
      </c>
      <c r="B2" s="10"/>
      <c r="C2" s="10"/>
      <c r="D2" s="10"/>
      <c r="E2" s="10"/>
      <c r="F2" s="9"/>
      <c r="G2" s="9"/>
      <c r="H2" s="9"/>
      <c r="I2" s="9"/>
      <c r="K2" s="23"/>
      <c r="L2" s="23"/>
      <c r="M2" s="23"/>
      <c r="N2" s="24"/>
      <c r="O2" s="23"/>
    </row>
    <row r="3" ht="18.75" customHeight="1" spans="1:14">
      <c r="A3" s="11" t="s">
        <v>65</v>
      </c>
      <c r="B3" s="11" t="s">
        <v>576</v>
      </c>
      <c r="C3" s="11" t="s">
        <v>694</v>
      </c>
      <c r="D3" s="11" t="s">
        <v>68</v>
      </c>
      <c r="E3" s="11" t="s">
        <v>12</v>
      </c>
      <c r="F3" s="11" t="s">
        <v>13</v>
      </c>
      <c r="G3" s="12" t="s">
        <v>70</v>
      </c>
      <c r="H3" s="11" t="s">
        <v>695</v>
      </c>
      <c r="I3" s="11" t="s">
        <v>578</v>
      </c>
      <c r="L3" s="21">
        <v>1</v>
      </c>
      <c r="M3" s="25" t="s">
        <v>31</v>
      </c>
      <c r="N3" s="22" t="s">
        <v>696</v>
      </c>
    </row>
    <row r="4" ht="18.75" customHeight="1" spans="1:9">
      <c r="A4" s="10" t="s">
        <v>697</v>
      </c>
      <c r="B4" s="13"/>
      <c r="C4" s="13"/>
      <c r="D4" s="13"/>
      <c r="E4" s="13"/>
      <c r="F4" s="13"/>
      <c r="G4" s="13"/>
      <c r="H4" s="13"/>
      <c r="I4" s="13"/>
    </row>
    <row r="5" ht="18.75" customHeight="1" spans="1:9">
      <c r="A5" s="11" t="s">
        <v>579</v>
      </c>
      <c r="B5" s="11" t="s">
        <v>698</v>
      </c>
      <c r="C5" s="11"/>
      <c r="D5" s="11"/>
      <c r="E5" s="11"/>
      <c r="F5" s="11"/>
      <c r="G5" s="14"/>
      <c r="H5" s="15"/>
      <c r="I5" s="16"/>
    </row>
    <row r="6" ht="18.75" customHeight="1" spans="1:9">
      <c r="A6" s="16">
        <v>1</v>
      </c>
      <c r="B6" s="16" t="s">
        <v>600</v>
      </c>
      <c r="C6" s="16" t="s">
        <v>699</v>
      </c>
      <c r="D6" s="16" t="s">
        <v>76</v>
      </c>
      <c r="E6" s="16" t="s">
        <v>93</v>
      </c>
      <c r="F6" s="16">
        <v>1</v>
      </c>
      <c r="G6" s="17">
        <v>762.4</v>
      </c>
      <c r="H6" s="15">
        <f t="shared" ref="H6:H11" si="0">G6*F6</f>
        <v>762.4</v>
      </c>
      <c r="I6" s="16"/>
    </row>
    <row r="7" s="7" customFormat="1" ht="18.75" customHeight="1" spans="1:14">
      <c r="A7" s="16">
        <v>2</v>
      </c>
      <c r="B7" s="16" t="s">
        <v>700</v>
      </c>
      <c r="C7" s="16" t="s">
        <v>701</v>
      </c>
      <c r="D7" s="16" t="s">
        <v>702</v>
      </c>
      <c r="E7" s="16" t="s">
        <v>168</v>
      </c>
      <c r="F7" s="16">
        <v>2</v>
      </c>
      <c r="G7" s="17">
        <v>12000</v>
      </c>
      <c r="H7" s="15">
        <f t="shared" si="0"/>
        <v>24000</v>
      </c>
      <c r="I7" s="16"/>
      <c r="N7" s="8"/>
    </row>
    <row r="8" ht="18.75" customHeight="1" spans="1:9">
      <c r="A8" s="16">
        <v>3</v>
      </c>
      <c r="B8" s="18" t="s">
        <v>703</v>
      </c>
      <c r="C8" s="16" t="s">
        <v>704</v>
      </c>
      <c r="D8" s="16" t="s">
        <v>705</v>
      </c>
      <c r="E8" s="16" t="s">
        <v>168</v>
      </c>
      <c r="F8" s="16">
        <v>2</v>
      </c>
      <c r="G8" s="19">
        <v>4288.49</v>
      </c>
      <c r="H8" s="15">
        <f t="shared" ref="H8:H17" si="1">F8*G8</f>
        <v>8576.98</v>
      </c>
      <c r="I8" s="16"/>
    </row>
    <row r="9" ht="18.75" customHeight="1" spans="1:9">
      <c r="A9" s="16">
        <v>4</v>
      </c>
      <c r="B9" s="16" t="s">
        <v>706</v>
      </c>
      <c r="C9" s="16" t="s">
        <v>699</v>
      </c>
      <c r="D9" s="16" t="s">
        <v>76</v>
      </c>
      <c r="E9" s="16" t="s">
        <v>93</v>
      </c>
      <c r="F9" s="16">
        <v>2</v>
      </c>
      <c r="G9" s="17">
        <v>185</v>
      </c>
      <c r="H9" s="15">
        <f t="shared" si="1"/>
        <v>370</v>
      </c>
      <c r="I9" s="16"/>
    </row>
    <row r="10" ht="18.75" customHeight="1" spans="1:9">
      <c r="A10" s="16">
        <v>5</v>
      </c>
      <c r="B10" s="16" t="s">
        <v>707</v>
      </c>
      <c r="C10" s="16" t="s">
        <v>91</v>
      </c>
      <c r="D10" s="16" t="s">
        <v>708</v>
      </c>
      <c r="E10" s="16" t="s">
        <v>93</v>
      </c>
      <c r="F10" s="16">
        <v>2</v>
      </c>
      <c r="G10" s="17">
        <v>762.4</v>
      </c>
      <c r="H10" s="15">
        <f t="shared" si="0"/>
        <v>1524.8</v>
      </c>
      <c r="I10" s="16"/>
    </row>
    <row r="11" ht="18.75" customHeight="1" spans="1:9">
      <c r="A11" s="16">
        <v>6</v>
      </c>
      <c r="B11" s="16" t="s">
        <v>709</v>
      </c>
      <c r="C11" s="16" t="s">
        <v>710</v>
      </c>
      <c r="D11" s="16" t="s">
        <v>708</v>
      </c>
      <c r="E11" s="16" t="s">
        <v>93</v>
      </c>
      <c r="F11" s="16">
        <v>4</v>
      </c>
      <c r="G11" s="17">
        <v>412.12</v>
      </c>
      <c r="H11" s="15">
        <f t="shared" si="0"/>
        <v>1648.48</v>
      </c>
      <c r="I11" s="16"/>
    </row>
    <row r="12" ht="18.75" customHeight="1" spans="1:9">
      <c r="A12" s="16">
        <v>7</v>
      </c>
      <c r="B12" s="16" t="s">
        <v>711</v>
      </c>
      <c r="C12" s="16" t="s">
        <v>91</v>
      </c>
      <c r="D12" s="16" t="s">
        <v>712</v>
      </c>
      <c r="E12" s="16" t="s">
        <v>93</v>
      </c>
      <c r="F12" s="16">
        <v>4</v>
      </c>
      <c r="G12" s="17">
        <v>2880</v>
      </c>
      <c r="H12" s="15">
        <f t="shared" si="1"/>
        <v>11520</v>
      </c>
      <c r="I12" s="16"/>
    </row>
    <row r="13" ht="18.75" customHeight="1" spans="1:9">
      <c r="A13" s="16">
        <v>8</v>
      </c>
      <c r="B13" s="16" t="s">
        <v>622</v>
      </c>
      <c r="C13" s="16" t="s">
        <v>91</v>
      </c>
      <c r="D13" s="16" t="s">
        <v>713</v>
      </c>
      <c r="E13" s="16" t="s">
        <v>93</v>
      </c>
      <c r="F13" s="16">
        <v>4</v>
      </c>
      <c r="G13" s="17">
        <v>2661.6</v>
      </c>
      <c r="H13" s="15">
        <f t="shared" si="1"/>
        <v>10646.4</v>
      </c>
      <c r="I13" s="16"/>
    </row>
    <row r="14" ht="18.75" customHeight="1" spans="1:9">
      <c r="A14" s="16">
        <v>9</v>
      </c>
      <c r="B14" s="16" t="s">
        <v>714</v>
      </c>
      <c r="C14" s="16" t="s">
        <v>91</v>
      </c>
      <c r="D14" s="16" t="s">
        <v>712</v>
      </c>
      <c r="E14" s="16" t="s">
        <v>93</v>
      </c>
      <c r="F14" s="16">
        <v>4</v>
      </c>
      <c r="G14" s="17">
        <v>15600</v>
      </c>
      <c r="H14" s="15">
        <f t="shared" si="1"/>
        <v>62400</v>
      </c>
      <c r="I14" s="16" t="s">
        <v>715</v>
      </c>
    </row>
    <row r="15" ht="18.75" customHeight="1" spans="1:9">
      <c r="A15" s="16">
        <v>10</v>
      </c>
      <c r="B15" s="16" t="s">
        <v>716</v>
      </c>
      <c r="C15" s="16" t="s">
        <v>91</v>
      </c>
      <c r="D15" s="16" t="s">
        <v>712</v>
      </c>
      <c r="E15" s="16" t="s">
        <v>93</v>
      </c>
      <c r="F15" s="16">
        <v>4</v>
      </c>
      <c r="G15" s="17">
        <v>3520</v>
      </c>
      <c r="H15" s="15">
        <f t="shared" si="1"/>
        <v>14080</v>
      </c>
      <c r="I15" s="16"/>
    </row>
    <row r="16" ht="18.75" customHeight="1" spans="1:9">
      <c r="A16" s="16">
        <v>11</v>
      </c>
      <c r="B16" s="16" t="s">
        <v>717</v>
      </c>
      <c r="C16" s="16" t="s">
        <v>91</v>
      </c>
      <c r="D16" s="16" t="s">
        <v>718</v>
      </c>
      <c r="E16" s="16" t="s">
        <v>93</v>
      </c>
      <c r="F16" s="16">
        <v>4</v>
      </c>
      <c r="G16" s="17">
        <v>775.82</v>
      </c>
      <c r="H16" s="15">
        <f t="shared" si="1"/>
        <v>3103.28</v>
      </c>
      <c r="I16" s="16"/>
    </row>
    <row r="17" ht="18.75" customHeight="1" spans="1:9">
      <c r="A17" s="16">
        <v>12</v>
      </c>
      <c r="B17" s="16" t="s">
        <v>719</v>
      </c>
      <c r="C17" s="16" t="s">
        <v>91</v>
      </c>
      <c r="D17" s="16" t="s">
        <v>712</v>
      </c>
      <c r="E17" s="16" t="s">
        <v>93</v>
      </c>
      <c r="F17" s="16">
        <v>4</v>
      </c>
      <c r="G17" s="17">
        <v>1446.92</v>
      </c>
      <c r="H17" s="15">
        <f t="shared" si="1"/>
        <v>5787.68</v>
      </c>
      <c r="I17" s="16"/>
    </row>
    <row r="18" ht="18.75" customHeight="1" spans="1:9">
      <c r="A18" s="16">
        <v>13</v>
      </c>
      <c r="B18" s="16" t="s">
        <v>706</v>
      </c>
      <c r="C18" s="16" t="s">
        <v>106</v>
      </c>
      <c r="D18" s="16" t="s">
        <v>76</v>
      </c>
      <c r="E18" s="16" t="s">
        <v>93</v>
      </c>
      <c r="F18" s="16">
        <v>2</v>
      </c>
      <c r="G18" s="17">
        <v>170</v>
      </c>
      <c r="H18" s="15">
        <f>G18*F18</f>
        <v>340</v>
      </c>
      <c r="I18" s="16"/>
    </row>
    <row r="19" ht="18.75" customHeight="1" spans="1:9">
      <c r="A19" s="16">
        <v>14</v>
      </c>
      <c r="B19" s="16" t="s">
        <v>706</v>
      </c>
      <c r="C19" s="16" t="s">
        <v>106</v>
      </c>
      <c r="D19" s="16" t="s">
        <v>720</v>
      </c>
      <c r="E19" s="16" t="s">
        <v>93</v>
      </c>
      <c r="F19" s="16">
        <v>2</v>
      </c>
      <c r="G19" s="17">
        <v>170</v>
      </c>
      <c r="H19" s="15">
        <f>F19*G19</f>
        <v>340</v>
      </c>
      <c r="I19" s="16"/>
    </row>
    <row r="20" ht="18.75" customHeight="1" spans="1:9">
      <c r="A20" s="16">
        <v>15</v>
      </c>
      <c r="B20" s="16" t="s">
        <v>721</v>
      </c>
      <c r="C20" s="16" t="s">
        <v>699</v>
      </c>
      <c r="D20" s="16" t="s">
        <v>76</v>
      </c>
      <c r="E20" s="16" t="s">
        <v>154</v>
      </c>
      <c r="F20" s="16">
        <v>67</v>
      </c>
      <c r="G20" s="17">
        <v>298.51</v>
      </c>
      <c r="H20" s="15">
        <f t="shared" ref="H20:H23" si="2">F20*G20</f>
        <v>20000.17</v>
      </c>
      <c r="I20" s="16"/>
    </row>
    <row r="21" ht="18.75" customHeight="1" spans="1:15">
      <c r="A21" s="16">
        <v>16</v>
      </c>
      <c r="B21" s="16" t="s">
        <v>722</v>
      </c>
      <c r="C21" s="16" t="s">
        <v>723</v>
      </c>
      <c r="D21" s="16" t="s">
        <v>708</v>
      </c>
      <c r="E21" s="16" t="s">
        <v>93</v>
      </c>
      <c r="F21" s="16">
        <v>2</v>
      </c>
      <c r="G21" s="19">
        <v>860</v>
      </c>
      <c r="H21" s="15">
        <f t="shared" si="2"/>
        <v>1720</v>
      </c>
      <c r="I21" s="16"/>
      <c r="L21" s="26" t="s">
        <v>28</v>
      </c>
      <c r="M21" s="25" t="s">
        <v>33</v>
      </c>
      <c r="N21" s="22" t="s">
        <v>724</v>
      </c>
      <c r="O21" s="27" t="s">
        <v>725</v>
      </c>
    </row>
    <row r="22" ht="18.75" customHeight="1" spans="1:9">
      <c r="A22" s="16">
        <v>17</v>
      </c>
      <c r="B22" s="16" t="s">
        <v>722</v>
      </c>
      <c r="C22" s="16" t="s">
        <v>726</v>
      </c>
      <c r="D22" s="16" t="s">
        <v>708</v>
      </c>
      <c r="E22" s="16" t="s">
        <v>93</v>
      </c>
      <c r="F22" s="16">
        <v>2</v>
      </c>
      <c r="G22" s="15">
        <v>860</v>
      </c>
      <c r="H22" s="15">
        <f t="shared" si="2"/>
        <v>1720</v>
      </c>
      <c r="I22" s="16"/>
    </row>
    <row r="23" ht="18.75" customHeight="1" spans="1:9">
      <c r="A23" s="16">
        <v>18</v>
      </c>
      <c r="B23" s="16" t="s">
        <v>727</v>
      </c>
      <c r="C23" s="16" t="s">
        <v>302</v>
      </c>
      <c r="D23" s="16" t="s">
        <v>708</v>
      </c>
      <c r="E23" s="16" t="s">
        <v>93</v>
      </c>
      <c r="F23" s="16">
        <v>2</v>
      </c>
      <c r="G23" s="17">
        <f>327*1.5</f>
        <v>490.5</v>
      </c>
      <c r="H23" s="15">
        <f t="shared" si="2"/>
        <v>981</v>
      </c>
      <c r="I23" s="16"/>
    </row>
    <row r="24" ht="18.75" customHeight="1" spans="1:9">
      <c r="A24" s="16">
        <v>19</v>
      </c>
      <c r="B24" s="16" t="s">
        <v>727</v>
      </c>
      <c r="C24" s="16" t="s">
        <v>302</v>
      </c>
      <c r="D24" s="16" t="s">
        <v>708</v>
      </c>
      <c r="E24" s="16" t="s">
        <v>93</v>
      </c>
      <c r="F24" s="16">
        <v>2</v>
      </c>
      <c r="G24" s="17">
        <f>327*1.5</f>
        <v>490.5</v>
      </c>
      <c r="H24" s="15">
        <f t="shared" ref="H24:H26" si="3">F24*G24</f>
        <v>981</v>
      </c>
      <c r="I24" s="16"/>
    </row>
    <row r="25" ht="18.75" customHeight="1" spans="1:9">
      <c r="A25" s="16">
        <v>20</v>
      </c>
      <c r="B25" s="16" t="s">
        <v>717</v>
      </c>
      <c r="C25" s="16" t="s">
        <v>302</v>
      </c>
      <c r="D25" s="16" t="s">
        <v>718</v>
      </c>
      <c r="E25" s="16" t="s">
        <v>93</v>
      </c>
      <c r="F25" s="16">
        <v>2</v>
      </c>
      <c r="G25" s="19">
        <v>893.94</v>
      </c>
      <c r="H25" s="15">
        <f t="shared" si="3"/>
        <v>1787.88</v>
      </c>
      <c r="I25" s="16"/>
    </row>
    <row r="26" ht="18.75" customHeight="1" spans="1:9">
      <c r="A26" s="16">
        <v>21</v>
      </c>
      <c r="B26" s="16" t="s">
        <v>719</v>
      </c>
      <c r="C26" s="16" t="s">
        <v>302</v>
      </c>
      <c r="D26" s="16" t="s">
        <v>712</v>
      </c>
      <c r="E26" s="16" t="s">
        <v>93</v>
      </c>
      <c r="F26" s="16">
        <v>2</v>
      </c>
      <c r="G26" s="17">
        <v>2215.14</v>
      </c>
      <c r="H26" s="15">
        <f t="shared" si="3"/>
        <v>4430.28</v>
      </c>
      <c r="I26" s="16"/>
    </row>
    <row r="27" ht="18.75" customHeight="1" spans="1:9">
      <c r="A27" s="16"/>
      <c r="B27" s="11" t="s">
        <v>444</v>
      </c>
      <c r="C27" s="11"/>
      <c r="D27" s="11"/>
      <c r="E27" s="11"/>
      <c r="F27" s="11"/>
      <c r="G27" s="20"/>
      <c r="H27" s="14">
        <f>SUM(H6:H26)</f>
        <v>176720.35</v>
      </c>
      <c r="I27" s="11"/>
    </row>
    <row r="28" ht="18.75" customHeight="1" spans="1:9">
      <c r="A28" s="11" t="s">
        <v>629</v>
      </c>
      <c r="B28" s="11" t="s">
        <v>728</v>
      </c>
      <c r="C28" s="11"/>
      <c r="D28" s="11"/>
      <c r="E28" s="11"/>
      <c r="F28" s="11"/>
      <c r="G28" s="20"/>
      <c r="H28" s="14"/>
      <c r="I28" s="11"/>
    </row>
    <row r="29" ht="18.75" customHeight="1" spans="1:9">
      <c r="A29" s="16">
        <v>1</v>
      </c>
      <c r="B29" s="16" t="s">
        <v>721</v>
      </c>
      <c r="C29" s="16" t="s">
        <v>106</v>
      </c>
      <c r="D29" s="16" t="s">
        <v>76</v>
      </c>
      <c r="E29" s="16" t="s">
        <v>154</v>
      </c>
      <c r="F29" s="16">
        <v>256</v>
      </c>
      <c r="G29" s="17">
        <v>170</v>
      </c>
      <c r="H29" s="15">
        <f t="shared" ref="H29:H35" si="4">F29*G29</f>
        <v>43520</v>
      </c>
      <c r="I29" s="16"/>
    </row>
    <row r="30" ht="18.75" customHeight="1" spans="1:9">
      <c r="A30" s="16">
        <v>2</v>
      </c>
      <c r="B30" s="16" t="s">
        <v>721</v>
      </c>
      <c r="C30" s="16" t="s">
        <v>108</v>
      </c>
      <c r="D30" s="16" t="s">
        <v>76</v>
      </c>
      <c r="E30" s="16" t="s">
        <v>154</v>
      </c>
      <c r="F30" s="16">
        <v>812</v>
      </c>
      <c r="G30" s="17">
        <v>60.89</v>
      </c>
      <c r="H30" s="15">
        <f t="shared" si="4"/>
        <v>49442.68</v>
      </c>
      <c r="I30" s="16"/>
    </row>
    <row r="31" ht="18.75" customHeight="1" spans="1:9">
      <c r="A31" s="16">
        <v>3</v>
      </c>
      <c r="B31" s="16" t="s">
        <v>721</v>
      </c>
      <c r="C31" s="16" t="s">
        <v>242</v>
      </c>
      <c r="D31" s="16" t="s">
        <v>76</v>
      </c>
      <c r="E31" s="16" t="s">
        <v>154</v>
      </c>
      <c r="F31" s="16">
        <v>500</v>
      </c>
      <c r="G31" s="17">
        <v>47.31</v>
      </c>
      <c r="H31" s="15">
        <f t="shared" si="4"/>
        <v>23655</v>
      </c>
      <c r="I31" s="16"/>
    </row>
    <row r="32" ht="18.75" customHeight="1" spans="1:9">
      <c r="A32" s="16">
        <v>4</v>
      </c>
      <c r="B32" s="16" t="s">
        <v>601</v>
      </c>
      <c r="C32" s="16" t="s">
        <v>729</v>
      </c>
      <c r="D32" s="16" t="s">
        <v>76</v>
      </c>
      <c r="E32" s="16" t="s">
        <v>93</v>
      </c>
      <c r="F32" s="16">
        <v>1</v>
      </c>
      <c r="G32" s="17">
        <v>420</v>
      </c>
      <c r="H32" s="15">
        <f t="shared" si="4"/>
        <v>420</v>
      </c>
      <c r="I32" s="16"/>
    </row>
    <row r="33" ht="18.75" customHeight="1" spans="1:9">
      <c r="A33" s="16">
        <v>5</v>
      </c>
      <c r="B33" s="16" t="s">
        <v>655</v>
      </c>
      <c r="C33" s="16" t="s">
        <v>106</v>
      </c>
      <c r="D33" s="16" t="s">
        <v>76</v>
      </c>
      <c r="E33" s="16" t="s">
        <v>93</v>
      </c>
      <c r="F33" s="16">
        <v>1</v>
      </c>
      <c r="G33" s="17" t="s">
        <v>730</v>
      </c>
      <c r="H33" s="15">
        <f t="shared" si="4"/>
        <v>207.97</v>
      </c>
      <c r="I33" s="16"/>
    </row>
    <row r="34" ht="18.75" customHeight="1" spans="1:9">
      <c r="A34" s="16">
        <v>6</v>
      </c>
      <c r="B34" s="16" t="s">
        <v>655</v>
      </c>
      <c r="C34" s="16" t="s">
        <v>106</v>
      </c>
      <c r="D34" s="16" t="s">
        <v>76</v>
      </c>
      <c r="E34" s="16" t="s">
        <v>93</v>
      </c>
      <c r="F34" s="16">
        <v>1</v>
      </c>
      <c r="G34" s="17" t="s">
        <v>730</v>
      </c>
      <c r="H34" s="15">
        <f t="shared" si="4"/>
        <v>207.97</v>
      </c>
      <c r="I34" s="16"/>
    </row>
    <row r="35" ht="18.75" customHeight="1" spans="1:9">
      <c r="A35" s="16">
        <v>7</v>
      </c>
      <c r="B35" s="18" t="s">
        <v>703</v>
      </c>
      <c r="C35" s="16" t="s">
        <v>704</v>
      </c>
      <c r="D35" s="16" t="s">
        <v>705</v>
      </c>
      <c r="E35" s="16" t="s">
        <v>168</v>
      </c>
      <c r="F35" s="16">
        <v>7</v>
      </c>
      <c r="G35" s="17">
        <f>G8</f>
        <v>4288.49</v>
      </c>
      <c r="H35" s="15">
        <f t="shared" si="4"/>
        <v>30019.43</v>
      </c>
      <c r="I35" s="16"/>
    </row>
    <row r="36" s="7" customFormat="1" ht="18.75" customHeight="1" spans="1:14">
      <c r="A36" s="16">
        <v>8</v>
      </c>
      <c r="B36" s="16" t="s">
        <v>700</v>
      </c>
      <c r="C36" s="16" t="s">
        <v>731</v>
      </c>
      <c r="D36" s="16" t="s">
        <v>702</v>
      </c>
      <c r="E36" s="16" t="s">
        <v>168</v>
      </c>
      <c r="F36" s="16">
        <v>9</v>
      </c>
      <c r="G36" s="17">
        <v>8000</v>
      </c>
      <c r="H36" s="15">
        <f t="shared" ref="H36:H38" si="5">G36*F36</f>
        <v>72000</v>
      </c>
      <c r="I36" s="16"/>
      <c r="N36" s="8"/>
    </row>
    <row r="37" s="7" customFormat="1" ht="18.75" customHeight="1" spans="1:14">
      <c r="A37" s="16">
        <v>9</v>
      </c>
      <c r="B37" s="16" t="s">
        <v>700</v>
      </c>
      <c r="C37" s="16" t="s">
        <v>732</v>
      </c>
      <c r="D37" s="16" t="s">
        <v>702</v>
      </c>
      <c r="E37" s="16" t="s">
        <v>168</v>
      </c>
      <c r="F37" s="16">
        <v>27</v>
      </c>
      <c r="G37" s="17">
        <v>6500</v>
      </c>
      <c r="H37" s="15">
        <f t="shared" si="5"/>
        <v>175500</v>
      </c>
      <c r="I37" s="16"/>
      <c r="N37" s="8"/>
    </row>
    <row r="38" s="7" customFormat="1" ht="18.75" customHeight="1" spans="1:14">
      <c r="A38" s="16">
        <v>10</v>
      </c>
      <c r="B38" s="16" t="s">
        <v>700</v>
      </c>
      <c r="C38" s="16" t="s">
        <v>733</v>
      </c>
      <c r="D38" s="16" t="s">
        <v>702</v>
      </c>
      <c r="E38" s="16" t="s">
        <v>168</v>
      </c>
      <c r="F38" s="16">
        <v>14</v>
      </c>
      <c r="G38" s="17">
        <v>9000</v>
      </c>
      <c r="H38" s="15">
        <f t="shared" si="5"/>
        <v>126000</v>
      </c>
      <c r="I38" s="16"/>
      <c r="N38" s="8"/>
    </row>
    <row r="39" ht="18.75" customHeight="1" spans="1:9">
      <c r="A39" s="16">
        <v>11</v>
      </c>
      <c r="B39" s="16" t="s">
        <v>722</v>
      </c>
      <c r="C39" s="16" t="s">
        <v>734</v>
      </c>
      <c r="D39" s="16" t="s">
        <v>708</v>
      </c>
      <c r="E39" s="16" t="s">
        <v>93</v>
      </c>
      <c r="F39" s="16">
        <v>5</v>
      </c>
      <c r="G39" s="17">
        <v>420</v>
      </c>
      <c r="H39" s="15">
        <f t="shared" ref="H39:H46" si="6">F39*G39</f>
        <v>2100</v>
      </c>
      <c r="I39" s="16"/>
    </row>
    <row r="40" ht="18.75" customHeight="1" spans="1:9">
      <c r="A40" s="16">
        <v>12</v>
      </c>
      <c r="B40" s="16" t="s">
        <v>706</v>
      </c>
      <c r="C40" s="16" t="s">
        <v>106</v>
      </c>
      <c r="D40" s="16" t="s">
        <v>76</v>
      </c>
      <c r="E40" s="16" t="s">
        <v>93</v>
      </c>
      <c r="F40" s="16">
        <v>11</v>
      </c>
      <c r="G40" s="17">
        <v>170</v>
      </c>
      <c r="H40" s="15">
        <f t="shared" si="6"/>
        <v>1870</v>
      </c>
      <c r="I40" s="16"/>
    </row>
    <row r="41" ht="18.75" customHeight="1" spans="1:9">
      <c r="A41" s="16">
        <v>13</v>
      </c>
      <c r="B41" s="16" t="s">
        <v>706</v>
      </c>
      <c r="C41" s="16" t="s">
        <v>108</v>
      </c>
      <c r="D41" s="16" t="s">
        <v>76</v>
      </c>
      <c r="E41" s="16" t="s">
        <v>93</v>
      </c>
      <c r="F41" s="16">
        <v>6</v>
      </c>
      <c r="G41" s="17">
        <v>90</v>
      </c>
      <c r="H41" s="15">
        <f t="shared" si="6"/>
        <v>540</v>
      </c>
      <c r="I41" s="16"/>
    </row>
    <row r="42" ht="18.75" customHeight="1" spans="1:9">
      <c r="A42" s="16">
        <v>14</v>
      </c>
      <c r="B42" s="16" t="s">
        <v>717</v>
      </c>
      <c r="C42" s="16" t="s">
        <v>91</v>
      </c>
      <c r="D42" s="16" t="s">
        <v>712</v>
      </c>
      <c r="E42" s="16" t="s">
        <v>93</v>
      </c>
      <c r="F42" s="16">
        <v>5</v>
      </c>
      <c r="G42" s="17">
        <v>775.82</v>
      </c>
      <c r="H42" s="15">
        <f t="shared" si="6"/>
        <v>3879.1</v>
      </c>
      <c r="I42" s="16"/>
    </row>
    <row r="43" ht="18.75" customHeight="1" spans="1:9">
      <c r="A43" s="16">
        <v>15</v>
      </c>
      <c r="B43" s="16" t="s">
        <v>717</v>
      </c>
      <c r="C43" s="16" t="s">
        <v>101</v>
      </c>
      <c r="D43" s="16" t="s">
        <v>712</v>
      </c>
      <c r="E43" s="16" t="s">
        <v>93</v>
      </c>
      <c r="F43" s="16">
        <v>6</v>
      </c>
      <c r="G43" s="17">
        <v>584.89</v>
      </c>
      <c r="H43" s="15">
        <f t="shared" si="6"/>
        <v>3509.34</v>
      </c>
      <c r="I43" s="16"/>
    </row>
    <row r="44" ht="18.75" customHeight="1" spans="1:9">
      <c r="A44" s="16">
        <v>16</v>
      </c>
      <c r="B44" s="16" t="s">
        <v>719</v>
      </c>
      <c r="C44" s="16" t="s">
        <v>91</v>
      </c>
      <c r="D44" s="16" t="s">
        <v>712</v>
      </c>
      <c r="E44" s="16" t="s">
        <v>93</v>
      </c>
      <c r="F44" s="16">
        <v>5</v>
      </c>
      <c r="G44" s="19">
        <v>1446.92</v>
      </c>
      <c r="H44" s="15">
        <f t="shared" si="6"/>
        <v>7234.6</v>
      </c>
      <c r="I44" s="16"/>
    </row>
    <row r="45" ht="18.75" customHeight="1" spans="1:9">
      <c r="A45" s="16">
        <v>17</v>
      </c>
      <c r="B45" s="16" t="s">
        <v>719</v>
      </c>
      <c r="C45" s="16" t="s">
        <v>101</v>
      </c>
      <c r="D45" s="16" t="s">
        <v>712</v>
      </c>
      <c r="E45" s="16" t="s">
        <v>93</v>
      </c>
      <c r="F45" s="16">
        <v>6</v>
      </c>
      <c r="G45" s="19">
        <v>822.94</v>
      </c>
      <c r="H45" s="15">
        <f t="shared" si="6"/>
        <v>4937.64</v>
      </c>
      <c r="I45" s="16"/>
    </row>
    <row r="46" ht="18.75" customHeight="1" spans="1:9">
      <c r="A46" s="16">
        <v>18</v>
      </c>
      <c r="B46" s="16" t="s">
        <v>609</v>
      </c>
      <c r="C46" s="16" t="s">
        <v>735</v>
      </c>
      <c r="D46" s="16" t="s">
        <v>708</v>
      </c>
      <c r="E46" s="16" t="s">
        <v>93</v>
      </c>
      <c r="F46" s="16">
        <v>6</v>
      </c>
      <c r="G46" s="17">
        <v>178</v>
      </c>
      <c r="H46" s="15">
        <f t="shared" si="6"/>
        <v>1068</v>
      </c>
      <c r="I46" s="16"/>
    </row>
    <row r="47" ht="18.75" customHeight="1" spans="1:9">
      <c r="A47" s="16">
        <v>19</v>
      </c>
      <c r="B47" s="16" t="s">
        <v>707</v>
      </c>
      <c r="C47" s="16" t="s">
        <v>91</v>
      </c>
      <c r="D47" s="16" t="s">
        <v>708</v>
      </c>
      <c r="E47" s="16" t="s">
        <v>93</v>
      </c>
      <c r="F47" s="16">
        <v>1</v>
      </c>
      <c r="G47" s="19">
        <v>165</v>
      </c>
      <c r="H47" s="15">
        <f>G47*F47</f>
        <v>165</v>
      </c>
      <c r="I47" s="16"/>
    </row>
    <row r="48" ht="18.75" customHeight="1" spans="1:9">
      <c r="A48" s="16">
        <v>20</v>
      </c>
      <c r="B48" s="16" t="s">
        <v>736</v>
      </c>
      <c r="C48" s="16" t="s">
        <v>91</v>
      </c>
      <c r="D48" s="16" t="s">
        <v>708</v>
      </c>
      <c r="E48" s="16" t="s">
        <v>93</v>
      </c>
      <c r="F48" s="16">
        <v>2</v>
      </c>
      <c r="G48" s="17">
        <v>425.84</v>
      </c>
      <c r="H48" s="15">
        <f t="shared" ref="H48:H62" si="7">F48*G48</f>
        <v>851.68</v>
      </c>
      <c r="I48" s="16"/>
    </row>
    <row r="49" ht="18.75" customHeight="1" spans="1:9">
      <c r="A49" s="16">
        <v>21</v>
      </c>
      <c r="B49" s="16" t="s">
        <v>737</v>
      </c>
      <c r="C49" s="16" t="s">
        <v>91</v>
      </c>
      <c r="D49" s="16" t="s">
        <v>738</v>
      </c>
      <c r="E49" s="16" t="s">
        <v>93</v>
      </c>
      <c r="F49" s="16">
        <v>2</v>
      </c>
      <c r="G49" s="17">
        <v>170</v>
      </c>
      <c r="H49" s="15">
        <f t="shared" si="7"/>
        <v>340</v>
      </c>
      <c r="I49" s="16"/>
    </row>
    <row r="50" ht="18.75" customHeight="1" spans="1:9">
      <c r="A50" s="16">
        <v>22</v>
      </c>
      <c r="B50" s="16" t="s">
        <v>601</v>
      </c>
      <c r="C50" s="16" t="s">
        <v>739</v>
      </c>
      <c r="D50" s="16" t="s">
        <v>76</v>
      </c>
      <c r="E50" s="16" t="s">
        <v>93</v>
      </c>
      <c r="F50" s="16">
        <v>5</v>
      </c>
      <c r="G50" s="19">
        <v>160</v>
      </c>
      <c r="H50" s="15">
        <f t="shared" si="7"/>
        <v>800</v>
      </c>
      <c r="I50" s="16"/>
    </row>
    <row r="51" ht="18.75" customHeight="1" spans="1:9">
      <c r="A51" s="16">
        <v>23</v>
      </c>
      <c r="B51" s="16" t="s">
        <v>601</v>
      </c>
      <c r="C51" s="16" t="s">
        <v>740</v>
      </c>
      <c r="D51" s="16" t="s">
        <v>76</v>
      </c>
      <c r="E51" s="16" t="s">
        <v>93</v>
      </c>
      <c r="F51" s="16">
        <v>91</v>
      </c>
      <c r="G51" s="19">
        <v>98.97</v>
      </c>
      <c r="H51" s="15">
        <f t="shared" si="7"/>
        <v>9006.27</v>
      </c>
      <c r="I51" s="16"/>
    </row>
    <row r="52" ht="18.75" customHeight="1" spans="1:9">
      <c r="A52" s="16">
        <v>24</v>
      </c>
      <c r="B52" s="16" t="s">
        <v>711</v>
      </c>
      <c r="C52" s="16" t="s">
        <v>235</v>
      </c>
      <c r="D52" s="16" t="s">
        <v>712</v>
      </c>
      <c r="E52" s="16" t="s">
        <v>93</v>
      </c>
      <c r="F52" s="16">
        <v>96</v>
      </c>
      <c r="G52" s="17">
        <v>720</v>
      </c>
      <c r="H52" s="15">
        <f t="shared" si="7"/>
        <v>69120</v>
      </c>
      <c r="I52" s="16"/>
    </row>
    <row r="53" ht="18.75" customHeight="1" spans="1:9">
      <c r="A53" s="16">
        <v>25</v>
      </c>
      <c r="B53" s="16" t="s">
        <v>741</v>
      </c>
      <c r="C53" s="16" t="s">
        <v>742</v>
      </c>
      <c r="D53" s="16" t="s">
        <v>76</v>
      </c>
      <c r="E53" s="16" t="s">
        <v>93</v>
      </c>
      <c r="F53" s="16">
        <v>96</v>
      </c>
      <c r="G53" s="17">
        <v>83.94</v>
      </c>
      <c r="H53" s="15">
        <f t="shared" si="7"/>
        <v>8058.24</v>
      </c>
      <c r="I53" s="16"/>
    </row>
    <row r="54" ht="18.75" customHeight="1" spans="1:9">
      <c r="A54" s="16">
        <v>26</v>
      </c>
      <c r="B54" s="16" t="s">
        <v>741</v>
      </c>
      <c r="C54" s="16" t="s">
        <v>743</v>
      </c>
      <c r="D54" s="16" t="s">
        <v>76</v>
      </c>
      <c r="E54" s="16" t="s">
        <v>93</v>
      </c>
      <c r="F54" s="16">
        <v>70</v>
      </c>
      <c r="G54" s="17">
        <v>83.94</v>
      </c>
      <c r="H54" s="15">
        <f t="shared" si="7"/>
        <v>5875.8</v>
      </c>
      <c r="I54" s="16"/>
    </row>
    <row r="55" ht="18.75" customHeight="1" spans="1:9">
      <c r="A55" s="16">
        <v>27</v>
      </c>
      <c r="B55" s="16" t="s">
        <v>741</v>
      </c>
      <c r="C55" s="16" t="s">
        <v>744</v>
      </c>
      <c r="D55" s="16" t="s">
        <v>76</v>
      </c>
      <c r="E55" s="16" t="s">
        <v>93</v>
      </c>
      <c r="F55" s="16">
        <v>505</v>
      </c>
      <c r="G55" s="17">
        <v>83.94</v>
      </c>
      <c r="H55" s="15">
        <f t="shared" si="7"/>
        <v>42389.7</v>
      </c>
      <c r="I55" s="16"/>
    </row>
    <row r="56" ht="18.75" customHeight="1" spans="1:9">
      <c r="A56" s="16">
        <v>28</v>
      </c>
      <c r="B56" s="16" t="s">
        <v>711</v>
      </c>
      <c r="C56" s="16" t="s">
        <v>141</v>
      </c>
      <c r="D56" s="16" t="s">
        <v>712</v>
      </c>
      <c r="E56" s="16" t="s">
        <v>93</v>
      </c>
      <c r="F56" s="16">
        <v>70</v>
      </c>
      <c r="G56" s="17">
        <v>180</v>
      </c>
      <c r="H56" s="15">
        <f t="shared" si="7"/>
        <v>12600</v>
      </c>
      <c r="I56" s="16"/>
    </row>
    <row r="57" ht="18.75" customHeight="1" spans="1:9">
      <c r="A57" s="16">
        <v>29</v>
      </c>
      <c r="B57" s="16" t="s">
        <v>711</v>
      </c>
      <c r="C57" s="16" t="s">
        <v>745</v>
      </c>
      <c r="D57" s="16" t="s">
        <v>712</v>
      </c>
      <c r="E57" s="16" t="s">
        <v>93</v>
      </c>
      <c r="F57" s="16">
        <v>505</v>
      </c>
      <c r="G57" s="17">
        <v>120</v>
      </c>
      <c r="H57" s="15">
        <f t="shared" si="7"/>
        <v>60600</v>
      </c>
      <c r="I57" s="16"/>
    </row>
    <row r="58" ht="18.75" customHeight="1" spans="1:9">
      <c r="A58" s="16">
        <v>30</v>
      </c>
      <c r="B58" s="16" t="s">
        <v>746</v>
      </c>
      <c r="C58" s="16" t="s">
        <v>141</v>
      </c>
      <c r="D58" s="16" t="s">
        <v>712</v>
      </c>
      <c r="E58" s="16" t="s">
        <v>93</v>
      </c>
      <c r="F58" s="16">
        <v>70</v>
      </c>
      <c r="G58" s="17">
        <v>466</v>
      </c>
      <c r="H58" s="15">
        <f t="shared" si="7"/>
        <v>32620</v>
      </c>
      <c r="I58" s="16"/>
    </row>
    <row r="59" ht="18.75" customHeight="1" spans="1:9">
      <c r="A59" s="16">
        <v>31</v>
      </c>
      <c r="B59" s="16" t="s">
        <v>746</v>
      </c>
      <c r="C59" s="16" t="s">
        <v>745</v>
      </c>
      <c r="D59" s="16" t="s">
        <v>712</v>
      </c>
      <c r="E59" s="16" t="s">
        <v>93</v>
      </c>
      <c r="F59" s="16">
        <v>505</v>
      </c>
      <c r="G59" s="17">
        <v>346</v>
      </c>
      <c r="H59" s="15">
        <f t="shared" si="7"/>
        <v>174730</v>
      </c>
      <c r="I59" s="16"/>
    </row>
    <row r="60" ht="18.75" customHeight="1" spans="1:9">
      <c r="A60" s="16">
        <v>32</v>
      </c>
      <c r="B60" s="16" t="s">
        <v>747</v>
      </c>
      <c r="C60" s="16" t="s">
        <v>748</v>
      </c>
      <c r="D60" s="16" t="s">
        <v>749</v>
      </c>
      <c r="E60" s="16" t="s">
        <v>93</v>
      </c>
      <c r="F60" s="16">
        <v>70</v>
      </c>
      <c r="G60" s="17">
        <v>150</v>
      </c>
      <c r="H60" s="15">
        <f t="shared" si="7"/>
        <v>10500</v>
      </c>
      <c r="I60" s="16"/>
    </row>
    <row r="61" ht="18.75" customHeight="1" spans="1:9">
      <c r="A61" s="16">
        <v>33</v>
      </c>
      <c r="B61" s="16" t="s">
        <v>747</v>
      </c>
      <c r="C61" s="16" t="s">
        <v>750</v>
      </c>
      <c r="D61" s="16" t="s">
        <v>749</v>
      </c>
      <c r="E61" s="16" t="s">
        <v>93</v>
      </c>
      <c r="F61" s="16">
        <v>505</v>
      </c>
      <c r="G61" s="17">
        <v>65</v>
      </c>
      <c r="H61" s="15">
        <f t="shared" si="7"/>
        <v>32825</v>
      </c>
      <c r="I61" s="16"/>
    </row>
    <row r="62" ht="18.75" customHeight="1" spans="1:9">
      <c r="A62" s="16">
        <v>34</v>
      </c>
      <c r="B62" s="16" t="s">
        <v>751</v>
      </c>
      <c r="C62" s="16"/>
      <c r="D62" s="16"/>
      <c r="E62" s="16" t="s">
        <v>93</v>
      </c>
      <c r="F62" s="16">
        <v>575</v>
      </c>
      <c r="G62" s="17">
        <v>40</v>
      </c>
      <c r="H62" s="15">
        <f t="shared" si="7"/>
        <v>23000</v>
      </c>
      <c r="I62" s="16"/>
    </row>
    <row r="63" ht="18.75" customHeight="1" spans="1:9">
      <c r="A63" s="16"/>
      <c r="B63" s="11" t="s">
        <v>444</v>
      </c>
      <c r="C63" s="16"/>
      <c r="D63" s="16"/>
      <c r="E63" s="16"/>
      <c r="F63" s="16"/>
      <c r="G63" s="16"/>
      <c r="H63" s="14">
        <f>SUM(H29:H62)</f>
        <v>1029593.42</v>
      </c>
      <c r="I63" s="16"/>
    </row>
    <row r="64" ht="18.75" customHeight="1" spans="1:9">
      <c r="A64" s="11" t="s">
        <v>652</v>
      </c>
      <c r="B64" s="11" t="s">
        <v>752</v>
      </c>
      <c r="C64" s="11"/>
      <c r="D64" s="11"/>
      <c r="E64" s="11"/>
      <c r="F64" s="11"/>
      <c r="G64" s="20"/>
      <c r="H64" s="14"/>
      <c r="I64" s="11"/>
    </row>
    <row r="65" ht="18.75" customHeight="1" spans="1:9">
      <c r="A65" s="16">
        <v>1</v>
      </c>
      <c r="B65" s="16" t="s">
        <v>753</v>
      </c>
      <c r="C65" s="16" t="s">
        <v>754</v>
      </c>
      <c r="D65" s="16" t="s">
        <v>76</v>
      </c>
      <c r="E65" s="16" t="s">
        <v>154</v>
      </c>
      <c r="F65" s="16">
        <v>633</v>
      </c>
      <c r="G65" s="19">
        <v>170</v>
      </c>
      <c r="H65" s="15">
        <f t="shared" ref="H65:H80" si="8">F65*G65</f>
        <v>107610</v>
      </c>
      <c r="I65" s="16" t="s">
        <v>755</v>
      </c>
    </row>
    <row r="66" ht="18.75" customHeight="1" spans="1:9">
      <c r="A66" s="16">
        <v>2</v>
      </c>
      <c r="B66" s="16" t="s">
        <v>753</v>
      </c>
      <c r="C66" s="16" t="s">
        <v>756</v>
      </c>
      <c r="D66" s="16" t="s">
        <v>76</v>
      </c>
      <c r="E66" s="16" t="s">
        <v>154</v>
      </c>
      <c r="F66" s="16">
        <v>131</v>
      </c>
      <c r="G66" s="19">
        <v>60.89</v>
      </c>
      <c r="H66" s="15">
        <f t="shared" si="8"/>
        <v>7976.59</v>
      </c>
      <c r="I66" s="16" t="s">
        <v>755</v>
      </c>
    </row>
    <row r="67" ht="18.75" customHeight="1" spans="1:9">
      <c r="A67" s="16">
        <v>3</v>
      </c>
      <c r="B67" s="16" t="s">
        <v>757</v>
      </c>
      <c r="C67" s="16" t="s">
        <v>704</v>
      </c>
      <c r="D67" s="16" t="s">
        <v>705</v>
      </c>
      <c r="E67" s="16" t="s">
        <v>168</v>
      </c>
      <c r="F67" s="16">
        <v>2</v>
      </c>
      <c r="G67" s="19">
        <v>10200</v>
      </c>
      <c r="H67" s="15">
        <f t="shared" si="8"/>
        <v>20400</v>
      </c>
      <c r="I67" s="16"/>
    </row>
    <row r="68" ht="18.75" customHeight="1" spans="1:9">
      <c r="A68" s="16">
        <v>4</v>
      </c>
      <c r="B68" s="16" t="s">
        <v>706</v>
      </c>
      <c r="C68" s="16" t="s">
        <v>108</v>
      </c>
      <c r="D68" s="16" t="s">
        <v>76</v>
      </c>
      <c r="E68" s="16" t="s">
        <v>93</v>
      </c>
      <c r="F68" s="16">
        <v>2</v>
      </c>
      <c r="G68" s="17">
        <v>90</v>
      </c>
      <c r="H68" s="15">
        <f t="shared" si="8"/>
        <v>180</v>
      </c>
      <c r="I68" s="16" t="s">
        <v>755</v>
      </c>
    </row>
    <row r="69" ht="18.75" customHeight="1" spans="1:9">
      <c r="A69" s="16">
        <v>5</v>
      </c>
      <c r="B69" s="16" t="s">
        <v>719</v>
      </c>
      <c r="C69" s="16" t="s">
        <v>101</v>
      </c>
      <c r="D69" s="16" t="s">
        <v>712</v>
      </c>
      <c r="E69" s="16" t="s">
        <v>93</v>
      </c>
      <c r="F69" s="16">
        <v>2</v>
      </c>
      <c r="G69" s="19">
        <v>822.94</v>
      </c>
      <c r="H69" s="15">
        <f t="shared" si="8"/>
        <v>1645.88</v>
      </c>
      <c r="I69" s="16"/>
    </row>
    <row r="70" ht="18.75" customHeight="1" spans="1:9">
      <c r="A70" s="16">
        <v>6</v>
      </c>
      <c r="B70" s="16" t="s">
        <v>736</v>
      </c>
      <c r="C70" s="16" t="s">
        <v>101</v>
      </c>
      <c r="D70" s="16" t="s">
        <v>708</v>
      </c>
      <c r="E70" s="16" t="s">
        <v>93</v>
      </c>
      <c r="F70" s="16">
        <v>2</v>
      </c>
      <c r="G70" s="17">
        <v>320</v>
      </c>
      <c r="H70" s="15">
        <f t="shared" si="8"/>
        <v>640</v>
      </c>
      <c r="I70" s="16"/>
    </row>
    <row r="71" ht="18.75" customHeight="1" spans="1:9">
      <c r="A71" s="16">
        <v>7</v>
      </c>
      <c r="B71" s="16" t="s">
        <v>758</v>
      </c>
      <c r="C71" s="16" t="s">
        <v>759</v>
      </c>
      <c r="D71" s="16" t="s">
        <v>712</v>
      </c>
      <c r="E71" s="16" t="s">
        <v>760</v>
      </c>
      <c r="F71" s="16">
        <v>2</v>
      </c>
      <c r="G71" s="19">
        <v>1545.71</v>
      </c>
      <c r="H71" s="15">
        <f t="shared" si="8"/>
        <v>3091.42</v>
      </c>
      <c r="I71" s="16"/>
    </row>
    <row r="72" ht="18.75" customHeight="1" spans="1:9">
      <c r="A72" s="16">
        <v>8</v>
      </c>
      <c r="B72" s="16" t="s">
        <v>703</v>
      </c>
      <c r="C72" s="16" t="s">
        <v>704</v>
      </c>
      <c r="D72" s="16" t="s">
        <v>705</v>
      </c>
      <c r="E72" s="16" t="s">
        <v>168</v>
      </c>
      <c r="F72" s="16">
        <v>2</v>
      </c>
      <c r="G72" s="19">
        <f>G35</f>
        <v>4288.49</v>
      </c>
      <c r="H72" s="15">
        <f t="shared" si="8"/>
        <v>8576.98</v>
      </c>
      <c r="I72" s="16"/>
    </row>
    <row r="73" ht="18.75" customHeight="1" spans="1:9">
      <c r="A73" s="16">
        <v>9</v>
      </c>
      <c r="B73" s="16" t="s">
        <v>706</v>
      </c>
      <c r="C73" s="16" t="s">
        <v>106</v>
      </c>
      <c r="D73" s="16" t="s">
        <v>76</v>
      </c>
      <c r="E73" s="16" t="s">
        <v>93</v>
      </c>
      <c r="F73" s="16">
        <v>2</v>
      </c>
      <c r="G73" s="17">
        <v>170</v>
      </c>
      <c r="H73" s="15">
        <f t="shared" si="8"/>
        <v>340</v>
      </c>
      <c r="I73" s="16" t="s">
        <v>755</v>
      </c>
    </row>
    <row r="74" ht="18.75" customHeight="1" spans="1:9">
      <c r="A74" s="16">
        <v>10</v>
      </c>
      <c r="B74" s="16" t="s">
        <v>719</v>
      </c>
      <c r="C74" s="16" t="s">
        <v>91</v>
      </c>
      <c r="D74" s="16" t="s">
        <v>712</v>
      </c>
      <c r="E74" s="16" t="s">
        <v>93</v>
      </c>
      <c r="F74" s="16">
        <v>2</v>
      </c>
      <c r="G74" s="19">
        <v>1446.92</v>
      </c>
      <c r="H74" s="15">
        <f t="shared" si="8"/>
        <v>2893.84</v>
      </c>
      <c r="I74" s="16"/>
    </row>
    <row r="75" ht="18.75" customHeight="1" spans="1:9">
      <c r="A75" s="16">
        <v>11</v>
      </c>
      <c r="B75" s="16" t="s">
        <v>717</v>
      </c>
      <c r="C75" s="16" t="s">
        <v>91</v>
      </c>
      <c r="D75" s="16" t="s">
        <v>712</v>
      </c>
      <c r="E75" s="16" t="s">
        <v>93</v>
      </c>
      <c r="F75" s="16">
        <v>2</v>
      </c>
      <c r="G75" s="17">
        <v>775.82</v>
      </c>
      <c r="H75" s="15">
        <f t="shared" si="8"/>
        <v>1551.64</v>
      </c>
      <c r="I75" s="16"/>
    </row>
    <row r="76" ht="18.75" customHeight="1" spans="1:9">
      <c r="A76" s="16">
        <v>12</v>
      </c>
      <c r="B76" s="16" t="s">
        <v>737</v>
      </c>
      <c r="C76" s="16" t="s">
        <v>91</v>
      </c>
      <c r="D76" s="16" t="s">
        <v>738</v>
      </c>
      <c r="E76" s="16" t="s">
        <v>93</v>
      </c>
      <c r="F76" s="16">
        <v>2</v>
      </c>
      <c r="G76" s="17">
        <v>170</v>
      </c>
      <c r="H76" s="15">
        <f t="shared" si="8"/>
        <v>340</v>
      </c>
      <c r="I76" s="16"/>
    </row>
    <row r="77" ht="18.75" customHeight="1" spans="1:9">
      <c r="A77" s="16">
        <v>13</v>
      </c>
      <c r="B77" s="16" t="s">
        <v>601</v>
      </c>
      <c r="C77" s="16" t="s">
        <v>729</v>
      </c>
      <c r="D77" s="16" t="s">
        <v>76</v>
      </c>
      <c r="E77" s="16" t="s">
        <v>93</v>
      </c>
      <c r="F77" s="16">
        <v>8</v>
      </c>
      <c r="G77" s="17">
        <v>420</v>
      </c>
      <c r="H77" s="15">
        <f t="shared" si="8"/>
        <v>3360</v>
      </c>
      <c r="I77" s="16" t="s">
        <v>755</v>
      </c>
    </row>
    <row r="78" ht="18.75" customHeight="1" spans="1:9">
      <c r="A78" s="16">
        <v>14</v>
      </c>
      <c r="B78" s="16" t="s">
        <v>601</v>
      </c>
      <c r="C78" s="16" t="s">
        <v>761</v>
      </c>
      <c r="D78" s="16" t="s">
        <v>76</v>
      </c>
      <c r="E78" s="16" t="s">
        <v>93</v>
      </c>
      <c r="F78" s="16">
        <v>2</v>
      </c>
      <c r="G78" s="17">
        <v>420</v>
      </c>
      <c r="H78" s="15">
        <f t="shared" si="8"/>
        <v>840</v>
      </c>
      <c r="I78" s="16" t="s">
        <v>755</v>
      </c>
    </row>
    <row r="79" ht="18.75" customHeight="1" spans="1:9">
      <c r="A79" s="16">
        <v>15</v>
      </c>
      <c r="B79" s="16" t="s">
        <v>600</v>
      </c>
      <c r="C79" s="16" t="s">
        <v>108</v>
      </c>
      <c r="D79" s="16" t="s">
        <v>76</v>
      </c>
      <c r="E79" s="16" t="s">
        <v>93</v>
      </c>
      <c r="F79" s="16">
        <v>4</v>
      </c>
      <c r="G79" s="19">
        <v>91.72</v>
      </c>
      <c r="H79" s="15">
        <f t="shared" si="8"/>
        <v>366.88</v>
      </c>
      <c r="I79" s="16" t="s">
        <v>755</v>
      </c>
    </row>
    <row r="80" ht="18.75" customHeight="1" spans="1:9">
      <c r="A80" s="16">
        <v>16</v>
      </c>
      <c r="B80" s="16" t="s">
        <v>655</v>
      </c>
      <c r="C80" s="16" t="s">
        <v>108</v>
      </c>
      <c r="D80" s="16" t="s">
        <v>76</v>
      </c>
      <c r="E80" s="16" t="s">
        <v>93</v>
      </c>
      <c r="F80" s="16">
        <v>4</v>
      </c>
      <c r="G80" s="19">
        <v>45</v>
      </c>
      <c r="H80" s="15">
        <f t="shared" si="8"/>
        <v>180</v>
      </c>
      <c r="I80" s="16" t="s">
        <v>755</v>
      </c>
    </row>
    <row r="81" ht="18.75" customHeight="1" spans="1:9">
      <c r="A81" s="16"/>
      <c r="B81" s="11" t="s">
        <v>444</v>
      </c>
      <c r="C81" s="16"/>
      <c r="D81" s="16"/>
      <c r="E81" s="16"/>
      <c r="F81" s="16"/>
      <c r="G81" s="16"/>
      <c r="H81" s="14">
        <f>SUM(H65:H80)</f>
        <v>159993.23</v>
      </c>
      <c r="I81" s="16"/>
    </row>
    <row r="82" ht="18.75" customHeight="1" spans="1:9">
      <c r="A82" s="16" t="s">
        <v>674</v>
      </c>
      <c r="B82" s="11" t="s">
        <v>191</v>
      </c>
      <c r="C82" s="11"/>
      <c r="D82" s="11"/>
      <c r="E82" s="11"/>
      <c r="F82" s="11"/>
      <c r="G82" s="20"/>
      <c r="H82" s="14"/>
      <c r="I82" s="11"/>
    </row>
    <row r="83" ht="18.75" customHeight="1" spans="1:9">
      <c r="A83" s="16">
        <v>1</v>
      </c>
      <c r="B83" s="16" t="s">
        <v>762</v>
      </c>
      <c r="C83" s="16"/>
      <c r="D83" s="16"/>
      <c r="E83" s="16" t="s">
        <v>628</v>
      </c>
      <c r="F83" s="16">
        <v>1902</v>
      </c>
      <c r="G83" s="28">
        <v>104.45</v>
      </c>
      <c r="H83" s="15">
        <f>F83*G83</f>
        <v>198663.9</v>
      </c>
      <c r="I83" s="16"/>
    </row>
    <row r="84" ht="18.75" customHeight="1" spans="1:9">
      <c r="A84" s="16">
        <v>2</v>
      </c>
      <c r="B84" s="16" t="s">
        <v>763</v>
      </c>
      <c r="C84" s="16"/>
      <c r="D84" s="16"/>
      <c r="E84" s="16" t="s">
        <v>628</v>
      </c>
      <c r="F84" s="16">
        <v>71</v>
      </c>
      <c r="G84" s="17">
        <v>179.69</v>
      </c>
      <c r="H84" s="15">
        <f>F84*G84</f>
        <v>12757.99</v>
      </c>
      <c r="I84" s="16"/>
    </row>
    <row r="85" ht="18.75" customHeight="1" spans="1:9">
      <c r="A85" s="16"/>
      <c r="B85" s="11" t="s">
        <v>444</v>
      </c>
      <c r="C85" s="16"/>
      <c r="D85" s="16"/>
      <c r="E85" s="16"/>
      <c r="F85" s="16"/>
      <c r="G85" s="16"/>
      <c r="H85" s="14">
        <f>SUM(H83:H84)</f>
        <v>211421.89</v>
      </c>
      <c r="I85" s="16"/>
    </row>
    <row r="86" ht="18.75" customHeight="1" spans="1:9">
      <c r="A86" s="16"/>
      <c r="B86" s="11" t="s">
        <v>205</v>
      </c>
      <c r="C86" s="16"/>
      <c r="D86" s="16"/>
      <c r="E86" s="16"/>
      <c r="F86" s="16"/>
      <c r="G86" s="16"/>
      <c r="H86" s="14">
        <f>SUM(H27,H63,H81,H85)</f>
        <v>1577728.89</v>
      </c>
      <c r="I86" s="16"/>
    </row>
    <row r="87" ht="18.75" customHeight="1" spans="1:9">
      <c r="A87" s="10" t="s">
        <v>764</v>
      </c>
      <c r="B87" s="13"/>
      <c r="C87" s="13"/>
      <c r="D87" s="13"/>
      <c r="E87" s="13"/>
      <c r="F87" s="13"/>
      <c r="G87" s="13"/>
      <c r="H87" s="13"/>
      <c r="I87" s="13"/>
    </row>
    <row r="88" ht="18.75" customHeight="1" spans="1:9">
      <c r="A88" s="11" t="s">
        <v>579</v>
      </c>
      <c r="B88" s="11" t="s">
        <v>765</v>
      </c>
      <c r="C88" s="11"/>
      <c r="D88" s="11"/>
      <c r="E88" s="11"/>
      <c r="F88" s="11"/>
      <c r="G88" s="14"/>
      <c r="H88" s="15"/>
      <c r="I88" s="16"/>
    </row>
    <row r="89" ht="18.75" customHeight="1" spans="1:9">
      <c r="A89" s="16">
        <v>1</v>
      </c>
      <c r="B89" s="16" t="s">
        <v>766</v>
      </c>
      <c r="C89" s="16" t="s">
        <v>106</v>
      </c>
      <c r="D89" s="16" t="s">
        <v>76</v>
      </c>
      <c r="E89" s="16" t="s">
        <v>154</v>
      </c>
      <c r="F89" s="16">
        <v>76</v>
      </c>
      <c r="G89" s="17">
        <v>170</v>
      </c>
      <c r="H89" s="15">
        <f t="shared" ref="H89:H98" si="9">G89*F89</f>
        <v>12920</v>
      </c>
      <c r="I89" s="16"/>
    </row>
    <row r="90" ht="18.75" customHeight="1" spans="1:9">
      <c r="A90" s="16">
        <v>2</v>
      </c>
      <c r="B90" s="16" t="s">
        <v>767</v>
      </c>
      <c r="C90" s="16" t="s">
        <v>768</v>
      </c>
      <c r="D90" s="16" t="s">
        <v>708</v>
      </c>
      <c r="E90" s="16" t="s">
        <v>93</v>
      </c>
      <c r="F90" s="16">
        <v>2</v>
      </c>
      <c r="G90" s="15">
        <v>450</v>
      </c>
      <c r="H90" s="15">
        <f t="shared" si="9"/>
        <v>900</v>
      </c>
      <c r="I90" s="16"/>
    </row>
    <row r="91" ht="18.75" customHeight="1" spans="1:9">
      <c r="A91" s="16">
        <v>3</v>
      </c>
      <c r="B91" s="16" t="s">
        <v>711</v>
      </c>
      <c r="C91" s="16" t="s">
        <v>91</v>
      </c>
      <c r="D91" s="16" t="s">
        <v>712</v>
      </c>
      <c r="E91" s="16" t="s">
        <v>93</v>
      </c>
      <c r="F91" s="16">
        <v>2</v>
      </c>
      <c r="G91" s="17">
        <v>2880</v>
      </c>
      <c r="H91" s="15">
        <f t="shared" si="9"/>
        <v>5760</v>
      </c>
      <c r="I91" s="16" t="s">
        <v>769</v>
      </c>
    </row>
    <row r="92" ht="18.75" customHeight="1" spans="1:9">
      <c r="A92" s="16">
        <v>4</v>
      </c>
      <c r="B92" s="16" t="s">
        <v>611</v>
      </c>
      <c r="C92" s="16" t="s">
        <v>91</v>
      </c>
      <c r="D92" s="16" t="s">
        <v>712</v>
      </c>
      <c r="E92" s="16" t="s">
        <v>93</v>
      </c>
      <c r="F92" s="16">
        <v>2</v>
      </c>
      <c r="G92" s="17">
        <v>1446.92</v>
      </c>
      <c r="H92" s="15">
        <f t="shared" si="9"/>
        <v>2893.84</v>
      </c>
      <c r="I92" s="16" t="s">
        <v>769</v>
      </c>
    </row>
    <row r="93" ht="18.75" customHeight="1" spans="1:9">
      <c r="A93" s="16">
        <v>5</v>
      </c>
      <c r="B93" s="16" t="s">
        <v>714</v>
      </c>
      <c r="C93" s="16" t="s">
        <v>91</v>
      </c>
      <c r="D93" s="16" t="s">
        <v>712</v>
      </c>
      <c r="E93" s="16" t="s">
        <v>93</v>
      </c>
      <c r="F93" s="16">
        <v>2</v>
      </c>
      <c r="G93" s="17">
        <v>15600</v>
      </c>
      <c r="H93" s="15">
        <f t="shared" si="9"/>
        <v>31200</v>
      </c>
      <c r="I93" s="16" t="s">
        <v>715</v>
      </c>
    </row>
    <row r="94" ht="18.75" customHeight="1" spans="1:9">
      <c r="A94" s="16">
        <v>6</v>
      </c>
      <c r="B94" s="16" t="s">
        <v>716</v>
      </c>
      <c r="C94" s="16" t="s">
        <v>91</v>
      </c>
      <c r="D94" s="16" t="s">
        <v>712</v>
      </c>
      <c r="E94" s="16" t="s">
        <v>93</v>
      </c>
      <c r="F94" s="16">
        <v>2</v>
      </c>
      <c r="G94" s="17">
        <v>3520</v>
      </c>
      <c r="H94" s="15">
        <f t="shared" si="9"/>
        <v>7040</v>
      </c>
      <c r="I94" s="16"/>
    </row>
    <row r="95" ht="18.75" customHeight="1" spans="1:9">
      <c r="A95" s="16">
        <v>7</v>
      </c>
      <c r="B95" s="16" t="s">
        <v>622</v>
      </c>
      <c r="C95" s="16" t="s">
        <v>91</v>
      </c>
      <c r="D95" s="16" t="s">
        <v>713</v>
      </c>
      <c r="E95" s="16" t="s">
        <v>93</v>
      </c>
      <c r="F95" s="16">
        <v>2</v>
      </c>
      <c r="G95" s="17">
        <v>2661.6</v>
      </c>
      <c r="H95" s="15">
        <f t="shared" si="9"/>
        <v>5323.2</v>
      </c>
      <c r="I95" s="16"/>
    </row>
    <row r="96" ht="18.75" customHeight="1" spans="1:9">
      <c r="A96" s="16">
        <v>8</v>
      </c>
      <c r="B96" s="16" t="s">
        <v>717</v>
      </c>
      <c r="C96" s="16" t="s">
        <v>91</v>
      </c>
      <c r="D96" s="16" t="s">
        <v>718</v>
      </c>
      <c r="E96" s="16" t="s">
        <v>93</v>
      </c>
      <c r="F96" s="16">
        <v>2</v>
      </c>
      <c r="G96" s="17">
        <v>775.82</v>
      </c>
      <c r="H96" s="15">
        <f t="shared" si="9"/>
        <v>1551.64</v>
      </c>
      <c r="I96" s="16"/>
    </row>
    <row r="97" ht="18.75" customHeight="1" spans="1:9">
      <c r="A97" s="16">
        <v>9</v>
      </c>
      <c r="B97" s="16" t="s">
        <v>600</v>
      </c>
      <c r="C97" s="16" t="s">
        <v>91</v>
      </c>
      <c r="D97" s="16" t="s">
        <v>708</v>
      </c>
      <c r="E97" s="16" t="s">
        <v>93</v>
      </c>
      <c r="F97" s="16">
        <v>2</v>
      </c>
      <c r="G97" s="17">
        <v>219.29</v>
      </c>
      <c r="H97" s="15">
        <f t="shared" si="9"/>
        <v>438.58</v>
      </c>
      <c r="I97" s="16"/>
    </row>
    <row r="98" ht="18.75" customHeight="1" spans="1:9">
      <c r="A98" s="16">
        <v>10</v>
      </c>
      <c r="B98" s="16" t="s">
        <v>706</v>
      </c>
      <c r="C98" s="16" t="s">
        <v>91</v>
      </c>
      <c r="D98" s="16" t="s">
        <v>76</v>
      </c>
      <c r="E98" s="16" t="s">
        <v>93</v>
      </c>
      <c r="F98" s="16">
        <v>4</v>
      </c>
      <c r="G98" s="17">
        <v>170</v>
      </c>
      <c r="H98" s="15">
        <f t="shared" si="9"/>
        <v>680</v>
      </c>
      <c r="I98" s="16" t="s">
        <v>770</v>
      </c>
    </row>
    <row r="99" ht="18.75" customHeight="1" spans="1:9">
      <c r="A99" s="16">
        <v>11</v>
      </c>
      <c r="B99" s="18" t="s">
        <v>771</v>
      </c>
      <c r="C99" s="16" t="s">
        <v>704</v>
      </c>
      <c r="D99" s="16" t="s">
        <v>705</v>
      </c>
      <c r="E99" s="16" t="s">
        <v>168</v>
      </c>
      <c r="F99" s="16">
        <v>1</v>
      </c>
      <c r="G99" s="17">
        <f>G72</f>
        <v>4288.49</v>
      </c>
      <c r="H99" s="15">
        <f t="shared" ref="H99:H130" si="10">F99*G99</f>
        <v>4288.49</v>
      </c>
      <c r="I99" s="16"/>
    </row>
    <row r="100" ht="18.75" customHeight="1" spans="1:9">
      <c r="A100" s="16">
        <v>12</v>
      </c>
      <c r="B100" s="18" t="s">
        <v>771</v>
      </c>
      <c r="C100" s="16" t="s">
        <v>772</v>
      </c>
      <c r="D100" s="16" t="s">
        <v>705</v>
      </c>
      <c r="E100" s="16" t="s">
        <v>168</v>
      </c>
      <c r="F100" s="16">
        <v>1</v>
      </c>
      <c r="G100" s="17">
        <v>6236.59</v>
      </c>
      <c r="H100" s="15">
        <f t="shared" si="10"/>
        <v>6236.59</v>
      </c>
      <c r="I100" s="16"/>
    </row>
    <row r="101" s="7" customFormat="1" ht="18.75" customHeight="1" spans="1:14">
      <c r="A101" s="16">
        <v>13</v>
      </c>
      <c r="B101" s="16" t="s">
        <v>700</v>
      </c>
      <c r="C101" s="16" t="s">
        <v>773</v>
      </c>
      <c r="D101" s="16" t="s">
        <v>702</v>
      </c>
      <c r="E101" s="16" t="s">
        <v>168</v>
      </c>
      <c r="F101" s="16">
        <v>2</v>
      </c>
      <c r="G101" s="17">
        <v>12000</v>
      </c>
      <c r="H101" s="15">
        <f>G101*F101</f>
        <v>24000</v>
      </c>
      <c r="I101" s="16"/>
      <c r="N101" s="8"/>
    </row>
    <row r="102" ht="18.75" customHeight="1" spans="1:9">
      <c r="A102" s="16"/>
      <c r="B102" s="11" t="s">
        <v>444</v>
      </c>
      <c r="C102" s="11"/>
      <c r="D102" s="11"/>
      <c r="E102" s="11"/>
      <c r="F102" s="11"/>
      <c r="G102" s="20"/>
      <c r="H102" s="14">
        <f>SUM(H89:H101)</f>
        <v>103232.34</v>
      </c>
      <c r="I102" s="11"/>
    </row>
    <row r="103" ht="18.75" customHeight="1" spans="1:9">
      <c r="A103" s="11" t="s">
        <v>629</v>
      </c>
      <c r="B103" s="11" t="s">
        <v>774</v>
      </c>
      <c r="C103" s="11"/>
      <c r="D103" s="11"/>
      <c r="E103" s="11"/>
      <c r="F103" s="11"/>
      <c r="G103" s="20"/>
      <c r="H103" s="14"/>
      <c r="I103" s="11"/>
    </row>
    <row r="104" ht="18.75" customHeight="1" spans="1:9">
      <c r="A104" s="16">
        <v>1</v>
      </c>
      <c r="B104" s="16" t="s">
        <v>721</v>
      </c>
      <c r="C104" s="16" t="s">
        <v>106</v>
      </c>
      <c r="D104" s="16" t="s">
        <v>76</v>
      </c>
      <c r="E104" s="16" t="s">
        <v>154</v>
      </c>
      <c r="F104" s="16">
        <v>280</v>
      </c>
      <c r="G104" s="17">
        <v>170</v>
      </c>
      <c r="H104" s="15">
        <f t="shared" si="10"/>
        <v>47600</v>
      </c>
      <c r="I104" s="16"/>
    </row>
    <row r="105" ht="18.75" customHeight="1" spans="1:9">
      <c r="A105" s="16">
        <f t="shared" ref="A105:A130" si="11">A104+1</f>
        <v>2</v>
      </c>
      <c r="B105" s="16" t="s">
        <v>721</v>
      </c>
      <c r="C105" s="16" t="s">
        <v>108</v>
      </c>
      <c r="D105" s="16" t="s">
        <v>76</v>
      </c>
      <c r="E105" s="16" t="s">
        <v>154</v>
      </c>
      <c r="F105" s="16">
        <v>1245</v>
      </c>
      <c r="G105" s="17">
        <v>60.89</v>
      </c>
      <c r="H105" s="15">
        <f t="shared" si="10"/>
        <v>75808.05</v>
      </c>
      <c r="I105" s="16"/>
    </row>
    <row r="106" ht="18.75" customHeight="1" spans="1:9">
      <c r="A106" s="16">
        <f t="shared" si="11"/>
        <v>3</v>
      </c>
      <c r="B106" s="16" t="s">
        <v>721</v>
      </c>
      <c r="C106" s="16" t="s">
        <v>242</v>
      </c>
      <c r="D106" s="16" t="s">
        <v>76</v>
      </c>
      <c r="E106" s="16" t="s">
        <v>154</v>
      </c>
      <c r="F106" s="16">
        <v>1200</v>
      </c>
      <c r="G106" s="17">
        <v>47.31</v>
      </c>
      <c r="H106" s="15">
        <f t="shared" si="10"/>
        <v>56772</v>
      </c>
      <c r="I106" s="16"/>
    </row>
    <row r="107" ht="18.75" customHeight="1" spans="1:9">
      <c r="A107" s="16">
        <f t="shared" si="11"/>
        <v>4</v>
      </c>
      <c r="B107" s="16" t="s">
        <v>719</v>
      </c>
      <c r="C107" s="16" t="s">
        <v>101</v>
      </c>
      <c r="D107" s="16" t="s">
        <v>712</v>
      </c>
      <c r="E107" s="16" t="s">
        <v>93</v>
      </c>
      <c r="F107" s="16">
        <v>15</v>
      </c>
      <c r="G107" s="17">
        <v>822.94</v>
      </c>
      <c r="H107" s="15">
        <f t="shared" si="10"/>
        <v>12344.1</v>
      </c>
      <c r="I107" s="16"/>
    </row>
    <row r="108" ht="18.75" customHeight="1" spans="1:9">
      <c r="A108" s="16">
        <f t="shared" si="11"/>
        <v>5</v>
      </c>
      <c r="B108" s="16" t="s">
        <v>719</v>
      </c>
      <c r="C108" s="16" t="s">
        <v>235</v>
      </c>
      <c r="D108" s="16" t="s">
        <v>712</v>
      </c>
      <c r="E108" s="16" t="s">
        <v>93</v>
      </c>
      <c r="F108" s="16">
        <v>4</v>
      </c>
      <c r="G108" s="17">
        <v>462.73</v>
      </c>
      <c r="H108" s="15">
        <f t="shared" si="10"/>
        <v>1850.92</v>
      </c>
      <c r="I108" s="16"/>
    </row>
    <row r="109" ht="18.75" customHeight="1" spans="1:9">
      <c r="A109" s="16">
        <f t="shared" si="11"/>
        <v>6</v>
      </c>
      <c r="B109" s="16" t="s">
        <v>711</v>
      </c>
      <c r="C109" s="16" t="s">
        <v>235</v>
      </c>
      <c r="D109" s="16" t="s">
        <v>712</v>
      </c>
      <c r="E109" s="16" t="s">
        <v>93</v>
      </c>
      <c r="F109" s="16">
        <v>42</v>
      </c>
      <c r="G109" s="17">
        <v>720</v>
      </c>
      <c r="H109" s="15">
        <f t="shared" si="10"/>
        <v>30240</v>
      </c>
      <c r="I109" s="16"/>
    </row>
    <row r="110" ht="18.75" customHeight="1" spans="1:9">
      <c r="A110" s="16">
        <f t="shared" si="11"/>
        <v>7</v>
      </c>
      <c r="B110" s="16" t="s">
        <v>775</v>
      </c>
      <c r="C110" s="16" t="s">
        <v>745</v>
      </c>
      <c r="D110" s="16" t="s">
        <v>712</v>
      </c>
      <c r="E110" s="16" t="s">
        <v>93</v>
      </c>
      <c r="F110" s="16">
        <v>260</v>
      </c>
      <c r="G110" s="17">
        <v>631</v>
      </c>
      <c r="H110" s="15">
        <f t="shared" si="10"/>
        <v>164060</v>
      </c>
      <c r="I110" s="16" t="s">
        <v>776</v>
      </c>
    </row>
    <row r="111" ht="18.75" customHeight="1" spans="1:9">
      <c r="A111" s="16">
        <f t="shared" si="11"/>
        <v>8</v>
      </c>
      <c r="B111" s="16" t="s">
        <v>714</v>
      </c>
      <c r="C111" s="16" t="s">
        <v>235</v>
      </c>
      <c r="D111" s="16" t="s">
        <v>712</v>
      </c>
      <c r="E111" s="16" t="s">
        <v>93</v>
      </c>
      <c r="F111" s="16">
        <v>2</v>
      </c>
      <c r="G111" s="17">
        <v>6500</v>
      </c>
      <c r="H111" s="15">
        <f t="shared" si="10"/>
        <v>13000</v>
      </c>
      <c r="I111" s="16" t="s">
        <v>715</v>
      </c>
    </row>
    <row r="112" ht="18.75" customHeight="1" spans="1:9">
      <c r="A112" s="16">
        <f t="shared" si="11"/>
        <v>9</v>
      </c>
      <c r="B112" s="16" t="s">
        <v>722</v>
      </c>
      <c r="C112" s="16" t="s">
        <v>777</v>
      </c>
      <c r="D112" s="16" t="s">
        <v>708</v>
      </c>
      <c r="E112" s="16" t="s">
        <v>93</v>
      </c>
      <c r="F112" s="16">
        <v>1</v>
      </c>
      <c r="G112" s="17">
        <v>98.97</v>
      </c>
      <c r="H112" s="15">
        <f t="shared" si="10"/>
        <v>98.97</v>
      </c>
      <c r="I112" s="16"/>
    </row>
    <row r="113" ht="18.75" customHeight="1" spans="1:9">
      <c r="A113" s="16">
        <f t="shared" si="11"/>
        <v>10</v>
      </c>
      <c r="B113" s="16" t="s">
        <v>722</v>
      </c>
      <c r="C113" s="16" t="s">
        <v>778</v>
      </c>
      <c r="D113" s="16" t="s">
        <v>708</v>
      </c>
      <c r="E113" s="16" t="s">
        <v>93</v>
      </c>
      <c r="F113" s="16">
        <v>8</v>
      </c>
      <c r="G113" s="17">
        <v>420</v>
      </c>
      <c r="H113" s="15">
        <f t="shared" si="10"/>
        <v>3360</v>
      </c>
      <c r="I113" s="16"/>
    </row>
    <row r="114" ht="18.75" customHeight="1" spans="1:9">
      <c r="A114" s="16">
        <f t="shared" si="11"/>
        <v>11</v>
      </c>
      <c r="B114" s="16" t="s">
        <v>767</v>
      </c>
      <c r="C114" s="16" t="s">
        <v>778</v>
      </c>
      <c r="D114" s="16" t="s">
        <v>708</v>
      </c>
      <c r="E114" s="16" t="s">
        <v>93</v>
      </c>
      <c r="F114" s="16">
        <v>2</v>
      </c>
      <c r="G114" s="17">
        <v>440.44</v>
      </c>
      <c r="H114" s="15">
        <f t="shared" si="10"/>
        <v>880.88</v>
      </c>
      <c r="I114" s="16"/>
    </row>
    <row r="115" ht="18.75" customHeight="1" spans="1:9">
      <c r="A115" s="16">
        <f t="shared" si="11"/>
        <v>12</v>
      </c>
      <c r="B115" s="16" t="s">
        <v>767</v>
      </c>
      <c r="C115" s="16" t="s">
        <v>222</v>
      </c>
      <c r="D115" s="16" t="s">
        <v>708</v>
      </c>
      <c r="E115" s="16" t="s">
        <v>93</v>
      </c>
      <c r="F115" s="16">
        <v>2</v>
      </c>
      <c r="G115" s="17">
        <v>120</v>
      </c>
      <c r="H115" s="15">
        <f t="shared" si="10"/>
        <v>240</v>
      </c>
      <c r="I115" s="16"/>
    </row>
    <row r="116" ht="18.75" customHeight="1" spans="1:9">
      <c r="A116" s="16">
        <f t="shared" si="11"/>
        <v>13</v>
      </c>
      <c r="B116" s="16" t="s">
        <v>601</v>
      </c>
      <c r="C116" s="16" t="s">
        <v>119</v>
      </c>
      <c r="D116" s="16" t="s">
        <v>76</v>
      </c>
      <c r="E116" s="16" t="s">
        <v>93</v>
      </c>
      <c r="F116" s="16">
        <v>3</v>
      </c>
      <c r="G116" s="17">
        <v>98.97</v>
      </c>
      <c r="H116" s="15">
        <f t="shared" si="10"/>
        <v>296.91</v>
      </c>
      <c r="I116" s="16"/>
    </row>
    <row r="117" ht="18.75" customHeight="1" spans="1:9">
      <c r="A117" s="16">
        <f t="shared" si="11"/>
        <v>14</v>
      </c>
      <c r="B117" s="16" t="s">
        <v>601</v>
      </c>
      <c r="C117" s="16" t="s">
        <v>245</v>
      </c>
      <c r="D117" s="16" t="s">
        <v>76</v>
      </c>
      <c r="E117" s="16" t="s">
        <v>93</v>
      </c>
      <c r="F117" s="16">
        <v>130</v>
      </c>
      <c r="G117" s="17">
        <v>98.97</v>
      </c>
      <c r="H117" s="15">
        <f t="shared" si="10"/>
        <v>12866.1</v>
      </c>
      <c r="I117" s="16"/>
    </row>
    <row r="118" ht="18.75" customHeight="1" spans="1:9">
      <c r="A118" s="16">
        <f t="shared" si="11"/>
        <v>15</v>
      </c>
      <c r="B118" s="16" t="s">
        <v>741</v>
      </c>
      <c r="C118" s="16" t="s">
        <v>779</v>
      </c>
      <c r="D118" s="16" t="s">
        <v>780</v>
      </c>
      <c r="E118" s="16" t="s">
        <v>93</v>
      </c>
      <c r="F118" s="16">
        <v>260</v>
      </c>
      <c r="G118" s="17">
        <v>83.94</v>
      </c>
      <c r="H118" s="15">
        <f t="shared" si="10"/>
        <v>21824.4</v>
      </c>
      <c r="I118" s="16" t="s">
        <v>781</v>
      </c>
    </row>
    <row r="119" ht="18.75" customHeight="1" spans="1:9">
      <c r="A119" s="16">
        <f t="shared" si="11"/>
        <v>16</v>
      </c>
      <c r="B119" s="16" t="s">
        <v>600</v>
      </c>
      <c r="C119" s="16" t="s">
        <v>106</v>
      </c>
      <c r="D119" s="16" t="s">
        <v>76</v>
      </c>
      <c r="E119" s="16" t="s">
        <v>93</v>
      </c>
      <c r="F119" s="16">
        <v>5</v>
      </c>
      <c r="G119" s="17">
        <v>219.29</v>
      </c>
      <c r="H119" s="15">
        <f t="shared" si="10"/>
        <v>1096.45</v>
      </c>
      <c r="I119" s="16"/>
    </row>
    <row r="120" ht="18.75" customHeight="1" spans="1:9">
      <c r="A120" s="16">
        <f t="shared" si="11"/>
        <v>17</v>
      </c>
      <c r="B120" s="16" t="s">
        <v>600</v>
      </c>
      <c r="C120" s="16" t="s">
        <v>108</v>
      </c>
      <c r="D120" s="16" t="s">
        <v>76</v>
      </c>
      <c r="E120" s="16" t="s">
        <v>93</v>
      </c>
      <c r="F120" s="16">
        <v>1</v>
      </c>
      <c r="G120" s="17">
        <v>91.72</v>
      </c>
      <c r="H120" s="15">
        <f t="shared" si="10"/>
        <v>91.72</v>
      </c>
      <c r="I120" s="16"/>
    </row>
    <row r="121" ht="18.75" customHeight="1" spans="1:9">
      <c r="A121" s="16">
        <f t="shared" si="11"/>
        <v>18</v>
      </c>
      <c r="B121" s="16" t="s">
        <v>600</v>
      </c>
      <c r="C121" s="16" t="s">
        <v>108</v>
      </c>
      <c r="D121" s="16" t="s">
        <v>76</v>
      </c>
      <c r="E121" s="16" t="s">
        <v>93</v>
      </c>
      <c r="F121" s="16">
        <v>520</v>
      </c>
      <c r="G121" s="17">
        <v>91.72</v>
      </c>
      <c r="H121" s="15">
        <f t="shared" si="10"/>
        <v>47694.4</v>
      </c>
      <c r="I121" s="16"/>
    </row>
    <row r="122" ht="18.75" customHeight="1" spans="1:9">
      <c r="A122" s="16">
        <f t="shared" si="11"/>
        <v>19</v>
      </c>
      <c r="B122" s="16" t="s">
        <v>706</v>
      </c>
      <c r="C122" s="16" t="s">
        <v>106</v>
      </c>
      <c r="D122" s="16" t="s">
        <v>76</v>
      </c>
      <c r="E122" s="16" t="s">
        <v>93</v>
      </c>
      <c r="F122" s="16">
        <v>20</v>
      </c>
      <c r="G122" s="19">
        <v>170</v>
      </c>
      <c r="H122" s="15">
        <f t="shared" si="10"/>
        <v>3400</v>
      </c>
      <c r="I122" s="16" t="s">
        <v>770</v>
      </c>
    </row>
    <row r="123" ht="18.75" customHeight="1" spans="1:9">
      <c r="A123" s="16">
        <f t="shared" si="11"/>
        <v>20</v>
      </c>
      <c r="B123" s="16" t="s">
        <v>706</v>
      </c>
      <c r="C123" s="16" t="s">
        <v>108</v>
      </c>
      <c r="D123" s="16" t="s">
        <v>76</v>
      </c>
      <c r="E123" s="16" t="s">
        <v>93</v>
      </c>
      <c r="F123" s="16">
        <v>22</v>
      </c>
      <c r="G123" s="19">
        <v>90</v>
      </c>
      <c r="H123" s="15">
        <f t="shared" si="10"/>
        <v>1980</v>
      </c>
      <c r="I123" s="16" t="s">
        <v>770</v>
      </c>
    </row>
    <row r="124" ht="18.75" customHeight="1" spans="1:9">
      <c r="A124" s="16">
        <f t="shared" si="11"/>
        <v>21</v>
      </c>
      <c r="B124" s="16" t="s">
        <v>706</v>
      </c>
      <c r="C124" s="16" t="s">
        <v>242</v>
      </c>
      <c r="D124" s="16" t="s">
        <v>76</v>
      </c>
      <c r="E124" s="16" t="s">
        <v>93</v>
      </c>
      <c r="F124" s="16">
        <v>130</v>
      </c>
      <c r="G124" s="17">
        <v>42</v>
      </c>
      <c r="H124" s="15">
        <f t="shared" si="10"/>
        <v>5460</v>
      </c>
      <c r="I124" s="16" t="s">
        <v>770</v>
      </c>
    </row>
    <row r="125" ht="18.75" customHeight="1" spans="1:9">
      <c r="A125" s="16">
        <f t="shared" si="11"/>
        <v>22</v>
      </c>
      <c r="B125" s="16" t="s">
        <v>782</v>
      </c>
      <c r="C125" s="16" t="s">
        <v>108</v>
      </c>
      <c r="D125" s="16" t="s">
        <v>76</v>
      </c>
      <c r="E125" s="16" t="s">
        <v>93</v>
      </c>
      <c r="F125" s="16">
        <v>16</v>
      </c>
      <c r="G125" s="17">
        <v>45</v>
      </c>
      <c r="H125" s="15">
        <f t="shared" si="10"/>
        <v>720</v>
      </c>
      <c r="I125" s="16"/>
    </row>
    <row r="126" ht="18.75" customHeight="1" spans="1:9">
      <c r="A126" s="16">
        <f t="shared" si="11"/>
        <v>23</v>
      </c>
      <c r="B126" s="16" t="s">
        <v>737</v>
      </c>
      <c r="C126" s="16" t="s">
        <v>101</v>
      </c>
      <c r="D126" s="16" t="s">
        <v>76</v>
      </c>
      <c r="E126" s="16" t="s">
        <v>93</v>
      </c>
      <c r="F126" s="16">
        <v>1</v>
      </c>
      <c r="G126" s="17">
        <v>45</v>
      </c>
      <c r="H126" s="15">
        <f t="shared" si="10"/>
        <v>45</v>
      </c>
      <c r="I126" s="16"/>
    </row>
    <row r="127" ht="18.75" customHeight="1" spans="1:9">
      <c r="A127" s="16">
        <f t="shared" si="11"/>
        <v>24</v>
      </c>
      <c r="B127" s="16" t="s">
        <v>783</v>
      </c>
      <c r="C127" s="16" t="s">
        <v>784</v>
      </c>
      <c r="D127" s="16" t="s">
        <v>702</v>
      </c>
      <c r="E127" s="16" t="s">
        <v>168</v>
      </c>
      <c r="F127" s="16">
        <v>44</v>
      </c>
      <c r="G127" s="17">
        <v>6500</v>
      </c>
      <c r="H127" s="15">
        <f t="shared" si="10"/>
        <v>286000</v>
      </c>
      <c r="I127" s="11"/>
    </row>
    <row r="128" ht="18.75" customHeight="1" spans="1:9">
      <c r="A128" s="16">
        <f t="shared" si="11"/>
        <v>25</v>
      </c>
      <c r="B128" s="18" t="s">
        <v>771</v>
      </c>
      <c r="C128" s="16" t="s">
        <v>704</v>
      </c>
      <c r="D128" s="16" t="s">
        <v>705</v>
      </c>
      <c r="E128" s="16" t="s">
        <v>168</v>
      </c>
      <c r="F128" s="16">
        <v>14</v>
      </c>
      <c r="G128" s="17">
        <f>G99</f>
        <v>4288.49</v>
      </c>
      <c r="H128" s="15">
        <f t="shared" si="10"/>
        <v>60038.86</v>
      </c>
      <c r="I128" s="16"/>
    </row>
    <row r="129" ht="18.75" customHeight="1" spans="1:9">
      <c r="A129" s="16">
        <f t="shared" si="11"/>
        <v>26</v>
      </c>
      <c r="B129" s="16" t="s">
        <v>751</v>
      </c>
      <c r="C129" s="16"/>
      <c r="D129" s="16"/>
      <c r="E129" s="16" t="s">
        <v>93</v>
      </c>
      <c r="F129" s="16">
        <v>262</v>
      </c>
      <c r="G129" s="16">
        <v>40</v>
      </c>
      <c r="H129" s="15">
        <f t="shared" si="10"/>
        <v>10480</v>
      </c>
      <c r="I129" s="16"/>
    </row>
    <row r="130" ht="18.75" customHeight="1" spans="1:9">
      <c r="A130" s="16">
        <f t="shared" si="11"/>
        <v>27</v>
      </c>
      <c r="B130" s="16" t="s">
        <v>785</v>
      </c>
      <c r="C130" s="16"/>
      <c r="D130" s="16"/>
      <c r="E130" s="16" t="s">
        <v>93</v>
      </c>
      <c r="F130" s="16">
        <v>120</v>
      </c>
      <c r="G130" s="16">
        <v>120</v>
      </c>
      <c r="H130" s="15">
        <f t="shared" si="10"/>
        <v>14400</v>
      </c>
      <c r="I130" s="16"/>
    </row>
    <row r="131" ht="18.75" customHeight="1" spans="1:9">
      <c r="A131" s="16"/>
      <c r="B131" s="11" t="s">
        <v>444</v>
      </c>
      <c r="C131" s="16"/>
      <c r="D131" s="16"/>
      <c r="E131" s="16"/>
      <c r="F131" s="16"/>
      <c r="G131" s="16"/>
      <c r="H131" s="15">
        <f>SUM(H104:H130)</f>
        <v>872648.76</v>
      </c>
      <c r="I131" s="16"/>
    </row>
    <row r="132" ht="18.75" customHeight="1" spans="1:9">
      <c r="A132" s="11" t="s">
        <v>652</v>
      </c>
      <c r="B132" s="11" t="s">
        <v>786</v>
      </c>
      <c r="C132" s="11"/>
      <c r="D132" s="11"/>
      <c r="E132" s="11"/>
      <c r="F132" s="11"/>
      <c r="G132" s="20"/>
      <c r="H132" s="14"/>
      <c r="I132" s="11"/>
    </row>
    <row r="133" ht="18.75" customHeight="1" spans="1:9">
      <c r="A133" s="16">
        <v>1</v>
      </c>
      <c r="B133" s="16" t="s">
        <v>753</v>
      </c>
      <c r="C133" s="16" t="s">
        <v>754</v>
      </c>
      <c r="D133" s="16" t="s">
        <v>76</v>
      </c>
      <c r="E133" s="16" t="s">
        <v>154</v>
      </c>
      <c r="F133" s="16">
        <v>278</v>
      </c>
      <c r="G133" s="19">
        <v>170</v>
      </c>
      <c r="H133" s="15">
        <f t="shared" ref="H133:H142" si="12">F133*G133</f>
        <v>47260</v>
      </c>
      <c r="I133" s="16" t="s">
        <v>755</v>
      </c>
    </row>
    <row r="134" ht="18.75" customHeight="1" spans="1:9">
      <c r="A134" s="16">
        <f t="shared" ref="A134:A142" si="13">A133+1</f>
        <v>2</v>
      </c>
      <c r="B134" s="16" t="s">
        <v>753</v>
      </c>
      <c r="C134" s="16" t="s">
        <v>756</v>
      </c>
      <c r="D134" s="16" t="s">
        <v>76</v>
      </c>
      <c r="E134" s="16" t="s">
        <v>154</v>
      </c>
      <c r="F134" s="16">
        <v>88</v>
      </c>
      <c r="G134" s="19">
        <v>60.89</v>
      </c>
      <c r="H134" s="15">
        <f t="shared" si="12"/>
        <v>5358.32</v>
      </c>
      <c r="I134" s="16" t="s">
        <v>755</v>
      </c>
    </row>
    <row r="135" ht="18.75" customHeight="1" spans="1:9">
      <c r="A135" s="16">
        <f t="shared" si="13"/>
        <v>3</v>
      </c>
      <c r="B135" s="16" t="s">
        <v>601</v>
      </c>
      <c r="C135" s="16" t="s">
        <v>113</v>
      </c>
      <c r="D135" s="16" t="s">
        <v>76</v>
      </c>
      <c r="E135" s="16" t="s">
        <v>93</v>
      </c>
      <c r="F135" s="16">
        <v>3</v>
      </c>
      <c r="G135" s="17">
        <v>420</v>
      </c>
      <c r="H135" s="15">
        <f t="shared" si="12"/>
        <v>1260</v>
      </c>
      <c r="I135" s="16" t="s">
        <v>755</v>
      </c>
    </row>
    <row r="136" ht="18.75" customHeight="1" spans="1:9">
      <c r="A136" s="16">
        <f t="shared" si="13"/>
        <v>4</v>
      </c>
      <c r="B136" s="16" t="s">
        <v>600</v>
      </c>
      <c r="C136" s="16" t="s">
        <v>106</v>
      </c>
      <c r="D136" s="16" t="s">
        <v>76</v>
      </c>
      <c r="E136" s="16" t="s">
        <v>93</v>
      </c>
      <c r="F136" s="16">
        <v>5</v>
      </c>
      <c r="G136" s="17">
        <v>165</v>
      </c>
      <c r="H136" s="15">
        <f t="shared" si="12"/>
        <v>825</v>
      </c>
      <c r="I136" s="16" t="s">
        <v>755</v>
      </c>
    </row>
    <row r="137" ht="18.75" customHeight="1" spans="1:9">
      <c r="A137" s="16">
        <f t="shared" si="13"/>
        <v>5</v>
      </c>
      <c r="B137" s="16" t="s">
        <v>600</v>
      </c>
      <c r="C137" s="16" t="s">
        <v>108</v>
      </c>
      <c r="D137" s="16" t="s">
        <v>76</v>
      </c>
      <c r="E137" s="16" t="s">
        <v>93</v>
      </c>
      <c r="F137" s="16">
        <v>4</v>
      </c>
      <c r="G137" s="17">
        <v>91.72</v>
      </c>
      <c r="H137" s="15">
        <f t="shared" si="12"/>
        <v>366.88</v>
      </c>
      <c r="I137" s="16" t="s">
        <v>755</v>
      </c>
    </row>
    <row r="138" ht="18.75" customHeight="1" spans="1:9">
      <c r="A138" s="16">
        <f t="shared" si="13"/>
        <v>6</v>
      </c>
      <c r="B138" s="16" t="s">
        <v>706</v>
      </c>
      <c r="C138" s="16" t="s">
        <v>91</v>
      </c>
      <c r="D138" s="16" t="s">
        <v>76</v>
      </c>
      <c r="E138" s="16" t="s">
        <v>93</v>
      </c>
      <c r="F138" s="16">
        <v>2</v>
      </c>
      <c r="G138" s="19">
        <v>170</v>
      </c>
      <c r="H138" s="15">
        <f t="shared" si="12"/>
        <v>340</v>
      </c>
      <c r="I138" s="16" t="s">
        <v>770</v>
      </c>
    </row>
    <row r="139" ht="18.75" customHeight="1" spans="1:9">
      <c r="A139" s="16">
        <f t="shared" si="13"/>
        <v>7</v>
      </c>
      <c r="B139" s="16" t="s">
        <v>706</v>
      </c>
      <c r="C139" s="16" t="s">
        <v>101</v>
      </c>
      <c r="D139" s="16" t="s">
        <v>76</v>
      </c>
      <c r="E139" s="16" t="s">
        <v>93</v>
      </c>
      <c r="F139" s="16">
        <v>3</v>
      </c>
      <c r="G139" s="19">
        <v>90</v>
      </c>
      <c r="H139" s="15">
        <f t="shared" si="12"/>
        <v>270</v>
      </c>
      <c r="I139" s="16" t="s">
        <v>770</v>
      </c>
    </row>
    <row r="140" ht="18.75" customHeight="1" spans="1:9">
      <c r="A140" s="16">
        <f t="shared" si="13"/>
        <v>8</v>
      </c>
      <c r="B140" s="16" t="s">
        <v>719</v>
      </c>
      <c r="C140" s="16" t="s">
        <v>101</v>
      </c>
      <c r="D140" s="16" t="s">
        <v>712</v>
      </c>
      <c r="E140" s="16" t="s">
        <v>93</v>
      </c>
      <c r="F140" s="16">
        <v>3</v>
      </c>
      <c r="G140" s="17">
        <v>822.94</v>
      </c>
      <c r="H140" s="15">
        <f t="shared" si="12"/>
        <v>2468.82</v>
      </c>
      <c r="I140" s="16"/>
    </row>
    <row r="141" ht="18.75" customHeight="1" spans="1:9">
      <c r="A141" s="16">
        <f t="shared" si="13"/>
        <v>9</v>
      </c>
      <c r="B141" s="16" t="s">
        <v>758</v>
      </c>
      <c r="C141" s="16" t="s">
        <v>759</v>
      </c>
      <c r="D141" s="16" t="s">
        <v>712</v>
      </c>
      <c r="E141" s="16" t="s">
        <v>760</v>
      </c>
      <c r="F141" s="16">
        <v>3</v>
      </c>
      <c r="G141" s="17">
        <v>1545.71</v>
      </c>
      <c r="H141" s="15">
        <f t="shared" si="12"/>
        <v>4637.13</v>
      </c>
      <c r="I141" s="16"/>
    </row>
    <row r="142" ht="18.75" customHeight="1" spans="1:9">
      <c r="A142" s="16">
        <f t="shared" si="13"/>
        <v>10</v>
      </c>
      <c r="B142" s="16" t="s">
        <v>757</v>
      </c>
      <c r="C142" s="16" t="s">
        <v>704</v>
      </c>
      <c r="D142" s="16" t="s">
        <v>705</v>
      </c>
      <c r="E142" s="16" t="s">
        <v>168</v>
      </c>
      <c r="F142" s="16">
        <v>3</v>
      </c>
      <c r="G142" s="17">
        <f>G128</f>
        <v>4288.49</v>
      </c>
      <c r="H142" s="15">
        <f t="shared" si="12"/>
        <v>12865.47</v>
      </c>
      <c r="I142" s="16"/>
    </row>
    <row r="143" ht="18.75" customHeight="1" spans="1:9">
      <c r="A143" s="16"/>
      <c r="B143" s="11" t="s">
        <v>444</v>
      </c>
      <c r="C143" s="16"/>
      <c r="D143" s="16"/>
      <c r="E143" s="16"/>
      <c r="F143" s="16"/>
      <c r="G143" s="16"/>
      <c r="H143" s="15">
        <f>SUM(H133:H142)</f>
        <v>75651.62</v>
      </c>
      <c r="I143" s="16"/>
    </row>
    <row r="144" ht="18.75" customHeight="1" spans="1:9">
      <c r="A144" s="16" t="s">
        <v>674</v>
      </c>
      <c r="B144" s="11" t="s">
        <v>787</v>
      </c>
      <c r="C144" s="16"/>
      <c r="D144" s="16"/>
      <c r="E144" s="16"/>
      <c r="F144" s="16"/>
      <c r="G144" s="17"/>
      <c r="H144" s="15"/>
      <c r="I144" s="16"/>
    </row>
    <row r="145" ht="18.75" customHeight="1" spans="1:9">
      <c r="A145" s="16">
        <v>1</v>
      </c>
      <c r="B145" s="16" t="s">
        <v>788</v>
      </c>
      <c r="C145" s="16" t="s">
        <v>789</v>
      </c>
      <c r="D145" s="16"/>
      <c r="E145" s="16" t="s">
        <v>628</v>
      </c>
      <c r="F145" s="16">
        <v>2600</v>
      </c>
      <c r="G145" s="17">
        <f>G83</f>
        <v>104.45</v>
      </c>
      <c r="H145" s="15">
        <f>F145*G145</f>
        <v>271570</v>
      </c>
      <c r="I145" s="16"/>
    </row>
    <row r="146" ht="18.75" customHeight="1" spans="1:9">
      <c r="A146" s="16">
        <f>A145+1</f>
        <v>2</v>
      </c>
      <c r="B146" s="16" t="s">
        <v>790</v>
      </c>
      <c r="C146" s="16" t="s">
        <v>791</v>
      </c>
      <c r="D146" s="16"/>
      <c r="E146" s="16" t="s">
        <v>628</v>
      </c>
      <c r="F146" s="16">
        <v>540</v>
      </c>
      <c r="G146" s="17">
        <v>150</v>
      </c>
      <c r="H146" s="15">
        <f>F146*G146</f>
        <v>81000</v>
      </c>
      <c r="I146" s="16" t="s">
        <v>792</v>
      </c>
    </row>
    <row r="147" ht="18.75" customHeight="1" spans="1:9">
      <c r="A147" s="16"/>
      <c r="B147" s="11" t="s">
        <v>444</v>
      </c>
      <c r="C147" s="16"/>
      <c r="D147" s="16"/>
      <c r="E147" s="16"/>
      <c r="F147" s="16"/>
      <c r="G147" s="17"/>
      <c r="H147" s="15">
        <f>SUM(H145:H146)</f>
        <v>352570</v>
      </c>
      <c r="I147" s="16"/>
    </row>
    <row r="148" ht="18.75" customHeight="1" spans="1:9">
      <c r="A148" s="16"/>
      <c r="B148" s="11" t="s">
        <v>205</v>
      </c>
      <c r="C148" s="16"/>
      <c r="D148" s="16"/>
      <c r="E148" s="16"/>
      <c r="F148" s="16"/>
      <c r="G148" s="16"/>
      <c r="H148" s="15">
        <f>SUM(H102,H131,H143,H147)</f>
        <v>1404102.72</v>
      </c>
      <c r="I148" s="16"/>
    </row>
    <row r="149" ht="18.75" customHeight="1" spans="1:9">
      <c r="A149" s="10" t="s">
        <v>793</v>
      </c>
      <c r="B149" s="13"/>
      <c r="C149" s="13"/>
      <c r="D149" s="13"/>
      <c r="E149" s="13"/>
      <c r="F149" s="13"/>
      <c r="G149" s="13"/>
      <c r="H149" s="13"/>
      <c r="I149" s="13"/>
    </row>
    <row r="150" ht="18.75" customHeight="1" spans="1:9">
      <c r="A150" s="11" t="s">
        <v>579</v>
      </c>
      <c r="B150" s="29" t="s">
        <v>728</v>
      </c>
      <c r="C150" s="30"/>
      <c r="D150" s="30"/>
      <c r="E150" s="30"/>
      <c r="F150" s="30"/>
      <c r="G150" s="30"/>
      <c r="H150" s="30"/>
      <c r="I150" s="31"/>
    </row>
    <row r="151" ht="18.75" customHeight="1" spans="1:9">
      <c r="A151" s="16">
        <v>1</v>
      </c>
      <c r="B151" s="16" t="s">
        <v>711</v>
      </c>
      <c r="C151" s="16" t="s">
        <v>745</v>
      </c>
      <c r="D151" s="16" t="s">
        <v>712</v>
      </c>
      <c r="E151" s="16" t="s">
        <v>93</v>
      </c>
      <c r="F151" s="16">
        <v>505</v>
      </c>
      <c r="G151" s="17">
        <v>120</v>
      </c>
      <c r="H151" s="15">
        <f>F151*G151</f>
        <v>60600</v>
      </c>
      <c r="I151" s="16"/>
    </row>
    <row r="152" ht="18.75" customHeight="1" spans="1:9">
      <c r="A152" s="16">
        <v>2</v>
      </c>
      <c r="B152" s="16" t="s">
        <v>746</v>
      </c>
      <c r="C152" s="16" t="s">
        <v>745</v>
      </c>
      <c r="D152" s="16" t="s">
        <v>712</v>
      </c>
      <c r="E152" s="16" t="s">
        <v>93</v>
      </c>
      <c r="F152" s="16">
        <v>505</v>
      </c>
      <c r="G152" s="17">
        <v>346</v>
      </c>
      <c r="H152" s="15">
        <f>F152*G152</f>
        <v>174730</v>
      </c>
      <c r="I152" s="16"/>
    </row>
    <row r="153" ht="18.75" customHeight="1" spans="1:9">
      <c r="A153" s="16">
        <v>3</v>
      </c>
      <c r="B153" s="16" t="s">
        <v>747</v>
      </c>
      <c r="C153" s="16" t="s">
        <v>745</v>
      </c>
      <c r="D153" s="16" t="s">
        <v>749</v>
      </c>
      <c r="E153" s="16" t="s">
        <v>93</v>
      </c>
      <c r="F153" s="16">
        <v>505</v>
      </c>
      <c r="G153" s="17">
        <v>65</v>
      </c>
      <c r="H153" s="15">
        <f>F153*G153</f>
        <v>32825</v>
      </c>
      <c r="I153" s="16"/>
    </row>
    <row r="154" ht="18.75" customHeight="1" spans="1:9">
      <c r="A154" s="16">
        <v>4</v>
      </c>
      <c r="B154" s="16" t="s">
        <v>751</v>
      </c>
      <c r="C154" s="16"/>
      <c r="D154" s="16"/>
      <c r="E154" s="16" t="s">
        <v>93</v>
      </c>
      <c r="F154" s="16">
        <v>262</v>
      </c>
      <c r="G154" s="19">
        <v>40</v>
      </c>
      <c r="H154" s="15">
        <f t="shared" ref="H154" si="14">F154*G154</f>
        <v>10480</v>
      </c>
      <c r="I154" s="16"/>
    </row>
    <row r="155" ht="18.75" customHeight="1" spans="1:9">
      <c r="A155" s="16"/>
      <c r="B155" s="11" t="s">
        <v>205</v>
      </c>
      <c r="C155" s="16"/>
      <c r="D155" s="16"/>
      <c r="E155" s="16"/>
      <c r="F155" s="16"/>
      <c r="G155" s="16"/>
      <c r="H155" s="14">
        <f>SUM(H151:H154)</f>
        <v>278635</v>
      </c>
      <c r="I155" s="16"/>
    </row>
    <row r="156" ht="18.75" customHeight="1" spans="1:9">
      <c r="A156" s="10" t="s">
        <v>794</v>
      </c>
      <c r="B156" s="13"/>
      <c r="C156" s="13"/>
      <c r="D156" s="13"/>
      <c r="E156" s="13"/>
      <c r="F156" s="13"/>
      <c r="G156" s="13"/>
      <c r="H156" s="13"/>
      <c r="I156" s="13"/>
    </row>
    <row r="157" ht="18.75" customHeight="1" spans="1:9">
      <c r="A157" s="11" t="s">
        <v>579</v>
      </c>
      <c r="B157" s="11" t="s">
        <v>698</v>
      </c>
      <c r="C157" s="11"/>
      <c r="D157" s="11"/>
      <c r="E157" s="11"/>
      <c r="F157" s="11"/>
      <c r="G157" s="14"/>
      <c r="H157" s="15"/>
      <c r="I157" s="16"/>
    </row>
    <row r="158" ht="18.75" customHeight="1" spans="1:9">
      <c r="A158" s="16">
        <v>1</v>
      </c>
      <c r="B158" s="16" t="s">
        <v>722</v>
      </c>
      <c r="C158" s="16" t="s">
        <v>726</v>
      </c>
      <c r="D158" s="16" t="s">
        <v>708</v>
      </c>
      <c r="E158" s="16" t="s">
        <v>93</v>
      </c>
      <c r="F158" s="16">
        <v>1</v>
      </c>
      <c r="G158" s="15">
        <v>860</v>
      </c>
      <c r="H158" s="15">
        <f t="shared" ref="H158:H168" si="15">F158*G158</f>
        <v>860</v>
      </c>
      <c r="I158" s="16"/>
    </row>
    <row r="159" ht="18.75" customHeight="1" spans="1:9">
      <c r="A159" s="16">
        <f t="shared" ref="A159:A171" si="16">A158+1</f>
        <v>2</v>
      </c>
      <c r="B159" s="16" t="s">
        <v>711</v>
      </c>
      <c r="C159" s="16" t="s">
        <v>302</v>
      </c>
      <c r="D159" s="16" t="s">
        <v>712</v>
      </c>
      <c r="E159" s="16" t="s">
        <v>93</v>
      </c>
      <c r="F159" s="16">
        <v>1</v>
      </c>
      <c r="G159" s="17">
        <v>3520</v>
      </c>
      <c r="H159" s="15">
        <f t="shared" si="15"/>
        <v>3520</v>
      </c>
      <c r="I159" s="16"/>
    </row>
    <row r="160" ht="18.75" customHeight="1" spans="1:9">
      <c r="A160" s="16">
        <f t="shared" si="16"/>
        <v>3</v>
      </c>
      <c r="B160" s="16" t="s">
        <v>711</v>
      </c>
      <c r="C160" s="16" t="s">
        <v>91</v>
      </c>
      <c r="D160" s="16" t="s">
        <v>712</v>
      </c>
      <c r="E160" s="16" t="s">
        <v>93</v>
      </c>
      <c r="F160" s="16">
        <v>1</v>
      </c>
      <c r="G160" s="17">
        <v>2880</v>
      </c>
      <c r="H160" s="15">
        <f t="shared" si="15"/>
        <v>2880</v>
      </c>
      <c r="I160" s="16"/>
    </row>
    <row r="161" ht="18.75" customHeight="1" spans="1:9">
      <c r="A161" s="16">
        <f t="shared" si="16"/>
        <v>4</v>
      </c>
      <c r="B161" s="16" t="s">
        <v>714</v>
      </c>
      <c r="C161" s="16" t="s">
        <v>91</v>
      </c>
      <c r="D161" s="16" t="s">
        <v>712</v>
      </c>
      <c r="E161" s="16" t="s">
        <v>93</v>
      </c>
      <c r="F161" s="16">
        <v>2</v>
      </c>
      <c r="G161" s="17">
        <v>15600</v>
      </c>
      <c r="H161" s="15">
        <f t="shared" si="15"/>
        <v>31200</v>
      </c>
      <c r="I161" s="16" t="s">
        <v>715</v>
      </c>
    </row>
    <row r="162" ht="18.75" customHeight="1" spans="1:9">
      <c r="A162" s="16">
        <f t="shared" si="16"/>
        <v>5</v>
      </c>
      <c r="B162" s="16" t="s">
        <v>716</v>
      </c>
      <c r="C162" s="16" t="s">
        <v>91</v>
      </c>
      <c r="D162" s="16" t="s">
        <v>712</v>
      </c>
      <c r="E162" s="16" t="s">
        <v>93</v>
      </c>
      <c r="F162" s="16">
        <v>2</v>
      </c>
      <c r="G162" s="17">
        <v>3520</v>
      </c>
      <c r="H162" s="15">
        <f t="shared" si="15"/>
        <v>7040</v>
      </c>
      <c r="I162" s="16"/>
    </row>
    <row r="163" ht="18.75" customHeight="1" spans="1:9">
      <c r="A163" s="16">
        <f t="shared" si="16"/>
        <v>6</v>
      </c>
      <c r="B163" s="16" t="s">
        <v>622</v>
      </c>
      <c r="C163" s="16" t="s">
        <v>302</v>
      </c>
      <c r="D163" s="16" t="s">
        <v>713</v>
      </c>
      <c r="E163" s="16" t="s">
        <v>93</v>
      </c>
      <c r="F163" s="16">
        <v>1</v>
      </c>
      <c r="G163" s="17">
        <v>3277</v>
      </c>
      <c r="H163" s="15">
        <f t="shared" si="15"/>
        <v>3277</v>
      </c>
      <c r="I163" s="16"/>
    </row>
    <row r="164" ht="18.75" customHeight="1" spans="1:9">
      <c r="A164" s="16">
        <f t="shared" si="16"/>
        <v>7</v>
      </c>
      <c r="B164" s="16" t="s">
        <v>622</v>
      </c>
      <c r="C164" s="16" t="s">
        <v>91</v>
      </c>
      <c r="D164" s="16" t="s">
        <v>713</v>
      </c>
      <c r="E164" s="16" t="s">
        <v>93</v>
      </c>
      <c r="F164" s="16">
        <v>1</v>
      </c>
      <c r="G164" s="17">
        <v>2661.6</v>
      </c>
      <c r="H164" s="15">
        <f t="shared" si="15"/>
        <v>2661.6</v>
      </c>
      <c r="I164" s="16"/>
    </row>
    <row r="165" ht="18.75" customHeight="1" spans="1:9">
      <c r="A165" s="16">
        <f t="shared" si="16"/>
        <v>8</v>
      </c>
      <c r="B165" s="16" t="s">
        <v>717</v>
      </c>
      <c r="C165" s="16" t="s">
        <v>91</v>
      </c>
      <c r="D165" s="16" t="s">
        <v>718</v>
      </c>
      <c r="E165" s="16" t="s">
        <v>93</v>
      </c>
      <c r="F165" s="16">
        <v>2</v>
      </c>
      <c r="G165" s="17">
        <v>775.82</v>
      </c>
      <c r="H165" s="15">
        <f t="shared" si="15"/>
        <v>1551.64</v>
      </c>
      <c r="I165" s="16"/>
    </row>
    <row r="166" ht="18.75" customHeight="1" spans="1:9">
      <c r="A166" s="16">
        <f t="shared" si="16"/>
        <v>9</v>
      </c>
      <c r="B166" s="16" t="s">
        <v>719</v>
      </c>
      <c r="C166" s="16" t="s">
        <v>91</v>
      </c>
      <c r="D166" s="16" t="s">
        <v>712</v>
      </c>
      <c r="E166" s="16" t="s">
        <v>93</v>
      </c>
      <c r="F166" s="16">
        <v>2</v>
      </c>
      <c r="G166" s="17">
        <v>1446.92</v>
      </c>
      <c r="H166" s="15">
        <f t="shared" si="15"/>
        <v>2893.84</v>
      </c>
      <c r="I166" s="16"/>
    </row>
    <row r="167" ht="18.75" customHeight="1" spans="1:9">
      <c r="A167" s="16">
        <f t="shared" si="16"/>
        <v>10</v>
      </c>
      <c r="B167" s="16" t="s">
        <v>709</v>
      </c>
      <c r="C167" s="16" t="s">
        <v>723</v>
      </c>
      <c r="D167" s="16" t="s">
        <v>708</v>
      </c>
      <c r="E167" s="16" t="s">
        <v>93</v>
      </c>
      <c r="F167" s="16">
        <v>3</v>
      </c>
      <c r="G167" s="17">
        <v>412.12</v>
      </c>
      <c r="H167" s="15">
        <f t="shared" si="15"/>
        <v>1236.36</v>
      </c>
      <c r="I167" s="16"/>
    </row>
    <row r="168" ht="18.75" customHeight="1" spans="1:9">
      <c r="A168" s="16">
        <f t="shared" si="16"/>
        <v>11</v>
      </c>
      <c r="B168" s="16" t="s">
        <v>600</v>
      </c>
      <c r="C168" s="16" t="s">
        <v>699</v>
      </c>
      <c r="D168" s="16" t="s">
        <v>708</v>
      </c>
      <c r="E168" s="16" t="s">
        <v>93</v>
      </c>
      <c r="F168" s="16">
        <v>1</v>
      </c>
      <c r="G168" s="17">
        <v>762.4</v>
      </c>
      <c r="H168" s="15">
        <f t="shared" si="15"/>
        <v>762.4</v>
      </c>
      <c r="I168" s="16"/>
    </row>
    <row r="169" ht="18.75" customHeight="1" spans="1:9">
      <c r="A169" s="16">
        <f t="shared" si="16"/>
        <v>12</v>
      </c>
      <c r="B169" s="16" t="s">
        <v>706</v>
      </c>
      <c r="C169" s="16" t="s">
        <v>699</v>
      </c>
      <c r="D169" s="16" t="s">
        <v>76</v>
      </c>
      <c r="E169" s="16" t="s">
        <v>93</v>
      </c>
      <c r="F169" s="16">
        <v>1</v>
      </c>
      <c r="G169" s="17">
        <v>208</v>
      </c>
      <c r="H169" s="15">
        <f>G169*F169</f>
        <v>208</v>
      </c>
      <c r="I169" s="16"/>
    </row>
    <row r="170" ht="18.75" customHeight="1" spans="1:9">
      <c r="A170" s="16">
        <f t="shared" si="16"/>
        <v>13</v>
      </c>
      <c r="B170" s="16" t="s">
        <v>706</v>
      </c>
      <c r="C170" s="16" t="s">
        <v>106</v>
      </c>
      <c r="D170" s="16" t="s">
        <v>76</v>
      </c>
      <c r="E170" s="16" t="s">
        <v>93</v>
      </c>
      <c r="F170" s="16">
        <v>1</v>
      </c>
      <c r="G170" s="17">
        <v>170</v>
      </c>
      <c r="H170" s="15">
        <f t="shared" ref="H170:H223" si="17">F170*G170</f>
        <v>170</v>
      </c>
      <c r="I170" s="16"/>
    </row>
    <row r="171" s="7" customFormat="1" ht="18.75" customHeight="1" spans="1:14">
      <c r="A171" s="16">
        <f t="shared" si="16"/>
        <v>14</v>
      </c>
      <c r="B171" s="16" t="s">
        <v>700</v>
      </c>
      <c r="C171" s="16" t="s">
        <v>773</v>
      </c>
      <c r="D171" s="16" t="s">
        <v>702</v>
      </c>
      <c r="E171" s="16" t="s">
        <v>168</v>
      </c>
      <c r="F171" s="16">
        <v>1</v>
      </c>
      <c r="G171" s="17">
        <v>12000</v>
      </c>
      <c r="H171" s="15">
        <f>G171*F171</f>
        <v>12000</v>
      </c>
      <c r="I171" s="16"/>
      <c r="N171" s="8"/>
    </row>
    <row r="172" ht="18.75" customHeight="1" spans="1:9">
      <c r="A172" s="16"/>
      <c r="B172" s="11" t="s">
        <v>444</v>
      </c>
      <c r="C172" s="11"/>
      <c r="D172" s="11"/>
      <c r="E172" s="11"/>
      <c r="F172" s="11"/>
      <c r="G172" s="20"/>
      <c r="H172" s="14">
        <f>SUM(H158:H171)</f>
        <v>70260.84</v>
      </c>
      <c r="I172" s="11"/>
    </row>
    <row r="173" ht="18.75" customHeight="1" spans="1:9">
      <c r="A173" s="11" t="s">
        <v>629</v>
      </c>
      <c r="B173" s="11" t="s">
        <v>728</v>
      </c>
      <c r="C173" s="11"/>
      <c r="D173" s="11"/>
      <c r="E173" s="11"/>
      <c r="F173" s="11"/>
      <c r="G173" s="20"/>
      <c r="H173" s="14"/>
      <c r="I173" s="11"/>
    </row>
    <row r="174" ht="18.75" customHeight="1" spans="1:9">
      <c r="A174" s="16">
        <v>1</v>
      </c>
      <c r="B174" s="16" t="s">
        <v>721</v>
      </c>
      <c r="C174" s="16" t="s">
        <v>699</v>
      </c>
      <c r="D174" s="16" t="s">
        <v>76</v>
      </c>
      <c r="E174" s="16" t="s">
        <v>154</v>
      </c>
      <c r="F174" s="16">
        <v>153</v>
      </c>
      <c r="G174" s="17">
        <v>298.51</v>
      </c>
      <c r="H174" s="15">
        <f t="shared" si="17"/>
        <v>45672.03</v>
      </c>
      <c r="I174" s="16"/>
    </row>
    <row r="175" ht="18.75" customHeight="1" spans="1:9">
      <c r="A175" s="16">
        <f t="shared" ref="A175:A223" si="18">A174+1</f>
        <v>2</v>
      </c>
      <c r="B175" s="16" t="s">
        <v>721</v>
      </c>
      <c r="C175" s="16" t="s">
        <v>106</v>
      </c>
      <c r="D175" s="16" t="s">
        <v>76</v>
      </c>
      <c r="E175" s="16" t="s">
        <v>154</v>
      </c>
      <c r="F175" s="16">
        <v>158</v>
      </c>
      <c r="G175" s="17">
        <v>170</v>
      </c>
      <c r="H175" s="15">
        <f t="shared" si="17"/>
        <v>26860</v>
      </c>
      <c r="I175" s="16"/>
    </row>
    <row r="176" ht="18.75" customHeight="1" spans="1:9">
      <c r="A176" s="16">
        <f t="shared" si="18"/>
        <v>3</v>
      </c>
      <c r="B176" s="16" t="s">
        <v>721</v>
      </c>
      <c r="C176" s="16" t="s">
        <v>108</v>
      </c>
      <c r="D176" s="16" t="s">
        <v>76</v>
      </c>
      <c r="E176" s="16" t="s">
        <v>154</v>
      </c>
      <c r="F176" s="16">
        <v>1042</v>
      </c>
      <c r="G176" s="17">
        <v>60.89</v>
      </c>
      <c r="H176" s="15">
        <f t="shared" si="17"/>
        <v>63447.38</v>
      </c>
      <c r="I176" s="16"/>
    </row>
    <row r="177" ht="18.75" customHeight="1" spans="1:9">
      <c r="A177" s="16">
        <f t="shared" si="18"/>
        <v>4</v>
      </c>
      <c r="B177" s="16" t="s">
        <v>721</v>
      </c>
      <c r="C177" s="16" t="s">
        <v>242</v>
      </c>
      <c r="D177" s="16" t="s">
        <v>76</v>
      </c>
      <c r="E177" s="16" t="s">
        <v>154</v>
      </c>
      <c r="F177" s="16">
        <v>588</v>
      </c>
      <c r="G177" s="17">
        <v>47.31</v>
      </c>
      <c r="H177" s="15">
        <f t="shared" si="17"/>
        <v>27818.28</v>
      </c>
      <c r="I177" s="16"/>
    </row>
    <row r="178" ht="18.75" customHeight="1" spans="1:9">
      <c r="A178" s="16">
        <f t="shared" si="18"/>
        <v>5</v>
      </c>
      <c r="B178" s="16" t="s">
        <v>767</v>
      </c>
      <c r="C178" s="16" t="s">
        <v>778</v>
      </c>
      <c r="D178" s="16" t="s">
        <v>708</v>
      </c>
      <c r="E178" s="16" t="s">
        <v>93</v>
      </c>
      <c r="F178" s="16">
        <v>3</v>
      </c>
      <c r="G178" s="17">
        <v>440.44</v>
      </c>
      <c r="H178" s="15">
        <f t="shared" si="17"/>
        <v>1321.32</v>
      </c>
      <c r="I178" s="16"/>
    </row>
    <row r="179" ht="18.75" customHeight="1" spans="1:9">
      <c r="A179" s="16">
        <f t="shared" si="18"/>
        <v>6</v>
      </c>
      <c r="B179" s="16" t="s">
        <v>722</v>
      </c>
      <c r="C179" s="16" t="s">
        <v>795</v>
      </c>
      <c r="D179" s="16" t="s">
        <v>708</v>
      </c>
      <c r="E179" s="16" t="s">
        <v>93</v>
      </c>
      <c r="F179" s="16">
        <v>1</v>
      </c>
      <c r="G179" s="17">
        <v>1450.94</v>
      </c>
      <c r="H179" s="15">
        <f t="shared" si="17"/>
        <v>1450.94</v>
      </c>
      <c r="I179" s="16"/>
    </row>
    <row r="180" ht="18.75" customHeight="1" spans="1:9">
      <c r="A180" s="16">
        <f t="shared" si="18"/>
        <v>7</v>
      </c>
      <c r="B180" s="16" t="s">
        <v>722</v>
      </c>
      <c r="C180" s="16" t="s">
        <v>726</v>
      </c>
      <c r="D180" s="16" t="s">
        <v>708</v>
      </c>
      <c r="E180" s="16" t="s">
        <v>93</v>
      </c>
      <c r="F180" s="16">
        <v>1</v>
      </c>
      <c r="G180" s="17">
        <v>560</v>
      </c>
      <c r="H180" s="15">
        <f t="shared" si="17"/>
        <v>560</v>
      </c>
      <c r="I180" s="16"/>
    </row>
    <row r="181" ht="18.75" customHeight="1" spans="1:9">
      <c r="A181" s="16">
        <f t="shared" si="18"/>
        <v>8</v>
      </c>
      <c r="B181" s="16" t="s">
        <v>722</v>
      </c>
      <c r="C181" s="16" t="s">
        <v>778</v>
      </c>
      <c r="D181" s="16" t="s">
        <v>708</v>
      </c>
      <c r="E181" s="16" t="s">
        <v>93</v>
      </c>
      <c r="F181" s="16">
        <v>3</v>
      </c>
      <c r="G181" s="17">
        <v>420</v>
      </c>
      <c r="H181" s="15">
        <f t="shared" si="17"/>
        <v>1260</v>
      </c>
      <c r="I181" s="16"/>
    </row>
    <row r="182" ht="18.75" customHeight="1" spans="1:9">
      <c r="A182" s="16">
        <f t="shared" si="18"/>
        <v>9</v>
      </c>
      <c r="B182" s="16" t="s">
        <v>722</v>
      </c>
      <c r="C182" s="16" t="s">
        <v>777</v>
      </c>
      <c r="D182" s="16" t="s">
        <v>708</v>
      </c>
      <c r="E182" s="16" t="s">
        <v>93</v>
      </c>
      <c r="F182" s="16">
        <v>1</v>
      </c>
      <c r="G182" s="17">
        <v>120</v>
      </c>
      <c r="H182" s="15">
        <f t="shared" si="17"/>
        <v>120</v>
      </c>
      <c r="I182" s="16"/>
    </row>
    <row r="183" ht="18.75" customHeight="1" spans="1:9">
      <c r="A183" s="16">
        <f t="shared" si="18"/>
        <v>10</v>
      </c>
      <c r="B183" s="16" t="s">
        <v>601</v>
      </c>
      <c r="C183" s="16" t="s">
        <v>115</v>
      </c>
      <c r="D183" s="16" t="s">
        <v>76</v>
      </c>
      <c r="E183" s="16" t="s">
        <v>93</v>
      </c>
      <c r="F183" s="16">
        <v>1</v>
      </c>
      <c r="G183" s="17">
        <v>420</v>
      </c>
      <c r="H183" s="15">
        <f t="shared" si="17"/>
        <v>420</v>
      </c>
      <c r="I183" s="16"/>
    </row>
    <row r="184" ht="18.75" customHeight="1" spans="1:9">
      <c r="A184" s="16">
        <f t="shared" si="18"/>
        <v>11</v>
      </c>
      <c r="B184" s="16" t="s">
        <v>601</v>
      </c>
      <c r="C184" s="16" t="s">
        <v>245</v>
      </c>
      <c r="D184" s="16" t="s">
        <v>76</v>
      </c>
      <c r="E184" s="16" t="s">
        <v>93</v>
      </c>
      <c r="F184" s="16">
        <v>98</v>
      </c>
      <c r="G184" s="17">
        <v>98.97</v>
      </c>
      <c r="H184" s="15">
        <f t="shared" si="17"/>
        <v>9699.06</v>
      </c>
      <c r="I184" s="16"/>
    </row>
    <row r="185" ht="18.75" customHeight="1" spans="1:9">
      <c r="A185" s="16">
        <f t="shared" si="18"/>
        <v>12</v>
      </c>
      <c r="B185" s="16" t="s">
        <v>741</v>
      </c>
      <c r="C185" s="16" t="s">
        <v>779</v>
      </c>
      <c r="D185" s="16" t="s">
        <v>780</v>
      </c>
      <c r="E185" s="16" t="s">
        <v>93</v>
      </c>
      <c r="F185" s="16">
        <v>588</v>
      </c>
      <c r="G185" s="17">
        <v>83.94</v>
      </c>
      <c r="H185" s="15">
        <f t="shared" si="17"/>
        <v>49356.72</v>
      </c>
      <c r="I185" s="16" t="s">
        <v>781</v>
      </c>
    </row>
    <row r="186" ht="18.75" customHeight="1" spans="1:9">
      <c r="A186" s="16">
        <f t="shared" si="18"/>
        <v>13</v>
      </c>
      <c r="B186" s="16" t="s">
        <v>609</v>
      </c>
      <c r="C186" s="16" t="s">
        <v>723</v>
      </c>
      <c r="D186" s="16" t="s">
        <v>708</v>
      </c>
      <c r="E186" s="16" t="s">
        <v>93</v>
      </c>
      <c r="F186" s="16">
        <v>1</v>
      </c>
      <c r="G186" s="17">
        <v>412.12</v>
      </c>
      <c r="H186" s="15">
        <f t="shared" si="17"/>
        <v>412.12</v>
      </c>
      <c r="I186" s="16"/>
    </row>
    <row r="187" ht="18.75" customHeight="1" spans="1:9">
      <c r="A187" s="16">
        <f t="shared" si="18"/>
        <v>14</v>
      </c>
      <c r="B187" s="16" t="s">
        <v>609</v>
      </c>
      <c r="C187" s="16" t="s">
        <v>778</v>
      </c>
      <c r="D187" s="16" t="s">
        <v>708</v>
      </c>
      <c r="E187" s="16" t="s">
        <v>93</v>
      </c>
      <c r="F187" s="16">
        <v>1</v>
      </c>
      <c r="G187" s="17">
        <v>178</v>
      </c>
      <c r="H187" s="15">
        <f t="shared" si="17"/>
        <v>178</v>
      </c>
      <c r="I187" s="16"/>
    </row>
    <row r="188" ht="18.75" customHeight="1" spans="1:9">
      <c r="A188" s="16">
        <f t="shared" si="18"/>
        <v>15</v>
      </c>
      <c r="B188" s="16" t="s">
        <v>609</v>
      </c>
      <c r="C188" s="16" t="s">
        <v>222</v>
      </c>
      <c r="D188" s="16" t="s">
        <v>708</v>
      </c>
      <c r="E188" s="16" t="s">
        <v>93</v>
      </c>
      <c r="F188" s="16">
        <v>1</v>
      </c>
      <c r="G188" s="17">
        <v>45</v>
      </c>
      <c r="H188" s="15">
        <f t="shared" si="17"/>
        <v>45</v>
      </c>
      <c r="I188" s="16"/>
    </row>
    <row r="189" ht="18.75" customHeight="1" spans="1:9">
      <c r="A189" s="16">
        <f t="shared" si="18"/>
        <v>16</v>
      </c>
      <c r="B189" s="16" t="s">
        <v>711</v>
      </c>
      <c r="C189" s="16" t="s">
        <v>91</v>
      </c>
      <c r="D189" s="16" t="s">
        <v>712</v>
      </c>
      <c r="E189" s="16" t="s">
        <v>93</v>
      </c>
      <c r="F189" s="16">
        <v>1</v>
      </c>
      <c r="G189" s="17">
        <v>2880</v>
      </c>
      <c r="H189" s="15">
        <f t="shared" si="17"/>
        <v>2880</v>
      </c>
      <c r="I189" s="16"/>
    </row>
    <row r="190" ht="18.75" customHeight="1" spans="1:9">
      <c r="A190" s="16">
        <f t="shared" si="18"/>
        <v>17</v>
      </c>
      <c r="B190" s="16" t="s">
        <v>711</v>
      </c>
      <c r="C190" s="16" t="s">
        <v>235</v>
      </c>
      <c r="D190" s="16" t="s">
        <v>712</v>
      </c>
      <c r="E190" s="16" t="s">
        <v>93</v>
      </c>
      <c r="F190" s="16">
        <v>99</v>
      </c>
      <c r="G190" s="17">
        <v>720</v>
      </c>
      <c r="H190" s="15">
        <f t="shared" si="17"/>
        <v>71280</v>
      </c>
      <c r="I190" s="16"/>
    </row>
    <row r="191" ht="18.75" customHeight="1" spans="1:9">
      <c r="A191" s="16">
        <f t="shared" si="18"/>
        <v>18</v>
      </c>
      <c r="B191" s="16" t="s">
        <v>711</v>
      </c>
      <c r="C191" s="16" t="s">
        <v>745</v>
      </c>
      <c r="D191" s="16" t="s">
        <v>712</v>
      </c>
      <c r="E191" s="16" t="s">
        <v>93</v>
      </c>
      <c r="F191" s="16">
        <v>588</v>
      </c>
      <c r="G191" s="17">
        <v>120</v>
      </c>
      <c r="H191" s="15">
        <f t="shared" si="17"/>
        <v>70560</v>
      </c>
      <c r="I191" s="16"/>
    </row>
    <row r="192" ht="18.75" customHeight="1" spans="1:9">
      <c r="A192" s="16">
        <f t="shared" si="18"/>
        <v>19</v>
      </c>
      <c r="B192" s="16" t="s">
        <v>714</v>
      </c>
      <c r="C192" s="16" t="s">
        <v>101</v>
      </c>
      <c r="D192" s="16" t="s">
        <v>712</v>
      </c>
      <c r="E192" s="16" t="s">
        <v>93</v>
      </c>
      <c r="F192" s="16">
        <v>1</v>
      </c>
      <c r="G192" s="17">
        <v>11200</v>
      </c>
      <c r="H192" s="15">
        <f t="shared" si="17"/>
        <v>11200</v>
      </c>
      <c r="I192" s="16" t="s">
        <v>715</v>
      </c>
    </row>
    <row r="193" ht="18.75" customHeight="1" spans="1:9">
      <c r="A193" s="16">
        <f t="shared" si="18"/>
        <v>20</v>
      </c>
      <c r="B193" s="16" t="s">
        <v>714</v>
      </c>
      <c r="C193" s="16" t="s">
        <v>235</v>
      </c>
      <c r="D193" s="16" t="s">
        <v>712</v>
      </c>
      <c r="E193" s="16" t="s">
        <v>93</v>
      </c>
      <c r="F193" s="16">
        <v>1</v>
      </c>
      <c r="G193" s="17">
        <v>6500</v>
      </c>
      <c r="H193" s="15">
        <f t="shared" si="17"/>
        <v>6500</v>
      </c>
      <c r="I193" s="16" t="s">
        <v>715</v>
      </c>
    </row>
    <row r="194" ht="18.75" customHeight="1" spans="1:9">
      <c r="A194" s="16">
        <f t="shared" si="18"/>
        <v>21</v>
      </c>
      <c r="B194" s="16" t="s">
        <v>746</v>
      </c>
      <c r="C194" s="16" t="s">
        <v>745</v>
      </c>
      <c r="D194" s="16" t="s">
        <v>712</v>
      </c>
      <c r="E194" s="16" t="s">
        <v>93</v>
      </c>
      <c r="F194" s="16">
        <v>588</v>
      </c>
      <c r="G194" s="17">
        <v>346</v>
      </c>
      <c r="H194" s="15">
        <f t="shared" si="17"/>
        <v>203448</v>
      </c>
      <c r="I194" s="16"/>
    </row>
    <row r="195" ht="18.75" customHeight="1" spans="1:9">
      <c r="A195" s="16">
        <f t="shared" si="18"/>
        <v>22</v>
      </c>
      <c r="B195" s="16" t="s">
        <v>719</v>
      </c>
      <c r="C195" s="16" t="s">
        <v>796</v>
      </c>
      <c r="D195" s="16" t="s">
        <v>712</v>
      </c>
      <c r="E195" s="16" t="s">
        <v>93</v>
      </c>
      <c r="F195" s="16">
        <v>1</v>
      </c>
      <c r="G195" s="17">
        <v>3467.87</v>
      </c>
      <c r="H195" s="15">
        <f t="shared" si="17"/>
        <v>3467.87</v>
      </c>
      <c r="I195" s="16"/>
    </row>
    <row r="196" ht="18.75" customHeight="1" spans="1:9">
      <c r="A196" s="16">
        <f t="shared" si="18"/>
        <v>23</v>
      </c>
      <c r="B196" s="16" t="s">
        <v>719</v>
      </c>
      <c r="C196" s="16" t="s">
        <v>302</v>
      </c>
      <c r="D196" s="16" t="s">
        <v>712</v>
      </c>
      <c r="E196" s="16" t="s">
        <v>93</v>
      </c>
      <c r="F196" s="16">
        <v>2</v>
      </c>
      <c r="G196" s="17">
        <v>2215.14</v>
      </c>
      <c r="H196" s="15">
        <f t="shared" si="17"/>
        <v>4430.28</v>
      </c>
      <c r="I196" s="16"/>
    </row>
    <row r="197" ht="18.75" customHeight="1" spans="1:9">
      <c r="A197" s="16">
        <f t="shared" si="18"/>
        <v>24</v>
      </c>
      <c r="B197" s="16" t="s">
        <v>719</v>
      </c>
      <c r="C197" s="16" t="s">
        <v>91</v>
      </c>
      <c r="D197" s="16" t="s">
        <v>712</v>
      </c>
      <c r="E197" s="16" t="s">
        <v>93</v>
      </c>
      <c r="F197" s="16">
        <v>1</v>
      </c>
      <c r="G197" s="19">
        <v>1446.92</v>
      </c>
      <c r="H197" s="15">
        <f t="shared" si="17"/>
        <v>1446.92</v>
      </c>
      <c r="I197" s="16"/>
    </row>
    <row r="198" ht="18.75" customHeight="1" spans="1:9">
      <c r="A198" s="16">
        <f t="shared" si="18"/>
        <v>25</v>
      </c>
      <c r="B198" s="16" t="s">
        <v>719</v>
      </c>
      <c r="C198" s="16" t="s">
        <v>101</v>
      </c>
      <c r="D198" s="16" t="s">
        <v>712</v>
      </c>
      <c r="E198" s="16" t="s">
        <v>93</v>
      </c>
      <c r="F198" s="16">
        <v>10</v>
      </c>
      <c r="G198" s="19">
        <v>822.94</v>
      </c>
      <c r="H198" s="15">
        <f t="shared" si="17"/>
        <v>8229.4</v>
      </c>
      <c r="I198" s="16"/>
    </row>
    <row r="199" ht="18.75" customHeight="1" spans="1:9">
      <c r="A199" s="16">
        <f t="shared" si="18"/>
        <v>26</v>
      </c>
      <c r="B199" s="16" t="s">
        <v>719</v>
      </c>
      <c r="C199" s="16" t="s">
        <v>235</v>
      </c>
      <c r="D199" s="16" t="s">
        <v>712</v>
      </c>
      <c r="E199" s="16" t="s">
        <v>93</v>
      </c>
      <c r="F199" s="16">
        <v>1</v>
      </c>
      <c r="G199" s="19">
        <v>462.73</v>
      </c>
      <c r="H199" s="15">
        <f t="shared" si="17"/>
        <v>462.73</v>
      </c>
      <c r="I199" s="16"/>
    </row>
    <row r="200" ht="18.75" customHeight="1" spans="1:9">
      <c r="A200" s="16">
        <f t="shared" si="18"/>
        <v>27</v>
      </c>
      <c r="B200" s="16" t="s">
        <v>595</v>
      </c>
      <c r="C200" s="16" t="s">
        <v>745</v>
      </c>
      <c r="D200" s="16" t="s">
        <v>749</v>
      </c>
      <c r="E200" s="16" t="s">
        <v>93</v>
      </c>
      <c r="F200" s="16">
        <v>588</v>
      </c>
      <c r="G200" s="17">
        <v>65</v>
      </c>
      <c r="H200" s="15">
        <f t="shared" si="17"/>
        <v>38220</v>
      </c>
      <c r="I200" s="16"/>
    </row>
    <row r="201" ht="18.75" customHeight="1" spans="1:9">
      <c r="A201" s="16">
        <f t="shared" si="18"/>
        <v>28</v>
      </c>
      <c r="B201" s="16" t="s">
        <v>717</v>
      </c>
      <c r="C201" s="16" t="s">
        <v>796</v>
      </c>
      <c r="D201" s="16" t="s">
        <v>712</v>
      </c>
      <c r="E201" s="16" t="s">
        <v>93</v>
      </c>
      <c r="F201" s="16">
        <v>1</v>
      </c>
      <c r="G201" s="17">
        <v>1655.58</v>
      </c>
      <c r="H201" s="15">
        <f t="shared" si="17"/>
        <v>1655.58</v>
      </c>
      <c r="I201" s="16"/>
    </row>
    <row r="202" ht="18.75" customHeight="1" spans="1:9">
      <c r="A202" s="16">
        <f t="shared" si="18"/>
        <v>29</v>
      </c>
      <c r="B202" s="16" t="s">
        <v>717</v>
      </c>
      <c r="C202" s="16" t="s">
        <v>302</v>
      </c>
      <c r="D202" s="16" t="s">
        <v>712</v>
      </c>
      <c r="E202" s="16" t="s">
        <v>93</v>
      </c>
      <c r="F202" s="16">
        <v>2</v>
      </c>
      <c r="G202" s="17">
        <v>893.94</v>
      </c>
      <c r="H202" s="15">
        <f t="shared" si="17"/>
        <v>1787.88</v>
      </c>
      <c r="I202" s="16"/>
    </row>
    <row r="203" ht="18.75" customHeight="1" spans="1:9">
      <c r="A203" s="16">
        <f t="shared" si="18"/>
        <v>30</v>
      </c>
      <c r="B203" s="16" t="s">
        <v>717</v>
      </c>
      <c r="C203" s="16" t="s">
        <v>91</v>
      </c>
      <c r="D203" s="16" t="s">
        <v>712</v>
      </c>
      <c r="E203" s="16" t="s">
        <v>93</v>
      </c>
      <c r="F203" s="16">
        <v>1</v>
      </c>
      <c r="G203" s="17">
        <v>775.82</v>
      </c>
      <c r="H203" s="15">
        <f t="shared" si="17"/>
        <v>775.82</v>
      </c>
      <c r="I203" s="16"/>
    </row>
    <row r="204" ht="18.75" customHeight="1" spans="1:9">
      <c r="A204" s="16">
        <f t="shared" si="18"/>
        <v>31</v>
      </c>
      <c r="B204" s="16" t="s">
        <v>717</v>
      </c>
      <c r="C204" s="16" t="s">
        <v>101</v>
      </c>
      <c r="D204" s="16" t="s">
        <v>712</v>
      </c>
      <c r="E204" s="16" t="s">
        <v>93</v>
      </c>
      <c r="F204" s="16">
        <v>1</v>
      </c>
      <c r="G204" s="17">
        <v>584.89</v>
      </c>
      <c r="H204" s="15">
        <f t="shared" si="17"/>
        <v>584.89</v>
      </c>
      <c r="I204" s="16"/>
    </row>
    <row r="205" ht="18.75" customHeight="1" spans="1:9">
      <c r="A205" s="16">
        <f t="shared" si="18"/>
        <v>32</v>
      </c>
      <c r="B205" s="16" t="s">
        <v>717</v>
      </c>
      <c r="C205" s="16" t="s">
        <v>235</v>
      </c>
      <c r="D205" s="16" t="s">
        <v>712</v>
      </c>
      <c r="E205" s="16" t="s">
        <v>93</v>
      </c>
      <c r="F205" s="16">
        <v>1</v>
      </c>
      <c r="G205" s="17">
        <v>268</v>
      </c>
      <c r="H205" s="15">
        <f t="shared" si="17"/>
        <v>268</v>
      </c>
      <c r="I205" s="16"/>
    </row>
    <row r="206" ht="18.75" customHeight="1" spans="1:9">
      <c r="A206" s="16">
        <f t="shared" si="18"/>
        <v>33</v>
      </c>
      <c r="B206" s="16" t="s">
        <v>716</v>
      </c>
      <c r="C206" s="16" t="s">
        <v>101</v>
      </c>
      <c r="D206" s="16" t="s">
        <v>712</v>
      </c>
      <c r="E206" s="16" t="s">
        <v>93</v>
      </c>
      <c r="F206" s="16">
        <v>1</v>
      </c>
      <c r="G206" s="17">
        <v>2016</v>
      </c>
      <c r="H206" s="15">
        <f t="shared" si="17"/>
        <v>2016</v>
      </c>
      <c r="I206" s="16"/>
    </row>
    <row r="207" ht="18.75" customHeight="1" spans="1:9">
      <c r="A207" s="16">
        <f t="shared" si="18"/>
        <v>34</v>
      </c>
      <c r="B207" s="16" t="s">
        <v>716</v>
      </c>
      <c r="C207" s="16" t="s">
        <v>235</v>
      </c>
      <c r="D207" s="16" t="s">
        <v>712</v>
      </c>
      <c r="E207" s="16" t="s">
        <v>93</v>
      </c>
      <c r="F207" s="16">
        <v>1</v>
      </c>
      <c r="G207" s="17">
        <v>1120</v>
      </c>
      <c r="H207" s="15">
        <f t="shared" si="17"/>
        <v>1120</v>
      </c>
      <c r="I207" s="16"/>
    </row>
    <row r="208" ht="18.75" customHeight="1" spans="1:9">
      <c r="A208" s="16">
        <f t="shared" si="18"/>
        <v>35</v>
      </c>
      <c r="B208" s="16" t="s">
        <v>622</v>
      </c>
      <c r="C208" s="16" t="s">
        <v>101</v>
      </c>
      <c r="D208" s="16" t="s">
        <v>713</v>
      </c>
      <c r="E208" s="16" t="s">
        <v>93</v>
      </c>
      <c r="F208" s="16">
        <v>1</v>
      </c>
      <c r="G208" s="19">
        <v>993</v>
      </c>
      <c r="H208" s="15">
        <f t="shared" si="17"/>
        <v>993</v>
      </c>
      <c r="I208" s="16"/>
    </row>
    <row r="209" ht="18.75" customHeight="1" spans="1:9">
      <c r="A209" s="16">
        <f t="shared" si="18"/>
        <v>36</v>
      </c>
      <c r="B209" s="16" t="s">
        <v>622</v>
      </c>
      <c r="C209" s="16" t="s">
        <v>235</v>
      </c>
      <c r="D209" s="16" t="s">
        <v>713</v>
      </c>
      <c r="E209" s="16" t="s">
        <v>93</v>
      </c>
      <c r="F209" s="16">
        <v>1</v>
      </c>
      <c r="G209" s="19">
        <v>460</v>
      </c>
      <c r="H209" s="15">
        <f t="shared" si="17"/>
        <v>460</v>
      </c>
      <c r="I209" s="16"/>
    </row>
    <row r="210" ht="18.75" customHeight="1" spans="1:9">
      <c r="A210" s="16">
        <f t="shared" si="18"/>
        <v>37</v>
      </c>
      <c r="B210" s="16" t="s">
        <v>600</v>
      </c>
      <c r="C210" s="16" t="s">
        <v>699</v>
      </c>
      <c r="D210" s="16" t="s">
        <v>76</v>
      </c>
      <c r="E210" s="16" t="s">
        <v>93</v>
      </c>
      <c r="F210" s="16">
        <v>2</v>
      </c>
      <c r="G210" s="17">
        <v>762.4</v>
      </c>
      <c r="H210" s="15">
        <f t="shared" si="17"/>
        <v>1524.8</v>
      </c>
      <c r="I210" s="16"/>
    </row>
    <row r="211" ht="18.75" customHeight="1" spans="1:9">
      <c r="A211" s="16">
        <f t="shared" si="18"/>
        <v>38</v>
      </c>
      <c r="B211" s="16" t="s">
        <v>600</v>
      </c>
      <c r="C211" s="16" t="s">
        <v>106</v>
      </c>
      <c r="D211" s="16" t="s">
        <v>76</v>
      </c>
      <c r="E211" s="16" t="s">
        <v>93</v>
      </c>
      <c r="F211" s="16">
        <v>2</v>
      </c>
      <c r="G211" s="19">
        <v>165</v>
      </c>
      <c r="H211" s="15">
        <f t="shared" si="17"/>
        <v>330</v>
      </c>
      <c r="I211" s="16"/>
    </row>
    <row r="212" ht="18.75" customHeight="1" spans="1:9">
      <c r="A212" s="16">
        <f t="shared" si="18"/>
        <v>39</v>
      </c>
      <c r="B212" s="16" t="s">
        <v>600</v>
      </c>
      <c r="C212" s="16" t="s">
        <v>108</v>
      </c>
      <c r="D212" s="16" t="s">
        <v>76</v>
      </c>
      <c r="E212" s="16" t="s">
        <v>93</v>
      </c>
      <c r="F212" s="16">
        <v>2</v>
      </c>
      <c r="G212" s="19">
        <v>91.72</v>
      </c>
      <c r="H212" s="15">
        <f t="shared" si="17"/>
        <v>183.44</v>
      </c>
      <c r="I212" s="16"/>
    </row>
    <row r="213" ht="18.75" customHeight="1" spans="1:9">
      <c r="A213" s="16">
        <f t="shared" si="18"/>
        <v>40</v>
      </c>
      <c r="B213" s="16" t="s">
        <v>655</v>
      </c>
      <c r="C213" s="16" t="s">
        <v>108</v>
      </c>
      <c r="D213" s="16" t="s">
        <v>76</v>
      </c>
      <c r="E213" s="16" t="s">
        <v>93</v>
      </c>
      <c r="F213" s="16">
        <v>5</v>
      </c>
      <c r="G213" s="17">
        <v>45</v>
      </c>
      <c r="H213" s="15">
        <f t="shared" si="17"/>
        <v>225</v>
      </c>
      <c r="I213" s="16"/>
    </row>
    <row r="214" ht="18.75" customHeight="1" spans="1:9">
      <c r="A214" s="16">
        <f t="shared" si="18"/>
        <v>41</v>
      </c>
      <c r="B214" s="16" t="s">
        <v>727</v>
      </c>
      <c r="C214" s="16" t="s">
        <v>796</v>
      </c>
      <c r="D214" s="16" t="s">
        <v>708</v>
      </c>
      <c r="E214" s="16" t="s">
        <v>93</v>
      </c>
      <c r="F214" s="16">
        <v>2</v>
      </c>
      <c r="G214" s="17">
        <v>708</v>
      </c>
      <c r="H214" s="15">
        <f t="shared" si="17"/>
        <v>1416</v>
      </c>
      <c r="I214" s="16"/>
    </row>
    <row r="215" ht="18.75" customHeight="1" spans="1:9">
      <c r="A215" s="16">
        <f t="shared" si="18"/>
        <v>42</v>
      </c>
      <c r="B215" s="16" t="s">
        <v>706</v>
      </c>
      <c r="C215" s="16" t="s">
        <v>699</v>
      </c>
      <c r="D215" s="16" t="s">
        <v>76</v>
      </c>
      <c r="E215" s="16" t="s">
        <v>93</v>
      </c>
      <c r="F215" s="16">
        <v>2</v>
      </c>
      <c r="G215" s="17">
        <v>185</v>
      </c>
      <c r="H215" s="15">
        <f t="shared" si="17"/>
        <v>370</v>
      </c>
      <c r="I215" s="16"/>
    </row>
    <row r="216" ht="18.75" customHeight="1" spans="1:9">
      <c r="A216" s="16">
        <f t="shared" si="18"/>
        <v>43</v>
      </c>
      <c r="B216" s="16" t="s">
        <v>706</v>
      </c>
      <c r="C216" s="16" t="s">
        <v>106</v>
      </c>
      <c r="D216" s="16" t="s">
        <v>76</v>
      </c>
      <c r="E216" s="16" t="s">
        <v>93</v>
      </c>
      <c r="F216" s="16">
        <v>12</v>
      </c>
      <c r="G216" s="17">
        <v>170</v>
      </c>
      <c r="H216" s="15">
        <f t="shared" si="17"/>
        <v>2040</v>
      </c>
      <c r="I216" s="16"/>
    </row>
    <row r="217" ht="18.75" customHeight="1" spans="1:9">
      <c r="A217" s="16">
        <f t="shared" si="18"/>
        <v>44</v>
      </c>
      <c r="B217" s="16" t="s">
        <v>706</v>
      </c>
      <c r="C217" s="16" t="s">
        <v>108</v>
      </c>
      <c r="D217" s="16" t="s">
        <v>76</v>
      </c>
      <c r="E217" s="16" t="s">
        <v>93</v>
      </c>
      <c r="F217" s="16">
        <v>11</v>
      </c>
      <c r="G217" s="17">
        <v>90</v>
      </c>
      <c r="H217" s="15">
        <f t="shared" si="17"/>
        <v>990</v>
      </c>
      <c r="I217" s="16"/>
    </row>
    <row r="218" ht="18.75" customHeight="1" spans="1:9">
      <c r="A218" s="16">
        <f t="shared" si="18"/>
        <v>45</v>
      </c>
      <c r="B218" s="16" t="s">
        <v>706</v>
      </c>
      <c r="C218" s="16" t="s">
        <v>242</v>
      </c>
      <c r="D218" s="16" t="s">
        <v>76</v>
      </c>
      <c r="E218" s="16" t="s">
        <v>93</v>
      </c>
      <c r="F218" s="16">
        <v>1</v>
      </c>
      <c r="G218" s="17">
        <v>60</v>
      </c>
      <c r="H218" s="15">
        <f t="shared" si="17"/>
        <v>60</v>
      </c>
      <c r="I218" s="16"/>
    </row>
    <row r="219" s="7" customFormat="1" ht="18.75" customHeight="1" spans="1:14">
      <c r="A219" s="16">
        <f t="shared" si="18"/>
        <v>46</v>
      </c>
      <c r="B219" s="16" t="s">
        <v>783</v>
      </c>
      <c r="C219" s="16" t="s">
        <v>797</v>
      </c>
      <c r="D219" s="16" t="s">
        <v>702</v>
      </c>
      <c r="E219" s="16" t="s">
        <v>168</v>
      </c>
      <c r="F219" s="16">
        <v>1</v>
      </c>
      <c r="G219" s="17">
        <v>11000</v>
      </c>
      <c r="H219" s="15">
        <f t="shared" si="17"/>
        <v>11000</v>
      </c>
      <c r="I219" s="16"/>
      <c r="N219" s="8"/>
    </row>
    <row r="220" s="7" customFormat="1" ht="18.75" customHeight="1" spans="1:14">
      <c r="A220" s="16">
        <f t="shared" si="18"/>
        <v>47</v>
      </c>
      <c r="B220" s="16" t="s">
        <v>783</v>
      </c>
      <c r="C220" s="16" t="s">
        <v>798</v>
      </c>
      <c r="D220" s="16" t="s">
        <v>702</v>
      </c>
      <c r="E220" s="16" t="s">
        <v>168</v>
      </c>
      <c r="F220" s="16">
        <v>98</v>
      </c>
      <c r="G220" s="17">
        <v>7000</v>
      </c>
      <c r="H220" s="15">
        <f t="shared" si="17"/>
        <v>686000</v>
      </c>
      <c r="I220" s="11"/>
      <c r="N220" s="8"/>
    </row>
    <row r="221" ht="18.75" customHeight="1" spans="1:9">
      <c r="A221" s="16">
        <f t="shared" si="18"/>
        <v>48</v>
      </c>
      <c r="B221" s="18" t="s">
        <v>771</v>
      </c>
      <c r="C221" s="16" t="s">
        <v>704</v>
      </c>
      <c r="D221" s="16" t="s">
        <v>705</v>
      </c>
      <c r="E221" s="16" t="s">
        <v>168</v>
      </c>
      <c r="F221" s="16">
        <v>7</v>
      </c>
      <c r="G221" s="17">
        <f>G142</f>
        <v>4288.49</v>
      </c>
      <c r="H221" s="15">
        <f t="shared" si="17"/>
        <v>30019.43</v>
      </c>
      <c r="I221" s="16"/>
    </row>
    <row r="222" ht="18.75" customHeight="1" spans="1:9">
      <c r="A222" s="16">
        <f t="shared" si="18"/>
        <v>49</v>
      </c>
      <c r="B222" s="16" t="s">
        <v>751</v>
      </c>
      <c r="C222" s="16"/>
      <c r="D222" s="16"/>
      <c r="E222" s="16" t="s">
        <v>93</v>
      </c>
      <c r="F222" s="16">
        <v>590</v>
      </c>
      <c r="G222" s="19">
        <v>40</v>
      </c>
      <c r="H222" s="15">
        <f t="shared" si="17"/>
        <v>23600</v>
      </c>
      <c r="I222" s="16"/>
    </row>
    <row r="223" ht="18.75" customHeight="1" spans="1:9">
      <c r="A223" s="16">
        <f t="shared" si="18"/>
        <v>50</v>
      </c>
      <c r="B223" s="16" t="s">
        <v>785</v>
      </c>
      <c r="C223" s="16"/>
      <c r="D223" s="16"/>
      <c r="E223" s="16" t="s">
        <v>93</v>
      </c>
      <c r="F223" s="16">
        <v>70</v>
      </c>
      <c r="G223" s="19">
        <v>120</v>
      </c>
      <c r="H223" s="15">
        <f t="shared" si="17"/>
        <v>8400</v>
      </c>
      <c r="I223" s="16"/>
    </row>
    <row r="224" ht="18.75" customHeight="1" spans="1:9">
      <c r="A224" s="16"/>
      <c r="B224" s="11" t="s">
        <v>444</v>
      </c>
      <c r="C224" s="16"/>
      <c r="D224" s="16"/>
      <c r="E224" s="16"/>
      <c r="F224" s="16"/>
      <c r="G224" s="16"/>
      <c r="H224" s="14">
        <f>SUM(H174:H223)</f>
        <v>1426565.89</v>
      </c>
      <c r="I224" s="16"/>
    </row>
    <row r="225" ht="18.75" customHeight="1" spans="1:9">
      <c r="A225" s="11" t="s">
        <v>652</v>
      </c>
      <c r="B225" s="11" t="s">
        <v>752</v>
      </c>
      <c r="C225" s="11"/>
      <c r="D225" s="11"/>
      <c r="E225" s="11"/>
      <c r="F225" s="11"/>
      <c r="G225" s="20"/>
      <c r="H225" s="14"/>
      <c r="I225" s="11"/>
    </row>
    <row r="226" ht="18.75" customHeight="1" spans="1:9">
      <c r="A226" s="16">
        <v>1</v>
      </c>
      <c r="B226" s="16" t="s">
        <v>753</v>
      </c>
      <c r="C226" s="16" t="s">
        <v>754</v>
      </c>
      <c r="D226" s="16" t="s">
        <v>799</v>
      </c>
      <c r="E226" s="16" t="s">
        <v>154</v>
      </c>
      <c r="F226" s="16">
        <v>204</v>
      </c>
      <c r="G226" s="19">
        <v>170</v>
      </c>
      <c r="H226" s="15">
        <f t="shared" ref="H226:H237" si="19">F226*G226</f>
        <v>34680</v>
      </c>
      <c r="I226" s="16"/>
    </row>
    <row r="227" ht="18.75" customHeight="1" spans="1:9">
      <c r="A227" s="16">
        <f t="shared" ref="A227:A237" si="20">A226+1</f>
        <v>2</v>
      </c>
      <c r="B227" s="16" t="s">
        <v>753</v>
      </c>
      <c r="C227" s="16" t="s">
        <v>756</v>
      </c>
      <c r="D227" s="16" t="s">
        <v>799</v>
      </c>
      <c r="E227" s="16" t="s">
        <v>154</v>
      </c>
      <c r="F227" s="16">
        <v>272</v>
      </c>
      <c r="G227" s="19">
        <v>60.89</v>
      </c>
      <c r="H227" s="15">
        <f t="shared" si="19"/>
        <v>16562.08</v>
      </c>
      <c r="I227" s="16"/>
    </row>
    <row r="228" ht="18.75" customHeight="1" spans="1:9">
      <c r="A228" s="16">
        <f t="shared" si="20"/>
        <v>3</v>
      </c>
      <c r="B228" s="16" t="s">
        <v>722</v>
      </c>
      <c r="C228" s="16" t="s">
        <v>778</v>
      </c>
      <c r="D228" s="16" t="s">
        <v>708</v>
      </c>
      <c r="E228" s="16" t="s">
        <v>93</v>
      </c>
      <c r="F228" s="16">
        <v>1</v>
      </c>
      <c r="G228" s="17">
        <v>420</v>
      </c>
      <c r="H228" s="15">
        <f t="shared" si="19"/>
        <v>420</v>
      </c>
      <c r="I228" s="16"/>
    </row>
    <row r="229" ht="18.75" customHeight="1" spans="1:9">
      <c r="A229" s="16">
        <f t="shared" si="20"/>
        <v>4</v>
      </c>
      <c r="B229" s="16" t="s">
        <v>800</v>
      </c>
      <c r="C229" s="16" t="s">
        <v>119</v>
      </c>
      <c r="D229" s="16" t="s">
        <v>76</v>
      </c>
      <c r="E229" s="16" t="s">
        <v>93</v>
      </c>
      <c r="F229" s="16">
        <v>1</v>
      </c>
      <c r="G229" s="17">
        <v>120</v>
      </c>
      <c r="H229" s="15">
        <f t="shared" si="19"/>
        <v>120</v>
      </c>
      <c r="I229" s="16" t="s">
        <v>755</v>
      </c>
    </row>
    <row r="230" ht="18.75" customHeight="1" spans="1:9">
      <c r="A230" s="16">
        <f t="shared" si="20"/>
        <v>5</v>
      </c>
      <c r="B230" s="16" t="s">
        <v>601</v>
      </c>
      <c r="C230" s="16" t="s">
        <v>113</v>
      </c>
      <c r="D230" s="16" t="s">
        <v>76</v>
      </c>
      <c r="E230" s="16" t="s">
        <v>93</v>
      </c>
      <c r="F230" s="16">
        <v>1</v>
      </c>
      <c r="G230" s="17">
        <v>420</v>
      </c>
      <c r="H230" s="15">
        <f t="shared" si="19"/>
        <v>420</v>
      </c>
      <c r="I230" s="16" t="s">
        <v>755</v>
      </c>
    </row>
    <row r="231" ht="18.75" customHeight="1" spans="1:9">
      <c r="A231" s="16">
        <f t="shared" si="20"/>
        <v>6</v>
      </c>
      <c r="B231" s="16" t="s">
        <v>609</v>
      </c>
      <c r="C231" s="16" t="s">
        <v>115</v>
      </c>
      <c r="D231" s="16" t="s">
        <v>708</v>
      </c>
      <c r="E231" s="16" t="s">
        <v>93</v>
      </c>
      <c r="F231" s="16">
        <v>2</v>
      </c>
      <c r="G231" s="17">
        <v>165.36</v>
      </c>
      <c r="H231" s="15">
        <f t="shared" si="19"/>
        <v>330.72</v>
      </c>
      <c r="I231" s="16"/>
    </row>
    <row r="232" ht="18.75" customHeight="1" spans="1:9">
      <c r="A232" s="16">
        <f t="shared" si="20"/>
        <v>7</v>
      </c>
      <c r="B232" s="16" t="s">
        <v>600</v>
      </c>
      <c r="C232" s="16" t="s">
        <v>106</v>
      </c>
      <c r="D232" s="16" t="s">
        <v>76</v>
      </c>
      <c r="E232" s="16" t="s">
        <v>93</v>
      </c>
      <c r="F232" s="16">
        <v>2</v>
      </c>
      <c r="G232" s="19">
        <v>165</v>
      </c>
      <c r="H232" s="15">
        <f t="shared" si="19"/>
        <v>330</v>
      </c>
      <c r="I232" s="16" t="s">
        <v>755</v>
      </c>
    </row>
    <row r="233" ht="18.75" customHeight="1" spans="1:9">
      <c r="A233" s="16">
        <f t="shared" si="20"/>
        <v>8</v>
      </c>
      <c r="B233" s="16" t="s">
        <v>600</v>
      </c>
      <c r="C233" s="16" t="s">
        <v>108</v>
      </c>
      <c r="D233" s="16" t="s">
        <v>76</v>
      </c>
      <c r="E233" s="16" t="s">
        <v>93</v>
      </c>
      <c r="F233" s="16">
        <v>2</v>
      </c>
      <c r="G233" s="19">
        <v>91.72</v>
      </c>
      <c r="H233" s="15">
        <f t="shared" si="19"/>
        <v>183.44</v>
      </c>
      <c r="I233" s="16" t="s">
        <v>755</v>
      </c>
    </row>
    <row r="234" ht="18.75" customHeight="1" spans="1:9">
      <c r="A234" s="16">
        <f t="shared" si="20"/>
        <v>9</v>
      </c>
      <c r="B234" s="16" t="s">
        <v>655</v>
      </c>
      <c r="C234" s="16" t="s">
        <v>108</v>
      </c>
      <c r="D234" s="16" t="s">
        <v>76</v>
      </c>
      <c r="E234" s="16" t="s">
        <v>93</v>
      </c>
      <c r="F234" s="16">
        <v>2</v>
      </c>
      <c r="G234" s="19">
        <v>45</v>
      </c>
      <c r="H234" s="15">
        <f t="shared" si="19"/>
        <v>90</v>
      </c>
      <c r="I234" s="16" t="s">
        <v>755</v>
      </c>
    </row>
    <row r="235" ht="18.75" customHeight="1" spans="1:9">
      <c r="A235" s="16">
        <f t="shared" si="20"/>
        <v>10</v>
      </c>
      <c r="B235" s="16" t="s">
        <v>719</v>
      </c>
      <c r="C235" s="16" t="s">
        <v>101</v>
      </c>
      <c r="D235" s="16" t="s">
        <v>712</v>
      </c>
      <c r="E235" s="16" t="s">
        <v>93</v>
      </c>
      <c r="F235" s="16">
        <v>5</v>
      </c>
      <c r="G235" s="19">
        <v>822.94</v>
      </c>
      <c r="H235" s="15">
        <f t="shared" si="19"/>
        <v>4114.7</v>
      </c>
      <c r="I235" s="16"/>
    </row>
    <row r="236" ht="18.75" customHeight="1" spans="1:9">
      <c r="A236" s="16">
        <f t="shared" si="20"/>
        <v>11</v>
      </c>
      <c r="B236" s="16" t="s">
        <v>758</v>
      </c>
      <c r="C236" s="16" t="s">
        <v>759</v>
      </c>
      <c r="D236" s="16" t="s">
        <v>712</v>
      </c>
      <c r="E236" s="16" t="s">
        <v>760</v>
      </c>
      <c r="F236" s="16">
        <v>5</v>
      </c>
      <c r="G236" s="19">
        <v>1545.71</v>
      </c>
      <c r="H236" s="15">
        <f t="shared" si="19"/>
        <v>7728.55</v>
      </c>
      <c r="I236" s="16"/>
    </row>
    <row r="237" ht="18.75" customHeight="1" spans="1:9">
      <c r="A237" s="16">
        <f t="shared" si="20"/>
        <v>12</v>
      </c>
      <c r="B237" s="16" t="s">
        <v>757</v>
      </c>
      <c r="C237" s="16" t="s">
        <v>704</v>
      </c>
      <c r="D237" s="16" t="s">
        <v>705</v>
      </c>
      <c r="E237" s="16" t="s">
        <v>168</v>
      </c>
      <c r="F237" s="16">
        <v>5</v>
      </c>
      <c r="G237" s="19">
        <f>G142</f>
        <v>4288.49</v>
      </c>
      <c r="H237" s="15">
        <f t="shared" si="19"/>
        <v>21442.45</v>
      </c>
      <c r="I237" s="16"/>
    </row>
    <row r="238" ht="18.75" customHeight="1" spans="1:9">
      <c r="A238" s="16"/>
      <c r="B238" s="11" t="s">
        <v>444</v>
      </c>
      <c r="C238" s="16"/>
      <c r="D238" s="16"/>
      <c r="E238" s="16"/>
      <c r="F238" s="16"/>
      <c r="G238" s="19"/>
      <c r="H238" s="14">
        <f>SUM(H226:H237)</f>
        <v>86421.94</v>
      </c>
      <c r="I238" s="16"/>
    </row>
    <row r="239" ht="18.75" customHeight="1" spans="1:9">
      <c r="A239" s="11" t="s">
        <v>674</v>
      </c>
      <c r="B239" s="11" t="s">
        <v>801</v>
      </c>
      <c r="C239" s="11"/>
      <c r="D239" s="11"/>
      <c r="E239" s="11"/>
      <c r="F239" s="11"/>
      <c r="G239" s="20"/>
      <c r="H239" s="20"/>
      <c r="I239" s="11"/>
    </row>
    <row r="240" ht="18.75" customHeight="1" spans="1:9">
      <c r="A240" s="16">
        <v>1</v>
      </c>
      <c r="B240" s="16" t="s">
        <v>788</v>
      </c>
      <c r="C240" s="16"/>
      <c r="D240" s="16"/>
      <c r="E240" s="16" t="s">
        <v>628</v>
      </c>
      <c r="F240" s="16">
        <v>2030</v>
      </c>
      <c r="G240" s="28">
        <f>G145</f>
        <v>104.45</v>
      </c>
      <c r="H240" s="15">
        <f>F240*G240</f>
        <v>212033.5</v>
      </c>
      <c r="I240" s="16" t="s">
        <v>802</v>
      </c>
    </row>
    <row r="241" ht="18.75" customHeight="1" spans="1:9">
      <c r="A241" s="16">
        <v>2</v>
      </c>
      <c r="B241" s="16" t="s">
        <v>803</v>
      </c>
      <c r="C241" s="16"/>
      <c r="D241" s="16"/>
      <c r="E241" s="16" t="s">
        <v>628</v>
      </c>
      <c r="F241" s="16">
        <v>200</v>
      </c>
      <c r="G241" s="28">
        <v>181.05</v>
      </c>
      <c r="H241" s="15">
        <f>F241*G241</f>
        <v>36210</v>
      </c>
      <c r="I241" s="16" t="s">
        <v>804</v>
      </c>
    </row>
    <row r="242" ht="18.75" customHeight="1" spans="1:9">
      <c r="A242" s="32"/>
      <c r="B242" s="11" t="s">
        <v>444</v>
      </c>
      <c r="C242" s="16"/>
      <c r="D242" s="16"/>
      <c r="E242" s="16" t="s">
        <v>206</v>
      </c>
      <c r="F242" s="16"/>
      <c r="G242" s="16"/>
      <c r="H242" s="14">
        <f>SUM(H240:H241)</f>
        <v>248243.5</v>
      </c>
      <c r="I242" s="16"/>
    </row>
    <row r="243" ht="18.75" customHeight="1" spans="1:9">
      <c r="A243" s="11" t="s">
        <v>684</v>
      </c>
      <c r="B243" s="11" t="s">
        <v>805</v>
      </c>
      <c r="C243" s="11"/>
      <c r="D243" s="11"/>
      <c r="E243" s="11"/>
      <c r="F243" s="11"/>
      <c r="G243" s="11"/>
      <c r="H243" s="11"/>
      <c r="I243" s="11"/>
    </row>
    <row r="244" ht="18.75" customHeight="1" spans="1:9">
      <c r="A244" s="16">
        <v>1</v>
      </c>
      <c r="B244" s="16" t="s">
        <v>711</v>
      </c>
      <c r="C244" s="16" t="s">
        <v>745</v>
      </c>
      <c r="D244" s="16" t="s">
        <v>712</v>
      </c>
      <c r="E244" s="16" t="s">
        <v>93</v>
      </c>
      <c r="F244" s="16">
        <v>1491</v>
      </c>
      <c r="G244" s="17">
        <v>120</v>
      </c>
      <c r="H244" s="15">
        <f>F244*G244</f>
        <v>178920</v>
      </c>
      <c r="I244" s="16"/>
    </row>
    <row r="245" ht="18.75" customHeight="1" spans="1:9">
      <c r="A245" s="16">
        <v>2</v>
      </c>
      <c r="B245" s="16" t="s">
        <v>746</v>
      </c>
      <c r="C245" s="16" t="s">
        <v>745</v>
      </c>
      <c r="D245" s="16" t="s">
        <v>712</v>
      </c>
      <c r="E245" s="16" t="s">
        <v>93</v>
      </c>
      <c r="F245" s="16">
        <v>1491</v>
      </c>
      <c r="G245" s="17">
        <v>346</v>
      </c>
      <c r="H245" s="15">
        <f>F245*G245</f>
        <v>515886</v>
      </c>
      <c r="I245" s="16"/>
    </row>
    <row r="246" ht="18.75" customHeight="1" spans="1:9">
      <c r="A246" s="16">
        <v>3</v>
      </c>
      <c r="B246" s="16" t="s">
        <v>747</v>
      </c>
      <c r="C246" s="16" t="s">
        <v>745</v>
      </c>
      <c r="D246" s="16" t="s">
        <v>749</v>
      </c>
      <c r="E246" s="16" t="s">
        <v>93</v>
      </c>
      <c r="F246" s="16">
        <v>1491</v>
      </c>
      <c r="G246" s="17">
        <v>65</v>
      </c>
      <c r="H246" s="15">
        <f>F246*G246</f>
        <v>96915</v>
      </c>
      <c r="I246" s="16"/>
    </row>
    <row r="247" ht="18.75" customHeight="1" spans="1:9">
      <c r="A247" s="16"/>
      <c r="B247" s="11" t="s">
        <v>444</v>
      </c>
      <c r="C247" s="16"/>
      <c r="D247" s="16"/>
      <c r="E247" s="16"/>
      <c r="F247" s="16"/>
      <c r="G247" s="16"/>
      <c r="H247" s="14">
        <f>SUM(H244:H246)</f>
        <v>791721</v>
      </c>
      <c r="I247" s="16"/>
    </row>
    <row r="248" ht="18.75" customHeight="1" spans="1:9">
      <c r="A248" s="32"/>
      <c r="B248" s="11" t="s">
        <v>205</v>
      </c>
      <c r="C248" s="16"/>
      <c r="D248" s="16"/>
      <c r="E248" s="16"/>
      <c r="F248" s="16"/>
      <c r="G248" s="16"/>
      <c r="H248" s="14">
        <f>SUM(H172,H224,H238,H242,H247)</f>
        <v>2623213.17</v>
      </c>
      <c r="I248" s="16"/>
    </row>
    <row r="249" ht="18.75" customHeight="1" spans="1:9">
      <c r="A249" s="10" t="s">
        <v>806</v>
      </c>
      <c r="B249" s="13"/>
      <c r="C249" s="13"/>
      <c r="D249" s="13"/>
      <c r="E249" s="13"/>
      <c r="F249" s="13"/>
      <c r="G249" s="13"/>
      <c r="H249" s="13"/>
      <c r="I249" s="13"/>
    </row>
    <row r="250" ht="18.75" customHeight="1" spans="1:9">
      <c r="A250" s="11" t="s">
        <v>579</v>
      </c>
      <c r="B250" s="11" t="s">
        <v>698</v>
      </c>
      <c r="C250" s="11"/>
      <c r="D250" s="11"/>
      <c r="E250" s="11"/>
      <c r="F250" s="11"/>
      <c r="G250" s="14"/>
      <c r="H250" s="15"/>
      <c r="I250" s="16"/>
    </row>
    <row r="251" ht="18.75" customHeight="1" spans="1:9">
      <c r="A251" s="16">
        <v>1</v>
      </c>
      <c r="B251" s="18" t="s">
        <v>703</v>
      </c>
      <c r="C251" s="16" t="s">
        <v>807</v>
      </c>
      <c r="D251" s="16" t="s">
        <v>705</v>
      </c>
      <c r="E251" s="16" t="s">
        <v>168</v>
      </c>
      <c r="F251" s="16">
        <v>1</v>
      </c>
      <c r="G251" s="19">
        <v>9297.22</v>
      </c>
      <c r="H251" s="15">
        <f>F251*G251</f>
        <v>9297.22</v>
      </c>
      <c r="I251" s="16"/>
    </row>
    <row r="252" ht="18.75" customHeight="1" spans="1:9">
      <c r="A252" s="16">
        <v>2</v>
      </c>
      <c r="B252" s="16" t="s">
        <v>766</v>
      </c>
      <c r="C252" s="16" t="s">
        <v>699</v>
      </c>
      <c r="D252" s="16" t="s">
        <v>76</v>
      </c>
      <c r="E252" s="16" t="s">
        <v>154</v>
      </c>
      <c r="F252" s="16">
        <v>7</v>
      </c>
      <c r="G252" s="17">
        <v>298.51</v>
      </c>
      <c r="H252" s="15">
        <f>F252*G252</f>
        <v>2089.57</v>
      </c>
      <c r="I252" s="16"/>
    </row>
    <row r="253" s="7" customFormat="1" ht="18.75" customHeight="1" spans="1:14">
      <c r="A253" s="16">
        <v>3</v>
      </c>
      <c r="B253" s="16" t="s">
        <v>700</v>
      </c>
      <c r="C253" s="16" t="s">
        <v>701</v>
      </c>
      <c r="D253" s="16" t="s">
        <v>702</v>
      </c>
      <c r="E253" s="16" t="s">
        <v>168</v>
      </c>
      <c r="F253" s="16">
        <v>1</v>
      </c>
      <c r="G253" s="17">
        <v>12000</v>
      </c>
      <c r="H253" s="15">
        <f t="shared" ref="H253:H259" si="21">G253*F253</f>
        <v>12000</v>
      </c>
      <c r="I253" s="16"/>
      <c r="N253" s="8"/>
    </row>
    <row r="254" ht="18.75" customHeight="1" spans="1:9">
      <c r="A254" s="16">
        <v>4</v>
      </c>
      <c r="B254" s="16" t="s">
        <v>767</v>
      </c>
      <c r="C254" s="16" t="s">
        <v>726</v>
      </c>
      <c r="D254" s="16" t="s">
        <v>708</v>
      </c>
      <c r="E254" s="16" t="s">
        <v>93</v>
      </c>
      <c r="F254" s="16">
        <v>2</v>
      </c>
      <c r="G254" s="15">
        <v>450</v>
      </c>
      <c r="H254" s="15">
        <f t="shared" si="21"/>
        <v>900</v>
      </c>
      <c r="I254" s="16"/>
    </row>
    <row r="255" ht="18.75" customHeight="1" spans="1:9">
      <c r="A255" s="16">
        <v>5</v>
      </c>
      <c r="B255" s="16" t="s">
        <v>717</v>
      </c>
      <c r="C255" s="16" t="s">
        <v>302</v>
      </c>
      <c r="D255" s="16" t="s">
        <v>718</v>
      </c>
      <c r="E255" s="16" t="s">
        <v>93</v>
      </c>
      <c r="F255" s="16">
        <v>3</v>
      </c>
      <c r="G255" s="19">
        <v>893.94</v>
      </c>
      <c r="H255" s="15">
        <f t="shared" ref="H255:H257" si="22">F255*G255</f>
        <v>2681.82</v>
      </c>
      <c r="I255" s="16"/>
    </row>
    <row r="256" ht="18.75" customHeight="1" spans="1:9">
      <c r="A256" s="16">
        <v>6</v>
      </c>
      <c r="B256" s="16" t="s">
        <v>719</v>
      </c>
      <c r="C256" s="16" t="s">
        <v>302</v>
      </c>
      <c r="D256" s="16" t="s">
        <v>712</v>
      </c>
      <c r="E256" s="16" t="s">
        <v>93</v>
      </c>
      <c r="F256" s="16">
        <v>3</v>
      </c>
      <c r="G256" s="17">
        <v>2215.14</v>
      </c>
      <c r="H256" s="15">
        <f t="shared" si="22"/>
        <v>6645.42</v>
      </c>
      <c r="I256" s="16"/>
    </row>
    <row r="257" ht="18.75" customHeight="1" spans="1:9">
      <c r="A257" s="16">
        <v>7</v>
      </c>
      <c r="B257" s="16" t="s">
        <v>706</v>
      </c>
      <c r="C257" s="16" t="s">
        <v>699</v>
      </c>
      <c r="D257" s="16" t="s">
        <v>76</v>
      </c>
      <c r="E257" s="16" t="s">
        <v>93</v>
      </c>
      <c r="F257" s="16">
        <v>4</v>
      </c>
      <c r="G257" s="17">
        <v>185</v>
      </c>
      <c r="H257" s="15">
        <f t="shared" si="22"/>
        <v>740</v>
      </c>
      <c r="I257" s="16"/>
    </row>
    <row r="258" ht="18.75" customHeight="1" spans="1:9">
      <c r="A258" s="16">
        <v>8</v>
      </c>
      <c r="B258" s="16" t="s">
        <v>707</v>
      </c>
      <c r="C258" s="16" t="s">
        <v>91</v>
      </c>
      <c r="D258" s="16" t="s">
        <v>708</v>
      </c>
      <c r="E258" s="16" t="s">
        <v>93</v>
      </c>
      <c r="F258" s="16">
        <v>2</v>
      </c>
      <c r="G258" s="17">
        <v>762.4</v>
      </c>
      <c r="H258" s="15">
        <f t="shared" ref="H258" si="23">G258*F258</f>
        <v>1524.8</v>
      </c>
      <c r="I258" s="16"/>
    </row>
    <row r="259" ht="18.75" customHeight="1" spans="1:9">
      <c r="A259" s="16">
        <v>9</v>
      </c>
      <c r="B259" s="16" t="s">
        <v>709</v>
      </c>
      <c r="C259" s="16" t="s">
        <v>710</v>
      </c>
      <c r="D259" s="16" t="s">
        <v>708</v>
      </c>
      <c r="E259" s="16" t="s">
        <v>93</v>
      </c>
      <c r="F259" s="16">
        <v>2</v>
      </c>
      <c r="G259" s="17">
        <v>412.12</v>
      </c>
      <c r="H259" s="15">
        <f t="shared" si="21"/>
        <v>824.24</v>
      </c>
      <c r="I259" s="16"/>
    </row>
    <row r="260" ht="18.75" customHeight="1" spans="1:9">
      <c r="A260" s="16">
        <v>10</v>
      </c>
      <c r="B260" s="16" t="s">
        <v>709</v>
      </c>
      <c r="C260" s="16" t="s">
        <v>808</v>
      </c>
      <c r="D260" s="16" t="s">
        <v>708</v>
      </c>
      <c r="E260" s="16" t="s">
        <v>93</v>
      </c>
      <c r="F260" s="16">
        <v>2</v>
      </c>
      <c r="G260" s="17">
        <v>412.12</v>
      </c>
      <c r="H260" s="15">
        <f t="shared" ref="H260" si="24">G260*F260</f>
        <v>824.24</v>
      </c>
      <c r="I260" s="16"/>
    </row>
    <row r="261" ht="18.75" customHeight="1" spans="1:9">
      <c r="A261" s="16">
        <v>11</v>
      </c>
      <c r="B261" s="16" t="s">
        <v>711</v>
      </c>
      <c r="C261" s="16" t="s">
        <v>91</v>
      </c>
      <c r="D261" s="16" t="s">
        <v>712</v>
      </c>
      <c r="E261" s="16" t="s">
        <v>93</v>
      </c>
      <c r="F261" s="16">
        <v>2</v>
      </c>
      <c r="G261" s="17">
        <v>2880</v>
      </c>
      <c r="H261" s="15">
        <f t="shared" ref="H261:H272" si="25">F261*G261</f>
        <v>5760</v>
      </c>
      <c r="I261" s="16"/>
    </row>
    <row r="262" ht="18.75" customHeight="1" spans="1:9">
      <c r="A262" s="16">
        <v>12</v>
      </c>
      <c r="B262" s="16" t="s">
        <v>711</v>
      </c>
      <c r="C262" s="16" t="s">
        <v>101</v>
      </c>
      <c r="D262" s="16" t="s">
        <v>712</v>
      </c>
      <c r="E262" s="16" t="s">
        <v>93</v>
      </c>
      <c r="F262" s="16">
        <v>1</v>
      </c>
      <c r="G262" s="19">
        <v>1392</v>
      </c>
      <c r="H262" s="15">
        <f t="shared" si="25"/>
        <v>1392</v>
      </c>
      <c r="I262" s="16"/>
    </row>
    <row r="263" ht="18.75" customHeight="1" spans="1:9">
      <c r="A263" s="16">
        <v>13</v>
      </c>
      <c r="B263" s="16" t="s">
        <v>622</v>
      </c>
      <c r="C263" s="16" t="s">
        <v>91</v>
      </c>
      <c r="D263" s="16" t="s">
        <v>713</v>
      </c>
      <c r="E263" s="16" t="s">
        <v>93</v>
      </c>
      <c r="F263" s="16">
        <v>2</v>
      </c>
      <c r="G263" s="17">
        <v>2661.6</v>
      </c>
      <c r="H263" s="15">
        <f t="shared" si="25"/>
        <v>5323.2</v>
      </c>
      <c r="I263" s="16"/>
    </row>
    <row r="264" ht="18.75" customHeight="1" spans="1:9">
      <c r="A264" s="16">
        <v>14</v>
      </c>
      <c r="B264" s="16" t="s">
        <v>622</v>
      </c>
      <c r="C264" s="16" t="s">
        <v>101</v>
      </c>
      <c r="D264" s="16" t="s">
        <v>713</v>
      </c>
      <c r="E264" s="16" t="s">
        <v>93</v>
      </c>
      <c r="F264" s="16">
        <v>1</v>
      </c>
      <c r="G264" s="19">
        <v>993</v>
      </c>
      <c r="H264" s="15">
        <f t="shared" si="25"/>
        <v>993</v>
      </c>
      <c r="I264" s="16"/>
    </row>
    <row r="265" ht="18.75" customHeight="1" spans="1:9">
      <c r="A265" s="16">
        <v>15</v>
      </c>
      <c r="B265" s="16" t="s">
        <v>714</v>
      </c>
      <c r="C265" s="16" t="s">
        <v>91</v>
      </c>
      <c r="D265" s="16" t="s">
        <v>712</v>
      </c>
      <c r="E265" s="16" t="s">
        <v>93</v>
      </c>
      <c r="F265" s="16">
        <v>2</v>
      </c>
      <c r="G265" s="17">
        <v>15600</v>
      </c>
      <c r="H265" s="15">
        <f t="shared" si="25"/>
        <v>31200</v>
      </c>
      <c r="I265" s="16" t="s">
        <v>715</v>
      </c>
    </row>
    <row r="266" ht="18.75" customHeight="1" spans="1:9">
      <c r="A266" s="16">
        <v>16</v>
      </c>
      <c r="B266" s="16" t="s">
        <v>714</v>
      </c>
      <c r="C266" s="16" t="s">
        <v>101</v>
      </c>
      <c r="D266" s="16" t="s">
        <v>712</v>
      </c>
      <c r="E266" s="16" t="s">
        <v>93</v>
      </c>
      <c r="F266" s="16">
        <v>1</v>
      </c>
      <c r="G266" s="17">
        <v>11200</v>
      </c>
      <c r="H266" s="15">
        <f t="shared" si="25"/>
        <v>11200</v>
      </c>
      <c r="I266" s="16" t="s">
        <v>715</v>
      </c>
    </row>
    <row r="267" ht="18.75" customHeight="1" spans="1:9">
      <c r="A267" s="16">
        <v>17</v>
      </c>
      <c r="B267" s="16" t="s">
        <v>716</v>
      </c>
      <c r="C267" s="16" t="s">
        <v>91</v>
      </c>
      <c r="D267" s="16" t="s">
        <v>712</v>
      </c>
      <c r="E267" s="16" t="s">
        <v>93</v>
      </c>
      <c r="F267" s="16">
        <v>2</v>
      </c>
      <c r="G267" s="17">
        <v>3520</v>
      </c>
      <c r="H267" s="15">
        <f t="shared" si="25"/>
        <v>7040</v>
      </c>
      <c r="I267" s="16"/>
    </row>
    <row r="268" ht="18.75" customHeight="1" spans="1:9">
      <c r="A268" s="16">
        <v>18</v>
      </c>
      <c r="B268" s="16" t="s">
        <v>716</v>
      </c>
      <c r="C268" s="16" t="s">
        <v>101</v>
      </c>
      <c r="D268" s="16" t="s">
        <v>712</v>
      </c>
      <c r="E268" s="16" t="s">
        <v>93</v>
      </c>
      <c r="F268" s="16">
        <v>1</v>
      </c>
      <c r="G268" s="17">
        <v>2016</v>
      </c>
      <c r="H268" s="15">
        <f t="shared" si="25"/>
        <v>2016</v>
      </c>
      <c r="I268" s="16"/>
    </row>
    <row r="269" ht="18.75" customHeight="1" spans="1:9">
      <c r="A269" s="16">
        <v>19</v>
      </c>
      <c r="B269" s="16" t="s">
        <v>717</v>
      </c>
      <c r="C269" s="16" t="s">
        <v>91</v>
      </c>
      <c r="D269" s="16" t="s">
        <v>718</v>
      </c>
      <c r="E269" s="16" t="s">
        <v>93</v>
      </c>
      <c r="F269" s="16">
        <v>2</v>
      </c>
      <c r="G269" s="17">
        <v>775.82</v>
      </c>
      <c r="H269" s="15">
        <f t="shared" si="25"/>
        <v>1551.64</v>
      </c>
      <c r="I269" s="16"/>
    </row>
    <row r="270" ht="18.75" customHeight="1" spans="1:9">
      <c r="A270" s="16">
        <v>20</v>
      </c>
      <c r="B270" s="16" t="s">
        <v>717</v>
      </c>
      <c r="C270" s="16" t="s">
        <v>101</v>
      </c>
      <c r="D270" s="16" t="s">
        <v>712</v>
      </c>
      <c r="E270" s="16" t="s">
        <v>93</v>
      </c>
      <c r="F270" s="16">
        <v>1</v>
      </c>
      <c r="G270" s="17">
        <v>584.89</v>
      </c>
      <c r="H270" s="15">
        <f t="shared" si="25"/>
        <v>584.89</v>
      </c>
      <c r="I270" s="16"/>
    </row>
    <row r="271" ht="18.75" customHeight="1" spans="1:9">
      <c r="A271" s="16">
        <v>21</v>
      </c>
      <c r="B271" s="16" t="s">
        <v>719</v>
      </c>
      <c r="C271" s="16" t="s">
        <v>91</v>
      </c>
      <c r="D271" s="16" t="s">
        <v>712</v>
      </c>
      <c r="E271" s="16" t="s">
        <v>93</v>
      </c>
      <c r="F271" s="16">
        <v>2</v>
      </c>
      <c r="G271" s="17">
        <v>1446.92</v>
      </c>
      <c r="H271" s="15">
        <f t="shared" si="25"/>
        <v>2893.84</v>
      </c>
      <c r="I271" s="16"/>
    </row>
    <row r="272" ht="18.75" customHeight="1" spans="1:9">
      <c r="A272" s="16">
        <v>22</v>
      </c>
      <c r="B272" s="16" t="s">
        <v>719</v>
      </c>
      <c r="C272" s="16" t="s">
        <v>101</v>
      </c>
      <c r="D272" s="16" t="s">
        <v>712</v>
      </c>
      <c r="E272" s="16" t="s">
        <v>93</v>
      </c>
      <c r="F272" s="16">
        <v>1</v>
      </c>
      <c r="G272" s="19">
        <v>822.94</v>
      </c>
      <c r="H272" s="15">
        <f t="shared" si="25"/>
        <v>822.94</v>
      </c>
      <c r="I272" s="16"/>
    </row>
    <row r="273" ht="18.75" customHeight="1" spans="1:9">
      <c r="A273" s="16">
        <v>23</v>
      </c>
      <c r="B273" s="16" t="s">
        <v>706</v>
      </c>
      <c r="C273" s="16" t="s">
        <v>106</v>
      </c>
      <c r="D273" s="16" t="s">
        <v>76</v>
      </c>
      <c r="E273" s="16" t="s">
        <v>93</v>
      </c>
      <c r="F273" s="16">
        <v>1</v>
      </c>
      <c r="G273" s="17">
        <v>170</v>
      </c>
      <c r="H273" s="15">
        <f>G273*F273</f>
        <v>170</v>
      </c>
      <c r="I273" s="16"/>
    </row>
    <row r="274" ht="18.75" customHeight="1" spans="1:9">
      <c r="A274" s="16">
        <v>24</v>
      </c>
      <c r="B274" s="16" t="s">
        <v>706</v>
      </c>
      <c r="C274" s="16" t="s">
        <v>106</v>
      </c>
      <c r="D274" s="16" t="s">
        <v>720</v>
      </c>
      <c r="E274" s="16" t="s">
        <v>93</v>
      </c>
      <c r="F274" s="16">
        <v>1</v>
      </c>
      <c r="G274" s="17">
        <v>170</v>
      </c>
      <c r="H274" s="15">
        <f t="shared" ref="H274" si="26">F274*G274</f>
        <v>170</v>
      </c>
      <c r="I274" s="16"/>
    </row>
    <row r="275" ht="18.75" customHeight="1" spans="1:9">
      <c r="A275" s="16">
        <v>25</v>
      </c>
      <c r="B275" s="16" t="s">
        <v>706</v>
      </c>
      <c r="C275" s="16" t="s">
        <v>106</v>
      </c>
      <c r="D275" s="16" t="s">
        <v>720</v>
      </c>
      <c r="E275" s="16" t="s">
        <v>93</v>
      </c>
      <c r="F275" s="16">
        <v>1</v>
      </c>
      <c r="G275" s="17">
        <v>170</v>
      </c>
      <c r="H275" s="15">
        <f t="shared" ref="H275:H300" si="27">F275*G275</f>
        <v>170</v>
      </c>
      <c r="I275" s="16"/>
    </row>
    <row r="276" ht="18.75" customHeight="1" spans="1:9">
      <c r="A276" s="16"/>
      <c r="B276" s="11" t="s">
        <v>444</v>
      </c>
      <c r="C276" s="11"/>
      <c r="D276" s="11"/>
      <c r="E276" s="11"/>
      <c r="F276" s="11"/>
      <c r="G276" s="20"/>
      <c r="H276" s="14">
        <f>SUM(H251:H275)</f>
        <v>108814.82</v>
      </c>
      <c r="I276" s="11"/>
    </row>
    <row r="277" ht="18.75" customHeight="1" spans="1:9">
      <c r="A277" s="11" t="s">
        <v>629</v>
      </c>
      <c r="B277" s="11" t="s">
        <v>728</v>
      </c>
      <c r="C277" s="11"/>
      <c r="D277" s="11"/>
      <c r="E277" s="11"/>
      <c r="F277" s="11"/>
      <c r="G277" s="20"/>
      <c r="H277" s="14"/>
      <c r="I277" s="11"/>
    </row>
    <row r="278" ht="18.75" customHeight="1" spans="1:9">
      <c r="A278" s="16">
        <v>1</v>
      </c>
      <c r="B278" s="16" t="s">
        <v>721</v>
      </c>
      <c r="C278" s="16" t="s">
        <v>106</v>
      </c>
      <c r="D278" s="16" t="s">
        <v>76</v>
      </c>
      <c r="E278" s="16" t="s">
        <v>154</v>
      </c>
      <c r="F278" s="16">
        <v>327</v>
      </c>
      <c r="G278" s="17">
        <v>170</v>
      </c>
      <c r="H278" s="15">
        <f t="shared" si="27"/>
        <v>55590</v>
      </c>
      <c r="I278" s="16"/>
    </row>
    <row r="279" ht="18.75" customHeight="1" spans="1:9">
      <c r="A279" s="16">
        <v>2</v>
      </c>
      <c r="B279" s="16" t="s">
        <v>721</v>
      </c>
      <c r="C279" s="16" t="s">
        <v>108</v>
      </c>
      <c r="D279" s="16" t="s">
        <v>76</v>
      </c>
      <c r="E279" s="16" t="s">
        <v>154</v>
      </c>
      <c r="F279" s="16">
        <v>609</v>
      </c>
      <c r="G279" s="17">
        <v>60.89</v>
      </c>
      <c r="H279" s="15">
        <f t="shared" si="27"/>
        <v>37082.01</v>
      </c>
      <c r="I279" s="16"/>
    </row>
    <row r="280" ht="18.75" customHeight="1" spans="1:9">
      <c r="A280" s="16">
        <v>3</v>
      </c>
      <c r="B280" s="16" t="s">
        <v>721</v>
      </c>
      <c r="C280" s="16" t="s">
        <v>748</v>
      </c>
      <c r="D280" s="16" t="s">
        <v>76</v>
      </c>
      <c r="E280" s="16" t="s">
        <v>154</v>
      </c>
      <c r="F280" s="16">
        <v>430</v>
      </c>
      <c r="G280" s="17">
        <v>47.31</v>
      </c>
      <c r="H280" s="15">
        <f t="shared" si="27"/>
        <v>20343.3</v>
      </c>
      <c r="I280" s="16"/>
    </row>
    <row r="281" ht="18.75" customHeight="1" spans="1:9">
      <c r="A281" s="16">
        <v>4</v>
      </c>
      <c r="B281" s="16" t="s">
        <v>601</v>
      </c>
      <c r="C281" s="16" t="s">
        <v>729</v>
      </c>
      <c r="D281" s="16" t="s">
        <v>76</v>
      </c>
      <c r="E281" s="16" t="s">
        <v>93</v>
      </c>
      <c r="F281" s="16">
        <v>2</v>
      </c>
      <c r="G281" s="17">
        <v>420</v>
      </c>
      <c r="H281" s="15">
        <f t="shared" si="27"/>
        <v>840</v>
      </c>
      <c r="I281" s="16"/>
    </row>
    <row r="282" ht="18.75" customHeight="1" spans="1:9">
      <c r="A282" s="16">
        <v>5</v>
      </c>
      <c r="B282" s="16" t="s">
        <v>601</v>
      </c>
      <c r="C282" s="16" t="s">
        <v>809</v>
      </c>
      <c r="D282" s="16" t="s">
        <v>76</v>
      </c>
      <c r="E282" s="16" t="s">
        <v>93</v>
      </c>
      <c r="F282" s="16">
        <v>74</v>
      </c>
      <c r="G282" s="17">
        <v>420</v>
      </c>
      <c r="H282" s="15">
        <f t="shared" si="27"/>
        <v>31080</v>
      </c>
      <c r="I282" s="16"/>
    </row>
    <row r="283" ht="18.75" customHeight="1" spans="1:9">
      <c r="A283" s="16">
        <v>6</v>
      </c>
      <c r="B283" s="16" t="s">
        <v>601</v>
      </c>
      <c r="C283" s="16" t="s">
        <v>810</v>
      </c>
      <c r="D283" s="16" t="s">
        <v>76</v>
      </c>
      <c r="E283" s="16" t="s">
        <v>93</v>
      </c>
      <c r="F283" s="16">
        <v>12</v>
      </c>
      <c r="G283" s="17">
        <v>420</v>
      </c>
      <c r="H283" s="15">
        <f t="shared" ref="H283" si="28">F283*G283</f>
        <v>5040</v>
      </c>
      <c r="I283" s="16"/>
    </row>
    <row r="284" ht="18.75" customHeight="1" spans="1:9">
      <c r="A284" s="16">
        <v>7</v>
      </c>
      <c r="B284" s="16" t="s">
        <v>600</v>
      </c>
      <c r="C284" s="16" t="s">
        <v>106</v>
      </c>
      <c r="D284" s="16" t="s">
        <v>76</v>
      </c>
      <c r="E284" s="16" t="s">
        <v>93</v>
      </c>
      <c r="F284" s="16">
        <v>7</v>
      </c>
      <c r="G284" s="17">
        <v>165</v>
      </c>
      <c r="H284" s="15">
        <f t="shared" si="27"/>
        <v>1155</v>
      </c>
      <c r="I284" s="16"/>
    </row>
    <row r="285" ht="18.75" customHeight="1" spans="1:9">
      <c r="A285" s="16">
        <v>8</v>
      </c>
      <c r="B285" s="18" t="s">
        <v>703</v>
      </c>
      <c r="C285" s="16" t="s">
        <v>811</v>
      </c>
      <c r="D285" s="16" t="s">
        <v>705</v>
      </c>
      <c r="E285" s="16" t="s">
        <v>168</v>
      </c>
      <c r="F285" s="16">
        <v>4</v>
      </c>
      <c r="G285" s="17">
        <v>5737.28</v>
      </c>
      <c r="H285" s="15">
        <f t="shared" si="27"/>
        <v>22949.12</v>
      </c>
      <c r="I285" s="16"/>
    </row>
    <row r="286" ht="18.75" customHeight="1" spans="1:9">
      <c r="A286" s="16">
        <v>9</v>
      </c>
      <c r="B286" s="18" t="s">
        <v>703</v>
      </c>
      <c r="C286" s="16" t="s">
        <v>704</v>
      </c>
      <c r="D286" s="16" t="s">
        <v>705</v>
      </c>
      <c r="E286" s="16" t="s">
        <v>168</v>
      </c>
      <c r="F286" s="16">
        <v>3</v>
      </c>
      <c r="G286" s="17">
        <f>G237</f>
        <v>4288.49</v>
      </c>
      <c r="H286" s="15">
        <f t="shared" ref="H286" si="29">F286*G286</f>
        <v>12865.47</v>
      </c>
      <c r="I286" s="16"/>
    </row>
    <row r="287" ht="18.75" customHeight="1" spans="1:9">
      <c r="A287" s="16">
        <v>10</v>
      </c>
      <c r="B287" s="16" t="s">
        <v>767</v>
      </c>
      <c r="C287" s="16" t="s">
        <v>735</v>
      </c>
      <c r="D287" s="16" t="s">
        <v>708</v>
      </c>
      <c r="E287" s="16" t="s">
        <v>93</v>
      </c>
      <c r="F287" s="16">
        <v>4</v>
      </c>
      <c r="G287" s="17">
        <v>420</v>
      </c>
      <c r="H287" s="15">
        <f t="shared" si="27"/>
        <v>1680</v>
      </c>
      <c r="I287" s="16"/>
    </row>
    <row r="288" ht="18.75" customHeight="1" spans="1:9">
      <c r="A288" s="16">
        <v>11</v>
      </c>
      <c r="B288" s="16" t="s">
        <v>706</v>
      </c>
      <c r="C288" s="16" t="s">
        <v>106</v>
      </c>
      <c r="D288" s="16" t="s">
        <v>76</v>
      </c>
      <c r="E288" s="16" t="s">
        <v>93</v>
      </c>
      <c r="F288" s="16">
        <v>14</v>
      </c>
      <c r="G288" s="17">
        <v>170</v>
      </c>
      <c r="H288" s="15">
        <f t="shared" si="27"/>
        <v>2380</v>
      </c>
      <c r="I288" s="16"/>
    </row>
    <row r="289" ht="18.75" customHeight="1" spans="1:9">
      <c r="A289" s="16">
        <v>12</v>
      </c>
      <c r="B289" s="16" t="s">
        <v>706</v>
      </c>
      <c r="C289" s="16" t="s">
        <v>108</v>
      </c>
      <c r="D289" s="16" t="s">
        <v>76</v>
      </c>
      <c r="E289" s="16" t="s">
        <v>93</v>
      </c>
      <c r="F289" s="16">
        <v>11</v>
      </c>
      <c r="G289" s="17">
        <v>90</v>
      </c>
      <c r="H289" s="15">
        <f t="shared" si="27"/>
        <v>990</v>
      </c>
      <c r="I289" s="16"/>
    </row>
    <row r="290" ht="18.75" customHeight="1" spans="1:9">
      <c r="A290" s="16">
        <v>13</v>
      </c>
      <c r="B290" s="16" t="s">
        <v>717</v>
      </c>
      <c r="C290" s="16" t="s">
        <v>91</v>
      </c>
      <c r="D290" s="16" t="s">
        <v>712</v>
      </c>
      <c r="E290" s="16" t="s">
        <v>93</v>
      </c>
      <c r="F290" s="16">
        <v>7</v>
      </c>
      <c r="G290" s="17">
        <v>775.82</v>
      </c>
      <c r="H290" s="15">
        <f t="shared" si="27"/>
        <v>5430.74</v>
      </c>
      <c r="I290" s="16"/>
    </row>
    <row r="291" ht="18.75" customHeight="1" spans="1:9">
      <c r="A291" s="16">
        <v>14</v>
      </c>
      <c r="B291" s="16" t="s">
        <v>717</v>
      </c>
      <c r="C291" s="16" t="s">
        <v>101</v>
      </c>
      <c r="D291" s="16" t="s">
        <v>712</v>
      </c>
      <c r="E291" s="16" t="s">
        <v>93</v>
      </c>
      <c r="F291" s="16">
        <v>11</v>
      </c>
      <c r="G291" s="17">
        <v>584.89</v>
      </c>
      <c r="H291" s="15">
        <f t="shared" si="27"/>
        <v>6433.79</v>
      </c>
      <c r="I291" s="16"/>
    </row>
    <row r="292" ht="18.75" customHeight="1" spans="1:9">
      <c r="A292" s="16">
        <v>15</v>
      </c>
      <c r="B292" s="16" t="s">
        <v>719</v>
      </c>
      <c r="C292" s="16" t="s">
        <v>91</v>
      </c>
      <c r="D292" s="16" t="s">
        <v>712</v>
      </c>
      <c r="E292" s="16" t="s">
        <v>93</v>
      </c>
      <c r="F292" s="16">
        <v>7</v>
      </c>
      <c r="G292" s="19">
        <v>1446.92</v>
      </c>
      <c r="H292" s="15">
        <f t="shared" si="27"/>
        <v>10128.44</v>
      </c>
      <c r="I292" s="16"/>
    </row>
    <row r="293" ht="18.75" customHeight="1" spans="1:9">
      <c r="A293" s="16">
        <v>16</v>
      </c>
      <c r="B293" s="16" t="s">
        <v>719</v>
      </c>
      <c r="C293" s="16" t="s">
        <v>101</v>
      </c>
      <c r="D293" s="16" t="s">
        <v>712</v>
      </c>
      <c r="E293" s="16" t="s">
        <v>93</v>
      </c>
      <c r="F293" s="16">
        <v>11</v>
      </c>
      <c r="G293" s="19">
        <v>822.94</v>
      </c>
      <c r="H293" s="15">
        <f t="shared" si="27"/>
        <v>9052.34</v>
      </c>
      <c r="I293" s="16"/>
    </row>
    <row r="294" ht="18.75" customHeight="1" spans="1:9">
      <c r="A294" s="16">
        <v>17</v>
      </c>
      <c r="B294" s="16" t="s">
        <v>722</v>
      </c>
      <c r="C294" s="16" t="s">
        <v>734</v>
      </c>
      <c r="D294" s="16" t="s">
        <v>708</v>
      </c>
      <c r="E294" s="16" t="s">
        <v>93</v>
      </c>
      <c r="F294" s="16">
        <v>3</v>
      </c>
      <c r="G294" s="17">
        <v>420</v>
      </c>
      <c r="H294" s="15">
        <f t="shared" si="27"/>
        <v>1260</v>
      </c>
      <c r="I294" s="16"/>
    </row>
    <row r="295" ht="18.75" customHeight="1" spans="1:9">
      <c r="A295" s="16">
        <v>18</v>
      </c>
      <c r="B295" s="16" t="s">
        <v>609</v>
      </c>
      <c r="C295" s="16" t="s">
        <v>735</v>
      </c>
      <c r="D295" s="16" t="s">
        <v>708</v>
      </c>
      <c r="E295" s="16" t="s">
        <v>93</v>
      </c>
      <c r="F295" s="16">
        <v>3</v>
      </c>
      <c r="G295" s="17">
        <v>178</v>
      </c>
      <c r="H295" s="15">
        <f t="shared" si="27"/>
        <v>534</v>
      </c>
      <c r="I295" s="16"/>
    </row>
    <row r="296" ht="18.75" customHeight="1" spans="1:9">
      <c r="A296" s="16">
        <v>19</v>
      </c>
      <c r="B296" s="16" t="s">
        <v>609</v>
      </c>
      <c r="C296" s="16" t="s">
        <v>115</v>
      </c>
      <c r="D296" s="16" t="s">
        <v>76</v>
      </c>
      <c r="E296" s="16" t="s">
        <v>93</v>
      </c>
      <c r="F296" s="16">
        <v>1</v>
      </c>
      <c r="G296" s="19">
        <v>165.36</v>
      </c>
      <c r="H296" s="15">
        <f t="shared" si="27"/>
        <v>165.36</v>
      </c>
      <c r="I296" s="16"/>
    </row>
    <row r="297" ht="18.75" customHeight="1" spans="1:9">
      <c r="A297" s="16">
        <v>20</v>
      </c>
      <c r="B297" s="16" t="s">
        <v>711</v>
      </c>
      <c r="C297" s="16" t="s">
        <v>745</v>
      </c>
      <c r="D297" s="16" t="s">
        <v>712</v>
      </c>
      <c r="E297" s="16" t="s">
        <v>93</v>
      </c>
      <c r="F297" s="16">
        <v>508</v>
      </c>
      <c r="G297" s="17">
        <v>120</v>
      </c>
      <c r="H297" s="15">
        <f t="shared" si="27"/>
        <v>60960</v>
      </c>
      <c r="I297" s="16"/>
    </row>
    <row r="298" ht="18.75" customHeight="1" spans="1:9">
      <c r="A298" s="16">
        <v>21</v>
      </c>
      <c r="B298" s="16" t="s">
        <v>746</v>
      </c>
      <c r="C298" s="16" t="s">
        <v>745</v>
      </c>
      <c r="D298" s="16" t="s">
        <v>712</v>
      </c>
      <c r="E298" s="16" t="s">
        <v>93</v>
      </c>
      <c r="F298" s="16">
        <v>508</v>
      </c>
      <c r="G298" s="17">
        <v>346</v>
      </c>
      <c r="H298" s="15">
        <f t="shared" si="27"/>
        <v>175768</v>
      </c>
      <c r="I298" s="16"/>
    </row>
    <row r="299" ht="18.75" customHeight="1" spans="1:9">
      <c r="A299" s="16">
        <v>22</v>
      </c>
      <c r="B299" s="16" t="s">
        <v>747</v>
      </c>
      <c r="C299" s="16" t="s">
        <v>750</v>
      </c>
      <c r="D299" s="16" t="s">
        <v>749</v>
      </c>
      <c r="E299" s="16" t="s">
        <v>93</v>
      </c>
      <c r="F299" s="16">
        <v>508</v>
      </c>
      <c r="G299" s="17">
        <v>65</v>
      </c>
      <c r="H299" s="15">
        <f t="shared" si="27"/>
        <v>33020</v>
      </c>
      <c r="I299" s="16"/>
    </row>
    <row r="300" ht="18.75" customHeight="1" spans="1:9">
      <c r="A300" s="16">
        <v>23</v>
      </c>
      <c r="B300" s="16" t="s">
        <v>751</v>
      </c>
      <c r="C300" s="16"/>
      <c r="D300" s="16"/>
      <c r="E300" s="16" t="s">
        <v>93</v>
      </c>
      <c r="F300" s="16">
        <v>508</v>
      </c>
      <c r="G300" s="17">
        <v>40</v>
      </c>
      <c r="H300" s="15">
        <f t="shared" si="27"/>
        <v>20320</v>
      </c>
      <c r="I300" s="16"/>
    </row>
    <row r="301" ht="18.75" customHeight="1" spans="1:9">
      <c r="A301" s="16"/>
      <c r="B301" s="11" t="s">
        <v>444</v>
      </c>
      <c r="C301" s="16"/>
      <c r="D301" s="16"/>
      <c r="E301" s="16"/>
      <c r="F301" s="16"/>
      <c r="G301" s="16"/>
      <c r="H301" s="14">
        <f>SUM(H278:H300)</f>
        <v>515067.57</v>
      </c>
      <c r="I301" s="16"/>
    </row>
    <row r="302" ht="18.75" customHeight="1" spans="1:9">
      <c r="A302" s="11" t="s">
        <v>652</v>
      </c>
      <c r="B302" s="11" t="s">
        <v>752</v>
      </c>
      <c r="C302" s="11"/>
      <c r="D302" s="11"/>
      <c r="E302" s="11"/>
      <c r="F302" s="11"/>
      <c r="G302" s="20"/>
      <c r="H302" s="14"/>
      <c r="I302" s="11"/>
    </row>
    <row r="303" ht="18.75" customHeight="1" spans="1:9">
      <c r="A303" s="16">
        <v>1</v>
      </c>
      <c r="B303" s="16" t="s">
        <v>753</v>
      </c>
      <c r="C303" s="16" t="s">
        <v>754</v>
      </c>
      <c r="D303" s="16" t="s">
        <v>76</v>
      </c>
      <c r="E303" s="16" t="s">
        <v>154</v>
      </c>
      <c r="F303" s="16">
        <v>633</v>
      </c>
      <c r="G303" s="19">
        <v>170</v>
      </c>
      <c r="H303" s="15">
        <f t="shared" ref="H303:H313" si="30">F303*G303</f>
        <v>107610</v>
      </c>
      <c r="I303" s="16" t="s">
        <v>755</v>
      </c>
    </row>
    <row r="304" ht="18.75" customHeight="1" spans="1:9">
      <c r="A304" s="16">
        <v>2</v>
      </c>
      <c r="B304" s="16" t="s">
        <v>753</v>
      </c>
      <c r="C304" s="16" t="s">
        <v>756</v>
      </c>
      <c r="D304" s="16" t="s">
        <v>76</v>
      </c>
      <c r="E304" s="16" t="s">
        <v>154</v>
      </c>
      <c r="F304" s="16">
        <v>178</v>
      </c>
      <c r="G304" s="19">
        <v>60.89</v>
      </c>
      <c r="H304" s="15">
        <f t="shared" si="30"/>
        <v>10838.42</v>
      </c>
      <c r="I304" s="16" t="s">
        <v>755</v>
      </c>
    </row>
    <row r="305" ht="18.75" customHeight="1" spans="1:9">
      <c r="A305" s="16">
        <v>3</v>
      </c>
      <c r="B305" s="16" t="s">
        <v>757</v>
      </c>
      <c r="C305" s="16" t="s">
        <v>704</v>
      </c>
      <c r="D305" s="16" t="s">
        <v>705</v>
      </c>
      <c r="E305" s="16" t="s">
        <v>168</v>
      </c>
      <c r="F305" s="16">
        <v>3</v>
      </c>
      <c r="G305" s="19">
        <v>10200</v>
      </c>
      <c r="H305" s="15">
        <f t="shared" si="30"/>
        <v>30600</v>
      </c>
      <c r="I305" s="16"/>
    </row>
    <row r="306" ht="18.75" customHeight="1" spans="1:9">
      <c r="A306" s="16">
        <v>4</v>
      </c>
      <c r="B306" s="16" t="s">
        <v>706</v>
      </c>
      <c r="C306" s="16" t="s">
        <v>108</v>
      </c>
      <c r="D306" s="16" t="s">
        <v>76</v>
      </c>
      <c r="E306" s="16" t="s">
        <v>93</v>
      </c>
      <c r="F306" s="16">
        <v>3</v>
      </c>
      <c r="G306" s="17">
        <v>90</v>
      </c>
      <c r="H306" s="15">
        <f t="shared" si="30"/>
        <v>270</v>
      </c>
      <c r="I306" s="16" t="s">
        <v>755</v>
      </c>
    </row>
    <row r="307" ht="18.75" customHeight="1" spans="1:9">
      <c r="A307" s="16">
        <v>5</v>
      </c>
      <c r="B307" s="16" t="s">
        <v>719</v>
      </c>
      <c r="C307" s="16" t="s">
        <v>101</v>
      </c>
      <c r="D307" s="16" t="s">
        <v>712</v>
      </c>
      <c r="E307" s="16" t="s">
        <v>93</v>
      </c>
      <c r="F307" s="16">
        <v>3</v>
      </c>
      <c r="G307" s="19">
        <v>822.94</v>
      </c>
      <c r="H307" s="15">
        <f t="shared" si="30"/>
        <v>2468.82</v>
      </c>
      <c r="I307" s="16"/>
    </row>
    <row r="308" ht="18.75" customHeight="1" spans="1:9">
      <c r="A308" s="16">
        <v>6</v>
      </c>
      <c r="B308" s="16" t="s">
        <v>736</v>
      </c>
      <c r="C308" s="16" t="s">
        <v>101</v>
      </c>
      <c r="D308" s="16" t="s">
        <v>708</v>
      </c>
      <c r="E308" s="16" t="s">
        <v>93</v>
      </c>
      <c r="F308" s="16">
        <v>3</v>
      </c>
      <c r="G308" s="17">
        <v>320</v>
      </c>
      <c r="H308" s="15">
        <f t="shared" si="30"/>
        <v>960</v>
      </c>
      <c r="I308" s="16"/>
    </row>
    <row r="309" ht="18.75" customHeight="1" spans="1:9">
      <c r="A309" s="16">
        <v>7</v>
      </c>
      <c r="B309" s="16" t="s">
        <v>758</v>
      </c>
      <c r="C309" s="16" t="s">
        <v>759</v>
      </c>
      <c r="D309" s="16" t="s">
        <v>712</v>
      </c>
      <c r="E309" s="16" t="s">
        <v>760</v>
      </c>
      <c r="F309" s="16">
        <v>3</v>
      </c>
      <c r="G309" s="19">
        <v>1545.71</v>
      </c>
      <c r="H309" s="15">
        <f t="shared" si="30"/>
        <v>4637.13</v>
      </c>
      <c r="I309" s="16"/>
    </row>
    <row r="310" ht="18.75" customHeight="1" spans="1:9">
      <c r="A310" s="16">
        <v>8</v>
      </c>
      <c r="B310" s="16" t="s">
        <v>601</v>
      </c>
      <c r="C310" s="16" t="s">
        <v>729</v>
      </c>
      <c r="D310" s="16" t="s">
        <v>76</v>
      </c>
      <c r="E310" s="16" t="s">
        <v>93</v>
      </c>
      <c r="F310" s="16">
        <v>1</v>
      </c>
      <c r="G310" s="17">
        <v>420</v>
      </c>
      <c r="H310" s="15">
        <f t="shared" si="30"/>
        <v>420</v>
      </c>
      <c r="I310" s="16"/>
    </row>
    <row r="311" ht="18.75" customHeight="1" spans="1:9">
      <c r="A311" s="16">
        <v>9</v>
      </c>
      <c r="B311" s="16" t="s">
        <v>601</v>
      </c>
      <c r="C311" s="16" t="s">
        <v>761</v>
      </c>
      <c r="D311" s="16" t="s">
        <v>76</v>
      </c>
      <c r="E311" s="16" t="s">
        <v>93</v>
      </c>
      <c r="F311" s="16">
        <v>1</v>
      </c>
      <c r="G311" s="17">
        <v>420</v>
      </c>
      <c r="H311" s="15">
        <f t="shared" si="30"/>
        <v>420</v>
      </c>
      <c r="I311" s="16" t="s">
        <v>755</v>
      </c>
    </row>
    <row r="312" ht="18.75" customHeight="1" spans="1:9">
      <c r="A312" s="16">
        <v>10</v>
      </c>
      <c r="B312" s="16" t="s">
        <v>600</v>
      </c>
      <c r="C312" s="16" t="s">
        <v>106</v>
      </c>
      <c r="D312" s="16" t="s">
        <v>76</v>
      </c>
      <c r="E312" s="16" t="s">
        <v>93</v>
      </c>
      <c r="F312" s="16">
        <v>7</v>
      </c>
      <c r="G312" s="19">
        <v>91.72</v>
      </c>
      <c r="H312" s="15">
        <f t="shared" si="30"/>
        <v>642.04</v>
      </c>
      <c r="I312" s="16" t="s">
        <v>755</v>
      </c>
    </row>
    <row r="313" ht="18.75" customHeight="1" spans="1:9">
      <c r="A313" s="16">
        <v>11</v>
      </c>
      <c r="B313" s="16" t="s">
        <v>609</v>
      </c>
      <c r="C313" s="16" t="s">
        <v>115</v>
      </c>
      <c r="D313" s="16" t="s">
        <v>76</v>
      </c>
      <c r="E313" s="16" t="s">
        <v>93</v>
      </c>
      <c r="F313" s="16">
        <v>2</v>
      </c>
      <c r="G313" s="19">
        <v>165.36</v>
      </c>
      <c r="H313" s="15">
        <f t="shared" si="30"/>
        <v>330.72</v>
      </c>
      <c r="I313" s="16"/>
    </row>
    <row r="314" ht="18.75" customHeight="1" spans="1:9">
      <c r="A314" s="16"/>
      <c r="B314" s="11" t="s">
        <v>444</v>
      </c>
      <c r="C314" s="16"/>
      <c r="D314" s="16"/>
      <c r="E314" s="16"/>
      <c r="F314" s="16"/>
      <c r="G314" s="16"/>
      <c r="H314" s="14">
        <f>SUM(H303:H313)</f>
        <v>159197.13</v>
      </c>
      <c r="I314" s="16"/>
    </row>
    <row r="315" ht="18.75" customHeight="1" spans="1:9">
      <c r="A315" s="16" t="s">
        <v>674</v>
      </c>
      <c r="B315" s="11" t="s">
        <v>812</v>
      </c>
      <c r="C315" s="11"/>
      <c r="D315" s="11"/>
      <c r="E315" s="11"/>
      <c r="F315" s="11"/>
      <c r="G315" s="20"/>
      <c r="H315" s="14"/>
      <c r="I315" s="11"/>
    </row>
    <row r="316" ht="18.75" customHeight="1" spans="1:9">
      <c r="A316" s="16">
        <v>1</v>
      </c>
      <c r="B316" s="16" t="s">
        <v>813</v>
      </c>
      <c r="C316" s="16" t="s">
        <v>108</v>
      </c>
      <c r="D316" s="16" t="s">
        <v>76</v>
      </c>
      <c r="E316" s="16" t="s">
        <v>154</v>
      </c>
      <c r="F316" s="16">
        <v>359</v>
      </c>
      <c r="G316" s="19">
        <v>60.89</v>
      </c>
      <c r="H316" s="15">
        <f t="shared" ref="H316:H324" si="31">F316*G316</f>
        <v>21859.51</v>
      </c>
      <c r="I316" s="16"/>
    </row>
    <row r="317" ht="18.75" customHeight="1" spans="1:9">
      <c r="A317" s="16">
        <v>2</v>
      </c>
      <c r="B317" s="16" t="s">
        <v>813</v>
      </c>
      <c r="C317" s="16" t="s">
        <v>814</v>
      </c>
      <c r="D317" s="16" t="s">
        <v>76</v>
      </c>
      <c r="E317" s="16" t="s">
        <v>154</v>
      </c>
      <c r="F317" s="16">
        <v>202</v>
      </c>
      <c r="G317" s="17">
        <f>97.9*1.35</f>
        <v>132.165</v>
      </c>
      <c r="H317" s="15">
        <f t="shared" si="31"/>
        <v>26697.33</v>
      </c>
      <c r="I317" s="16"/>
    </row>
    <row r="318" ht="18.75" customHeight="1" spans="1:9">
      <c r="A318" s="16">
        <v>3</v>
      </c>
      <c r="B318" s="16" t="s">
        <v>601</v>
      </c>
      <c r="C318" s="16" t="s">
        <v>742</v>
      </c>
      <c r="D318" s="16" t="s">
        <v>780</v>
      </c>
      <c r="E318" s="16" t="s">
        <v>93</v>
      </c>
      <c r="F318" s="16">
        <v>1</v>
      </c>
      <c r="G318" s="17">
        <v>83.94</v>
      </c>
      <c r="H318" s="15">
        <f t="shared" si="31"/>
        <v>83.94</v>
      </c>
      <c r="I318" s="16"/>
    </row>
    <row r="319" ht="18.75" customHeight="1" spans="1:9">
      <c r="A319" s="16">
        <v>4</v>
      </c>
      <c r="B319" s="16" t="s">
        <v>601</v>
      </c>
      <c r="C319" s="16" t="s">
        <v>740</v>
      </c>
      <c r="D319" s="16" t="s">
        <v>76</v>
      </c>
      <c r="E319" s="16" t="s">
        <v>93</v>
      </c>
      <c r="F319" s="16">
        <v>6</v>
      </c>
      <c r="G319" s="19">
        <v>98.97</v>
      </c>
      <c r="H319" s="15">
        <f t="shared" si="31"/>
        <v>593.82</v>
      </c>
      <c r="I319" s="16"/>
    </row>
    <row r="320" ht="18.75" customHeight="1" spans="1:9">
      <c r="A320" s="16">
        <v>5</v>
      </c>
      <c r="B320" s="16" t="s">
        <v>609</v>
      </c>
      <c r="C320" s="16" t="s">
        <v>245</v>
      </c>
      <c r="D320" s="16" t="s">
        <v>76</v>
      </c>
      <c r="E320" s="16" t="s">
        <v>93</v>
      </c>
      <c r="F320" s="16">
        <v>1</v>
      </c>
      <c r="G320" s="19">
        <v>99.52</v>
      </c>
      <c r="H320" s="15">
        <f t="shared" si="31"/>
        <v>99.52</v>
      </c>
      <c r="I320" s="16"/>
    </row>
    <row r="321" ht="18.75" customHeight="1" spans="1:9">
      <c r="A321" s="16">
        <v>6</v>
      </c>
      <c r="B321" s="16" t="s">
        <v>600</v>
      </c>
      <c r="C321" s="16" t="s">
        <v>108</v>
      </c>
      <c r="D321" s="16" t="s">
        <v>76</v>
      </c>
      <c r="E321" s="16" t="s">
        <v>93</v>
      </c>
      <c r="F321" s="16">
        <v>9</v>
      </c>
      <c r="G321" s="19">
        <v>91.72</v>
      </c>
      <c r="H321" s="15">
        <f t="shared" si="31"/>
        <v>825.48</v>
      </c>
      <c r="I321" s="16" t="s">
        <v>755</v>
      </c>
    </row>
    <row r="322" ht="18.75" customHeight="1" spans="1:9">
      <c r="A322" s="16">
        <v>7</v>
      </c>
      <c r="B322" s="16" t="s">
        <v>815</v>
      </c>
      <c r="C322" s="16" t="s">
        <v>816</v>
      </c>
      <c r="D322" s="16" t="s">
        <v>708</v>
      </c>
      <c r="E322" s="16" t="s">
        <v>93</v>
      </c>
      <c r="F322" s="16">
        <v>1</v>
      </c>
      <c r="G322" s="17">
        <v>83.94</v>
      </c>
      <c r="H322" s="15">
        <f t="shared" ref="H322" si="32">F322*G322</f>
        <v>83.94</v>
      </c>
      <c r="I322" s="16"/>
    </row>
    <row r="323" ht="18.75" customHeight="1" spans="1:9">
      <c r="A323" s="16">
        <v>8</v>
      </c>
      <c r="B323" s="16" t="s">
        <v>817</v>
      </c>
      <c r="C323" s="16" t="s">
        <v>818</v>
      </c>
      <c r="D323" s="16" t="s">
        <v>718</v>
      </c>
      <c r="E323" s="16" t="s">
        <v>93</v>
      </c>
      <c r="F323" s="16">
        <v>9</v>
      </c>
      <c r="G323" s="17">
        <f>560*1.25</f>
        <v>700</v>
      </c>
      <c r="H323" s="15">
        <f t="shared" si="31"/>
        <v>6300</v>
      </c>
      <c r="I323" s="16"/>
    </row>
    <row r="324" ht="18.75" customHeight="1" spans="1:9">
      <c r="A324" s="16">
        <v>9</v>
      </c>
      <c r="B324" s="16" t="s">
        <v>819</v>
      </c>
      <c r="C324" s="16" t="s">
        <v>820</v>
      </c>
      <c r="D324" s="16" t="s">
        <v>821</v>
      </c>
      <c r="E324" s="16" t="s">
        <v>168</v>
      </c>
      <c r="F324" s="16">
        <v>8</v>
      </c>
      <c r="G324" s="17">
        <v>3631.78</v>
      </c>
      <c r="H324" s="15">
        <f t="shared" si="31"/>
        <v>29054.24</v>
      </c>
      <c r="I324" s="16"/>
    </row>
    <row r="325" ht="18.75" customHeight="1" spans="1:9">
      <c r="A325" s="16"/>
      <c r="B325" s="11" t="s">
        <v>444</v>
      </c>
      <c r="C325" s="16"/>
      <c r="D325" s="16"/>
      <c r="E325" s="16"/>
      <c r="F325" s="16"/>
      <c r="G325" s="16"/>
      <c r="H325" s="14">
        <f>SUM(H316:H324)</f>
        <v>85597.78</v>
      </c>
      <c r="I325" s="16"/>
    </row>
    <row r="326" ht="18.75" customHeight="1" spans="1:9">
      <c r="A326" s="16" t="s">
        <v>684</v>
      </c>
      <c r="B326" s="11" t="s">
        <v>191</v>
      </c>
      <c r="C326" s="11"/>
      <c r="D326" s="11"/>
      <c r="E326" s="11"/>
      <c r="F326" s="11"/>
      <c r="G326" s="20"/>
      <c r="H326" s="14"/>
      <c r="I326" s="11"/>
    </row>
    <row r="327" ht="18.75" customHeight="1" spans="1:9">
      <c r="A327" s="16">
        <v>1</v>
      </c>
      <c r="B327" s="16" t="s">
        <v>762</v>
      </c>
      <c r="C327" s="16"/>
      <c r="D327" s="16"/>
      <c r="E327" s="16" t="s">
        <v>628</v>
      </c>
      <c r="F327" s="16">
        <v>1055</v>
      </c>
      <c r="G327" s="28">
        <f>G240</f>
        <v>104.45</v>
      </c>
      <c r="H327" s="15">
        <f>F327*G327</f>
        <v>110194.75</v>
      </c>
      <c r="I327" s="16"/>
    </row>
    <row r="328" ht="18.75" customHeight="1" spans="1:9">
      <c r="A328" s="16"/>
      <c r="B328" s="11" t="s">
        <v>444</v>
      </c>
      <c r="C328" s="16"/>
      <c r="D328" s="16"/>
      <c r="E328" s="16"/>
      <c r="F328" s="16"/>
      <c r="G328" s="16"/>
      <c r="H328" s="14">
        <f>SUM(H327:H327)</f>
        <v>110194.75</v>
      </c>
      <c r="I328" s="16"/>
    </row>
    <row r="329" ht="18.75" customHeight="1" spans="1:9">
      <c r="A329" s="16"/>
      <c r="B329" s="11" t="s">
        <v>205</v>
      </c>
      <c r="C329" s="16"/>
      <c r="D329" s="16"/>
      <c r="E329" s="16"/>
      <c r="F329" s="16"/>
      <c r="G329" s="16"/>
      <c r="H329" s="14">
        <f>SUM(H276,H301,H314,H325,H328)</f>
        <v>978872.05</v>
      </c>
      <c r="I329" s="16"/>
    </row>
    <row r="330" ht="18.75" customHeight="1" spans="1:14">
      <c r="A330" s="33" t="s">
        <v>822</v>
      </c>
      <c r="B330" s="11"/>
      <c r="C330" s="11"/>
      <c r="D330" s="11"/>
      <c r="E330" s="11"/>
      <c r="F330" s="11"/>
      <c r="G330" s="11"/>
      <c r="H330" s="11"/>
      <c r="I330" s="11"/>
      <c r="L330" s="21"/>
      <c r="M330" s="21"/>
      <c r="N330" s="22"/>
    </row>
    <row r="331" ht="18.75" customHeight="1" spans="1:14">
      <c r="A331" s="11" t="s">
        <v>579</v>
      </c>
      <c r="B331" s="11" t="s">
        <v>823</v>
      </c>
      <c r="C331" s="11"/>
      <c r="D331" s="11"/>
      <c r="E331" s="11"/>
      <c r="F331" s="11"/>
      <c r="G331" s="12"/>
      <c r="H331" s="15"/>
      <c r="I331" s="16"/>
      <c r="L331" s="21">
        <v>3</v>
      </c>
      <c r="M331" s="25" t="s">
        <v>33</v>
      </c>
      <c r="N331" s="22" t="s">
        <v>824</v>
      </c>
    </row>
    <row r="332" ht="18.75" customHeight="1" spans="1:14">
      <c r="A332" s="16">
        <v>1</v>
      </c>
      <c r="B332" s="16" t="s">
        <v>825</v>
      </c>
      <c r="C332" s="16" t="s">
        <v>826</v>
      </c>
      <c r="D332" s="16" t="s">
        <v>76</v>
      </c>
      <c r="E332" s="16" t="s">
        <v>154</v>
      </c>
      <c r="F332" s="16">
        <v>12</v>
      </c>
      <c r="G332" s="19">
        <v>170</v>
      </c>
      <c r="H332" s="15">
        <f t="shared" ref="H332:H344" si="33">F332*G332</f>
        <v>2040</v>
      </c>
      <c r="I332" s="16"/>
      <c r="L332" s="21">
        <v>4</v>
      </c>
      <c r="M332" s="21" t="s">
        <v>827</v>
      </c>
      <c r="N332" s="22" t="s">
        <v>828</v>
      </c>
    </row>
    <row r="333" ht="18.75" customHeight="1" spans="1:9">
      <c r="A333" s="16">
        <v>2</v>
      </c>
      <c r="B333" s="16" t="s">
        <v>817</v>
      </c>
      <c r="C333" s="16" t="s">
        <v>829</v>
      </c>
      <c r="D333" s="16" t="s">
        <v>718</v>
      </c>
      <c r="E333" s="16" t="s">
        <v>93</v>
      </c>
      <c r="F333" s="16">
        <v>2</v>
      </c>
      <c r="G333" s="19">
        <v>1446.92</v>
      </c>
      <c r="H333" s="15">
        <f t="shared" si="33"/>
        <v>2893.84</v>
      </c>
      <c r="I333" s="16"/>
    </row>
    <row r="334" ht="18.75" customHeight="1" spans="1:9">
      <c r="A334" s="16">
        <v>3</v>
      </c>
      <c r="B334" s="16" t="s">
        <v>817</v>
      </c>
      <c r="C334" s="16" t="s">
        <v>830</v>
      </c>
      <c r="D334" s="16" t="s">
        <v>718</v>
      </c>
      <c r="E334" s="16" t="s">
        <v>93</v>
      </c>
      <c r="F334" s="16">
        <v>1</v>
      </c>
      <c r="G334" s="19">
        <v>2215.14</v>
      </c>
      <c r="H334" s="15">
        <f t="shared" si="33"/>
        <v>2215.14</v>
      </c>
      <c r="I334" s="16"/>
    </row>
    <row r="335" ht="18.75" customHeight="1" spans="1:9">
      <c r="A335" s="16">
        <v>4</v>
      </c>
      <c r="B335" s="16" t="s">
        <v>817</v>
      </c>
      <c r="C335" s="16" t="s">
        <v>831</v>
      </c>
      <c r="D335" s="16" t="s">
        <v>718</v>
      </c>
      <c r="E335" s="16" t="s">
        <v>93</v>
      </c>
      <c r="F335" s="16">
        <v>1</v>
      </c>
      <c r="G335" s="19">
        <v>3467.87</v>
      </c>
      <c r="H335" s="15">
        <f t="shared" si="33"/>
        <v>3467.87</v>
      </c>
      <c r="I335" s="16"/>
    </row>
    <row r="336" ht="18.75" customHeight="1" spans="1:9">
      <c r="A336" s="16">
        <v>5</v>
      </c>
      <c r="B336" s="16" t="s">
        <v>717</v>
      </c>
      <c r="C336" s="16" t="s">
        <v>91</v>
      </c>
      <c r="D336" s="16" t="s">
        <v>718</v>
      </c>
      <c r="E336" s="16" t="s">
        <v>93</v>
      </c>
      <c r="F336" s="16">
        <v>2</v>
      </c>
      <c r="G336" s="19">
        <v>775.82</v>
      </c>
      <c r="H336" s="15">
        <f t="shared" si="33"/>
        <v>1551.64</v>
      </c>
      <c r="I336" s="16"/>
    </row>
    <row r="337" ht="18.75" customHeight="1" spans="1:9">
      <c r="A337" s="16">
        <v>6</v>
      </c>
      <c r="B337" s="16" t="s">
        <v>717</v>
      </c>
      <c r="C337" s="16" t="s">
        <v>302</v>
      </c>
      <c r="D337" s="16" t="s">
        <v>718</v>
      </c>
      <c r="E337" s="16" t="s">
        <v>93</v>
      </c>
      <c r="F337" s="16">
        <v>1</v>
      </c>
      <c r="G337" s="19">
        <v>893.94</v>
      </c>
      <c r="H337" s="15">
        <f t="shared" si="33"/>
        <v>893.94</v>
      </c>
      <c r="I337" s="16"/>
    </row>
    <row r="338" ht="18.75" customHeight="1" spans="1:9">
      <c r="A338" s="16">
        <v>7</v>
      </c>
      <c r="B338" s="16" t="s">
        <v>717</v>
      </c>
      <c r="C338" s="16" t="s">
        <v>796</v>
      </c>
      <c r="D338" s="16" t="s">
        <v>718</v>
      </c>
      <c r="E338" s="16" t="s">
        <v>93</v>
      </c>
      <c r="F338" s="16">
        <v>1</v>
      </c>
      <c r="G338" s="19">
        <v>1655.58</v>
      </c>
      <c r="H338" s="15">
        <f t="shared" si="33"/>
        <v>1655.58</v>
      </c>
      <c r="I338" s="16"/>
    </row>
    <row r="339" ht="18.75" customHeight="1" spans="1:15">
      <c r="A339" s="16">
        <v>8</v>
      </c>
      <c r="B339" s="16" t="s">
        <v>706</v>
      </c>
      <c r="C339" s="16" t="s">
        <v>826</v>
      </c>
      <c r="D339" s="16" t="s">
        <v>76</v>
      </c>
      <c r="E339" s="16" t="s">
        <v>93</v>
      </c>
      <c r="F339" s="16">
        <v>2</v>
      </c>
      <c r="G339" s="19">
        <v>90</v>
      </c>
      <c r="H339" s="15">
        <f t="shared" si="33"/>
        <v>180</v>
      </c>
      <c r="I339" s="16"/>
      <c r="L339" s="21" t="s">
        <v>65</v>
      </c>
      <c r="M339" s="21" t="s">
        <v>576</v>
      </c>
      <c r="N339" s="22" t="s">
        <v>832</v>
      </c>
      <c r="O339" s="21" t="s">
        <v>833</v>
      </c>
    </row>
    <row r="340" s="8" customFormat="1" ht="18.75" customHeight="1" spans="1:15">
      <c r="A340" s="16">
        <v>9</v>
      </c>
      <c r="B340" s="16" t="s">
        <v>834</v>
      </c>
      <c r="C340" s="16" t="s">
        <v>302</v>
      </c>
      <c r="D340" s="16" t="s">
        <v>708</v>
      </c>
      <c r="E340" s="16" t="s">
        <v>93</v>
      </c>
      <c r="F340" s="16">
        <v>2</v>
      </c>
      <c r="G340" s="19">
        <f>327*1.2</f>
        <v>392.4</v>
      </c>
      <c r="H340" s="15">
        <f t="shared" si="33"/>
        <v>784.8</v>
      </c>
      <c r="I340" s="16"/>
      <c r="L340" s="34" t="s">
        <v>22</v>
      </c>
      <c r="M340" s="35" t="s">
        <v>835</v>
      </c>
      <c r="N340" s="22" t="s">
        <v>836</v>
      </c>
      <c r="O340" s="27" t="s">
        <v>837</v>
      </c>
    </row>
    <row r="341" s="8" customFormat="1" ht="18.75" customHeight="1" spans="1:15">
      <c r="A341" s="16">
        <v>10</v>
      </c>
      <c r="B341" s="16" t="s">
        <v>834</v>
      </c>
      <c r="C341" s="16" t="s">
        <v>796</v>
      </c>
      <c r="D341" s="16" t="s">
        <v>708</v>
      </c>
      <c r="E341" s="16" t="s">
        <v>93</v>
      </c>
      <c r="F341" s="16">
        <v>2</v>
      </c>
      <c r="G341" s="19">
        <f>590*1.2</f>
        <v>708</v>
      </c>
      <c r="H341" s="15">
        <f t="shared" si="33"/>
        <v>1416</v>
      </c>
      <c r="I341" s="16"/>
      <c r="L341" s="34" t="s">
        <v>24</v>
      </c>
      <c r="M341" s="35" t="s">
        <v>25</v>
      </c>
      <c r="N341" s="22" t="s">
        <v>838</v>
      </c>
      <c r="O341" s="27" t="s">
        <v>839</v>
      </c>
    </row>
    <row r="342" ht="18.75" customHeight="1" spans="1:15">
      <c r="A342" s="16">
        <v>11</v>
      </c>
      <c r="B342" s="16" t="s">
        <v>722</v>
      </c>
      <c r="C342" s="16" t="s">
        <v>840</v>
      </c>
      <c r="D342" s="16" t="s">
        <v>708</v>
      </c>
      <c r="E342" s="16" t="s">
        <v>93</v>
      </c>
      <c r="F342" s="16">
        <v>1</v>
      </c>
      <c r="G342" s="19">
        <v>1450.94</v>
      </c>
      <c r="H342" s="15">
        <f t="shared" si="33"/>
        <v>1450.94</v>
      </c>
      <c r="I342" s="16"/>
      <c r="L342" s="26" t="s">
        <v>26</v>
      </c>
      <c r="M342" s="25" t="s">
        <v>841</v>
      </c>
      <c r="N342" s="22" t="s">
        <v>842</v>
      </c>
      <c r="O342" s="27" t="s">
        <v>843</v>
      </c>
    </row>
    <row r="343" ht="18.75" customHeight="1" spans="1:15">
      <c r="A343" s="16">
        <v>12</v>
      </c>
      <c r="B343" s="16" t="s">
        <v>722</v>
      </c>
      <c r="C343" s="16" t="s">
        <v>723</v>
      </c>
      <c r="D343" s="16" t="s">
        <v>708</v>
      </c>
      <c r="E343" s="16" t="s">
        <v>93</v>
      </c>
      <c r="F343" s="16">
        <v>1</v>
      </c>
      <c r="G343" s="19">
        <v>860</v>
      </c>
      <c r="H343" s="15">
        <f t="shared" si="33"/>
        <v>860</v>
      </c>
      <c r="I343" s="16"/>
      <c r="L343" s="26" t="s">
        <v>28</v>
      </c>
      <c r="M343" s="25" t="s">
        <v>33</v>
      </c>
      <c r="N343" s="22" t="s">
        <v>724</v>
      </c>
      <c r="O343" s="27" t="s">
        <v>725</v>
      </c>
    </row>
    <row r="344" ht="18.75" customHeight="1" spans="1:15">
      <c r="A344" s="16">
        <v>13</v>
      </c>
      <c r="B344" s="18" t="s">
        <v>771</v>
      </c>
      <c r="C344" s="16" t="s">
        <v>811</v>
      </c>
      <c r="D344" s="16" t="s">
        <v>705</v>
      </c>
      <c r="E344" s="16" t="s">
        <v>168</v>
      </c>
      <c r="F344" s="16">
        <v>2</v>
      </c>
      <c r="G344" s="28">
        <f>G285</f>
        <v>5737.28</v>
      </c>
      <c r="H344" s="15">
        <f t="shared" si="33"/>
        <v>11474.56</v>
      </c>
      <c r="I344" s="16"/>
      <c r="L344" s="26" t="s">
        <v>30</v>
      </c>
      <c r="M344" s="25" t="s">
        <v>844</v>
      </c>
      <c r="N344" s="22" t="s">
        <v>836</v>
      </c>
      <c r="O344" s="27" t="s">
        <v>845</v>
      </c>
    </row>
    <row r="345" ht="18.75" customHeight="1" spans="1:15">
      <c r="A345" s="11"/>
      <c r="B345" s="11" t="s">
        <v>444</v>
      </c>
      <c r="C345" s="16"/>
      <c r="D345" s="11"/>
      <c r="E345" s="11"/>
      <c r="F345" s="11"/>
      <c r="G345" s="19"/>
      <c r="H345" s="15">
        <f>SUM(H332:H344)</f>
        <v>30884.31</v>
      </c>
      <c r="I345" s="16"/>
      <c r="L345" s="26" t="s">
        <v>32</v>
      </c>
      <c r="M345" s="25" t="s">
        <v>31</v>
      </c>
      <c r="N345" s="22" t="s">
        <v>846</v>
      </c>
      <c r="O345" s="27" t="s">
        <v>847</v>
      </c>
    </row>
    <row r="346" ht="18.75" customHeight="1" spans="1:9">
      <c r="A346" s="11" t="s">
        <v>629</v>
      </c>
      <c r="B346" s="11" t="s">
        <v>698</v>
      </c>
      <c r="C346" s="16"/>
      <c r="D346" s="11"/>
      <c r="E346" s="11"/>
      <c r="F346" s="11"/>
      <c r="G346" s="19"/>
      <c r="H346" s="15"/>
      <c r="I346" s="16"/>
    </row>
    <row r="347" ht="18.75" customHeight="1" spans="1:9">
      <c r="A347" s="16">
        <v>1</v>
      </c>
      <c r="B347" s="16" t="s">
        <v>722</v>
      </c>
      <c r="C347" s="16" t="s">
        <v>768</v>
      </c>
      <c r="D347" s="16" t="s">
        <v>708</v>
      </c>
      <c r="E347" s="16" t="s">
        <v>93</v>
      </c>
      <c r="F347" s="16">
        <v>2</v>
      </c>
      <c r="G347" s="19">
        <v>450</v>
      </c>
      <c r="H347" s="15">
        <f t="shared" ref="H347:H355" si="34">F347*G347</f>
        <v>900</v>
      </c>
      <c r="I347" s="16"/>
    </row>
    <row r="348" ht="18.75" customHeight="1" spans="1:9">
      <c r="A348" s="16">
        <v>2</v>
      </c>
      <c r="B348" s="16" t="s">
        <v>711</v>
      </c>
      <c r="C348" s="16" t="s">
        <v>91</v>
      </c>
      <c r="D348" s="16" t="s">
        <v>712</v>
      </c>
      <c r="E348" s="16" t="s">
        <v>93</v>
      </c>
      <c r="F348" s="16">
        <v>4</v>
      </c>
      <c r="G348" s="19">
        <v>2880</v>
      </c>
      <c r="H348" s="15">
        <f t="shared" si="34"/>
        <v>11520</v>
      </c>
      <c r="I348" s="16"/>
    </row>
    <row r="349" ht="18.75" customHeight="1" spans="1:9">
      <c r="A349" s="16">
        <v>3</v>
      </c>
      <c r="B349" s="16" t="s">
        <v>714</v>
      </c>
      <c r="C349" s="16" t="s">
        <v>91</v>
      </c>
      <c r="D349" s="16" t="s">
        <v>712</v>
      </c>
      <c r="E349" s="16" t="s">
        <v>93</v>
      </c>
      <c r="F349" s="16">
        <v>2</v>
      </c>
      <c r="G349" s="19">
        <v>15600</v>
      </c>
      <c r="H349" s="15">
        <f t="shared" si="34"/>
        <v>31200</v>
      </c>
      <c r="I349" s="16" t="s">
        <v>715</v>
      </c>
    </row>
    <row r="350" ht="18.75" customHeight="1" spans="1:9">
      <c r="A350" s="16">
        <v>4</v>
      </c>
      <c r="B350" s="16" t="s">
        <v>714</v>
      </c>
      <c r="C350" s="16" t="s">
        <v>101</v>
      </c>
      <c r="D350" s="16" t="s">
        <v>712</v>
      </c>
      <c r="E350" s="16" t="s">
        <v>93</v>
      </c>
      <c r="F350" s="16">
        <v>2</v>
      </c>
      <c r="G350" s="19">
        <v>11200</v>
      </c>
      <c r="H350" s="15">
        <f t="shared" si="34"/>
        <v>22400</v>
      </c>
      <c r="I350" s="16" t="s">
        <v>715</v>
      </c>
    </row>
    <row r="351" ht="18.75" customHeight="1" spans="1:9">
      <c r="A351" s="16">
        <v>5</v>
      </c>
      <c r="B351" s="16" t="s">
        <v>716</v>
      </c>
      <c r="C351" s="16" t="s">
        <v>91</v>
      </c>
      <c r="D351" s="16" t="s">
        <v>712</v>
      </c>
      <c r="E351" s="16" t="s">
        <v>93</v>
      </c>
      <c r="F351" s="16">
        <v>4</v>
      </c>
      <c r="G351" s="19">
        <v>3520</v>
      </c>
      <c r="H351" s="15">
        <f t="shared" si="34"/>
        <v>14080</v>
      </c>
      <c r="I351" s="16"/>
    </row>
    <row r="352" ht="18.75" customHeight="1" spans="1:9">
      <c r="A352" s="16">
        <v>6</v>
      </c>
      <c r="B352" s="16" t="s">
        <v>622</v>
      </c>
      <c r="C352" s="16" t="s">
        <v>91</v>
      </c>
      <c r="D352" s="16" t="s">
        <v>713</v>
      </c>
      <c r="E352" s="16" t="s">
        <v>93</v>
      </c>
      <c r="F352" s="16">
        <v>4</v>
      </c>
      <c r="G352" s="19">
        <f>2218*1.15</f>
        <v>2550.7</v>
      </c>
      <c r="H352" s="15">
        <f t="shared" si="34"/>
        <v>10202.8</v>
      </c>
      <c r="I352" s="16"/>
    </row>
    <row r="353" ht="18.75" customHeight="1" spans="1:9">
      <c r="A353" s="16">
        <v>7</v>
      </c>
      <c r="B353" s="16" t="s">
        <v>717</v>
      </c>
      <c r="C353" s="16" t="s">
        <v>91</v>
      </c>
      <c r="D353" s="16" t="s">
        <v>718</v>
      </c>
      <c r="E353" s="16" t="s">
        <v>93</v>
      </c>
      <c r="F353" s="16">
        <v>4</v>
      </c>
      <c r="G353" s="19">
        <v>775.82</v>
      </c>
      <c r="H353" s="15">
        <f t="shared" si="34"/>
        <v>3103.28</v>
      </c>
      <c r="I353" s="16"/>
    </row>
    <row r="354" ht="18.75" customHeight="1" spans="1:9">
      <c r="A354" s="16">
        <v>8</v>
      </c>
      <c r="B354" s="16" t="s">
        <v>719</v>
      </c>
      <c r="C354" s="16" t="s">
        <v>91</v>
      </c>
      <c r="D354" s="16" t="s">
        <v>712</v>
      </c>
      <c r="E354" s="16" t="s">
        <v>93</v>
      </c>
      <c r="F354" s="16">
        <v>4</v>
      </c>
      <c r="G354" s="19">
        <v>1446.92</v>
      </c>
      <c r="H354" s="15">
        <f t="shared" si="34"/>
        <v>5787.68</v>
      </c>
      <c r="I354" s="16"/>
    </row>
    <row r="355" ht="18.75" customHeight="1" spans="1:9">
      <c r="A355" s="16">
        <v>9</v>
      </c>
      <c r="B355" s="16" t="s">
        <v>709</v>
      </c>
      <c r="C355" s="16" t="s">
        <v>778</v>
      </c>
      <c r="D355" s="16" t="s">
        <v>708</v>
      </c>
      <c r="E355" s="16" t="s">
        <v>93</v>
      </c>
      <c r="F355" s="16">
        <v>4</v>
      </c>
      <c r="G355" s="19">
        <v>841.2</v>
      </c>
      <c r="H355" s="15">
        <f t="shared" si="34"/>
        <v>3364.8</v>
      </c>
      <c r="I355" s="16"/>
    </row>
    <row r="356" ht="18.75" customHeight="1" spans="1:9">
      <c r="A356" s="16">
        <v>10</v>
      </c>
      <c r="B356" s="16" t="s">
        <v>600</v>
      </c>
      <c r="C356" s="16" t="s">
        <v>91</v>
      </c>
      <c r="D356" s="16" t="s">
        <v>708</v>
      </c>
      <c r="E356" s="16" t="s">
        <v>93</v>
      </c>
      <c r="F356" s="16">
        <v>2</v>
      </c>
      <c r="G356" s="19">
        <v>219.29</v>
      </c>
      <c r="H356" s="15">
        <f>G356*F356</f>
        <v>438.58</v>
      </c>
      <c r="I356" s="16"/>
    </row>
    <row r="357" ht="18.75" customHeight="1" spans="1:9">
      <c r="A357" s="16">
        <v>11</v>
      </c>
      <c r="B357" s="16" t="s">
        <v>706</v>
      </c>
      <c r="C357" s="16" t="s">
        <v>106</v>
      </c>
      <c r="D357" s="16" t="s">
        <v>76</v>
      </c>
      <c r="E357" s="16" t="s">
        <v>93</v>
      </c>
      <c r="F357" s="16">
        <v>6</v>
      </c>
      <c r="G357" s="19">
        <v>90</v>
      </c>
      <c r="H357" s="15">
        <f t="shared" ref="H357:H410" si="35">F357*G357</f>
        <v>540</v>
      </c>
      <c r="I357" s="16"/>
    </row>
    <row r="358" ht="18.75" customHeight="1" spans="1:9">
      <c r="A358" s="16">
        <v>12</v>
      </c>
      <c r="B358" s="16" t="s">
        <v>700</v>
      </c>
      <c r="C358" s="16" t="s">
        <v>773</v>
      </c>
      <c r="D358" s="16" t="s">
        <v>702</v>
      </c>
      <c r="E358" s="16" t="s">
        <v>168</v>
      </c>
      <c r="F358" s="16">
        <v>2</v>
      </c>
      <c r="G358" s="19">
        <v>12000</v>
      </c>
      <c r="H358" s="15">
        <f>G358*F358</f>
        <v>24000</v>
      </c>
      <c r="I358" s="16"/>
    </row>
    <row r="359" ht="18.75" customHeight="1" spans="1:9">
      <c r="A359" s="16"/>
      <c r="B359" s="11" t="s">
        <v>444</v>
      </c>
      <c r="C359" s="11"/>
      <c r="D359" s="11"/>
      <c r="E359" s="11"/>
      <c r="F359" s="11"/>
      <c r="G359" s="19"/>
      <c r="H359" s="14">
        <f>SUM(H347:H358)</f>
        <v>127537.14</v>
      </c>
      <c r="I359" s="11"/>
    </row>
    <row r="360" ht="18.75" customHeight="1" spans="1:9">
      <c r="A360" s="11" t="s">
        <v>652</v>
      </c>
      <c r="B360" s="11" t="s">
        <v>728</v>
      </c>
      <c r="C360" s="11"/>
      <c r="D360" s="11"/>
      <c r="E360" s="11"/>
      <c r="F360" s="11"/>
      <c r="G360" s="19"/>
      <c r="H360" s="14"/>
      <c r="I360" s="11"/>
    </row>
    <row r="361" ht="18.75" customHeight="1" spans="1:9">
      <c r="A361" s="16">
        <v>1</v>
      </c>
      <c r="B361" s="16" t="s">
        <v>721</v>
      </c>
      <c r="C361" s="16" t="s">
        <v>106</v>
      </c>
      <c r="D361" s="16" t="s">
        <v>76</v>
      </c>
      <c r="E361" s="16" t="s">
        <v>154</v>
      </c>
      <c r="F361" s="16">
        <v>678</v>
      </c>
      <c r="G361" s="19">
        <v>170</v>
      </c>
      <c r="H361" s="15">
        <f t="shared" si="35"/>
        <v>115260</v>
      </c>
      <c r="I361" s="16"/>
    </row>
    <row r="362" ht="18.75" customHeight="1" spans="1:9">
      <c r="A362" s="16">
        <v>2</v>
      </c>
      <c r="B362" s="16" t="s">
        <v>721</v>
      </c>
      <c r="C362" s="16" t="s">
        <v>108</v>
      </c>
      <c r="D362" s="16" t="s">
        <v>76</v>
      </c>
      <c r="E362" s="16" t="s">
        <v>154</v>
      </c>
      <c r="F362" s="16">
        <v>441</v>
      </c>
      <c r="G362" s="19">
        <v>60.89</v>
      </c>
      <c r="H362" s="15">
        <f t="shared" si="35"/>
        <v>26852.49</v>
      </c>
      <c r="I362" s="16"/>
    </row>
    <row r="363" ht="18.75" customHeight="1" spans="1:9">
      <c r="A363" s="16">
        <v>3</v>
      </c>
      <c r="B363" s="16" t="s">
        <v>721</v>
      </c>
      <c r="C363" s="16" t="s">
        <v>242</v>
      </c>
      <c r="D363" s="16" t="s">
        <v>76</v>
      </c>
      <c r="E363" s="16" t="s">
        <v>154</v>
      </c>
      <c r="F363" s="16">
        <v>1006</v>
      </c>
      <c r="G363" s="19">
        <v>47.31</v>
      </c>
      <c r="H363" s="15">
        <f t="shared" si="35"/>
        <v>47593.86</v>
      </c>
      <c r="I363" s="16"/>
    </row>
    <row r="364" ht="18.75" customHeight="1" spans="1:9">
      <c r="A364" s="16">
        <v>4</v>
      </c>
      <c r="B364" s="16" t="s">
        <v>767</v>
      </c>
      <c r="C364" s="16" t="s">
        <v>768</v>
      </c>
      <c r="D364" s="16" t="s">
        <v>708</v>
      </c>
      <c r="E364" s="16" t="s">
        <v>93</v>
      </c>
      <c r="F364" s="16">
        <v>2</v>
      </c>
      <c r="G364" s="19">
        <v>440.44</v>
      </c>
      <c r="H364" s="15">
        <f t="shared" si="35"/>
        <v>880.88</v>
      </c>
      <c r="I364" s="16"/>
    </row>
    <row r="365" ht="18.75" customHeight="1" spans="1:9">
      <c r="A365" s="16">
        <v>5</v>
      </c>
      <c r="B365" s="16" t="s">
        <v>767</v>
      </c>
      <c r="C365" s="16" t="s">
        <v>778</v>
      </c>
      <c r="D365" s="16" t="s">
        <v>708</v>
      </c>
      <c r="E365" s="16" t="s">
        <v>93</v>
      </c>
      <c r="F365" s="16">
        <v>1</v>
      </c>
      <c r="G365" s="19">
        <v>440.44</v>
      </c>
      <c r="H365" s="15">
        <f t="shared" si="35"/>
        <v>440.44</v>
      </c>
      <c r="I365" s="16"/>
    </row>
    <row r="366" ht="18.75" customHeight="1" spans="1:9">
      <c r="A366" s="16">
        <v>6</v>
      </c>
      <c r="B366" s="16" t="s">
        <v>722</v>
      </c>
      <c r="C366" s="16" t="s">
        <v>768</v>
      </c>
      <c r="D366" s="16" t="s">
        <v>708</v>
      </c>
      <c r="E366" s="16" t="s">
        <v>93</v>
      </c>
      <c r="F366" s="16">
        <v>4</v>
      </c>
      <c r="G366" s="19">
        <v>420</v>
      </c>
      <c r="H366" s="15">
        <f t="shared" si="35"/>
        <v>1680</v>
      </c>
      <c r="I366" s="16"/>
    </row>
    <row r="367" ht="18.75" customHeight="1" spans="1:9">
      <c r="A367" s="16">
        <v>7</v>
      </c>
      <c r="B367" s="16" t="s">
        <v>722</v>
      </c>
      <c r="C367" s="16" t="s">
        <v>778</v>
      </c>
      <c r="D367" s="16" t="s">
        <v>708</v>
      </c>
      <c r="E367" s="16" t="s">
        <v>93</v>
      </c>
      <c r="F367" s="16">
        <v>3</v>
      </c>
      <c r="G367" s="19">
        <v>420</v>
      </c>
      <c r="H367" s="15">
        <f t="shared" si="35"/>
        <v>1260</v>
      </c>
      <c r="I367" s="16"/>
    </row>
    <row r="368" ht="18.75" customHeight="1" spans="1:9">
      <c r="A368" s="16">
        <v>8</v>
      </c>
      <c r="B368" s="16" t="s">
        <v>601</v>
      </c>
      <c r="C368" s="16" t="s">
        <v>848</v>
      </c>
      <c r="D368" s="16" t="s">
        <v>76</v>
      </c>
      <c r="E368" s="16" t="s">
        <v>93</v>
      </c>
      <c r="F368" s="16">
        <v>25</v>
      </c>
      <c r="G368" s="19">
        <v>160</v>
      </c>
      <c r="H368" s="15">
        <f t="shared" si="35"/>
        <v>4000</v>
      </c>
      <c r="I368" s="16"/>
    </row>
    <row r="369" ht="18.75" customHeight="1" spans="1:9">
      <c r="A369" s="16">
        <v>9</v>
      </c>
      <c r="B369" s="16" t="s">
        <v>601</v>
      </c>
      <c r="C369" s="16" t="s">
        <v>245</v>
      </c>
      <c r="D369" s="16" t="s">
        <v>76</v>
      </c>
      <c r="E369" s="16" t="s">
        <v>93</v>
      </c>
      <c r="F369" s="16">
        <v>53</v>
      </c>
      <c r="G369" s="19">
        <v>98.97</v>
      </c>
      <c r="H369" s="15">
        <f t="shared" si="35"/>
        <v>5245.41</v>
      </c>
      <c r="I369" s="16"/>
    </row>
    <row r="370" ht="18.75" customHeight="1" spans="1:9">
      <c r="A370" s="16">
        <v>10</v>
      </c>
      <c r="B370" s="16" t="s">
        <v>741</v>
      </c>
      <c r="C370" s="16" t="s">
        <v>779</v>
      </c>
      <c r="D370" s="16" t="s">
        <v>780</v>
      </c>
      <c r="E370" s="16" t="s">
        <v>93</v>
      </c>
      <c r="F370" s="16">
        <v>446</v>
      </c>
      <c r="G370" s="19">
        <v>83.94</v>
      </c>
      <c r="H370" s="15">
        <f t="shared" si="35"/>
        <v>37437.24</v>
      </c>
      <c r="I370" s="16" t="s">
        <v>781</v>
      </c>
    </row>
    <row r="371" ht="18.75" customHeight="1" spans="1:9">
      <c r="A371" s="16">
        <v>11</v>
      </c>
      <c r="B371" s="16" t="s">
        <v>609</v>
      </c>
      <c r="C371" s="16" t="s">
        <v>778</v>
      </c>
      <c r="D371" s="16" t="s">
        <v>708</v>
      </c>
      <c r="E371" s="16" t="s">
        <v>93</v>
      </c>
      <c r="F371" s="16">
        <v>4</v>
      </c>
      <c r="G371" s="19">
        <v>165.36</v>
      </c>
      <c r="H371" s="15">
        <f t="shared" si="35"/>
        <v>661.44</v>
      </c>
      <c r="I371" s="16"/>
    </row>
    <row r="372" ht="18.75" customHeight="1" spans="1:9">
      <c r="A372" s="16">
        <v>12</v>
      </c>
      <c r="B372" s="16" t="s">
        <v>609</v>
      </c>
      <c r="C372" s="16" t="s">
        <v>220</v>
      </c>
      <c r="D372" s="16" t="s">
        <v>708</v>
      </c>
      <c r="E372" s="16" t="s">
        <v>93</v>
      </c>
      <c r="F372" s="16">
        <v>2</v>
      </c>
      <c r="G372" s="19">
        <v>99.52</v>
      </c>
      <c r="H372" s="15">
        <f t="shared" si="35"/>
        <v>199.04</v>
      </c>
      <c r="I372" s="16"/>
    </row>
    <row r="373" ht="18.75" customHeight="1" spans="1:9">
      <c r="A373" s="16">
        <v>13</v>
      </c>
      <c r="B373" s="16" t="s">
        <v>609</v>
      </c>
      <c r="C373" s="16" t="s">
        <v>849</v>
      </c>
      <c r="D373" s="16" t="s">
        <v>708</v>
      </c>
      <c r="E373" s="16" t="s">
        <v>93</v>
      </c>
      <c r="F373" s="16">
        <v>4</v>
      </c>
      <c r="G373" s="19">
        <v>35</v>
      </c>
      <c r="H373" s="15">
        <f t="shared" si="35"/>
        <v>140</v>
      </c>
      <c r="I373" s="16"/>
    </row>
    <row r="374" ht="18.75" customHeight="1" spans="1:9">
      <c r="A374" s="16">
        <v>14</v>
      </c>
      <c r="B374" s="16" t="s">
        <v>609</v>
      </c>
      <c r="C374" s="16" t="s">
        <v>245</v>
      </c>
      <c r="D374" s="16" t="s">
        <v>76</v>
      </c>
      <c r="E374" s="16" t="s">
        <v>93</v>
      </c>
      <c r="F374" s="16">
        <v>5</v>
      </c>
      <c r="G374" s="19">
        <v>99.52</v>
      </c>
      <c r="H374" s="15">
        <f t="shared" si="35"/>
        <v>497.6</v>
      </c>
      <c r="I374" s="16"/>
    </row>
    <row r="375" ht="18.75" customHeight="1" spans="1:9">
      <c r="A375" s="16">
        <v>15</v>
      </c>
      <c r="B375" s="16" t="s">
        <v>711</v>
      </c>
      <c r="C375" s="16" t="s">
        <v>101</v>
      </c>
      <c r="D375" s="16" t="s">
        <v>712</v>
      </c>
      <c r="E375" s="16" t="s">
        <v>93</v>
      </c>
      <c r="F375" s="16">
        <v>1</v>
      </c>
      <c r="G375" s="19">
        <v>1392</v>
      </c>
      <c r="H375" s="15">
        <f t="shared" si="35"/>
        <v>1392</v>
      </c>
      <c r="I375" s="16"/>
    </row>
    <row r="376" ht="18.75" customHeight="1" spans="1:9">
      <c r="A376" s="16">
        <v>16</v>
      </c>
      <c r="B376" s="16" t="s">
        <v>711</v>
      </c>
      <c r="C376" s="16" t="s">
        <v>235</v>
      </c>
      <c r="D376" s="16" t="s">
        <v>712</v>
      </c>
      <c r="E376" s="16" t="s">
        <v>93</v>
      </c>
      <c r="F376" s="16">
        <v>87</v>
      </c>
      <c r="G376" s="19">
        <v>720</v>
      </c>
      <c r="H376" s="15">
        <f t="shared" si="35"/>
        <v>62640</v>
      </c>
      <c r="I376" s="16"/>
    </row>
    <row r="377" ht="18.75" customHeight="1" spans="1:9">
      <c r="A377" s="16">
        <v>17</v>
      </c>
      <c r="B377" s="16" t="s">
        <v>711</v>
      </c>
      <c r="C377" s="16" t="s">
        <v>745</v>
      </c>
      <c r="D377" s="16" t="s">
        <v>712</v>
      </c>
      <c r="E377" s="16" t="s">
        <v>93</v>
      </c>
      <c r="F377" s="16">
        <v>446</v>
      </c>
      <c r="G377" s="19">
        <v>120</v>
      </c>
      <c r="H377" s="15">
        <f t="shared" si="35"/>
        <v>53520</v>
      </c>
      <c r="I377" s="16"/>
    </row>
    <row r="378" ht="18.75" customHeight="1" spans="1:9">
      <c r="A378" s="16">
        <v>18</v>
      </c>
      <c r="B378" s="16" t="s">
        <v>711</v>
      </c>
      <c r="C378" s="16" t="s">
        <v>850</v>
      </c>
      <c r="D378" s="16" t="s">
        <v>712</v>
      </c>
      <c r="E378" s="16" t="s">
        <v>93</v>
      </c>
      <c r="F378" s="16">
        <v>2</v>
      </c>
      <c r="G378" s="19">
        <v>230</v>
      </c>
      <c r="H378" s="15">
        <f t="shared" ref="H378" si="36">F378*G378</f>
        <v>460</v>
      </c>
      <c r="I378" s="16"/>
    </row>
    <row r="379" ht="18.75" customHeight="1" spans="1:9">
      <c r="A379" s="16">
        <v>19</v>
      </c>
      <c r="B379" s="16" t="s">
        <v>714</v>
      </c>
      <c r="C379" s="16" t="s">
        <v>103</v>
      </c>
      <c r="D379" s="16" t="s">
        <v>712</v>
      </c>
      <c r="E379" s="16" t="s">
        <v>93</v>
      </c>
      <c r="F379" s="16">
        <v>1</v>
      </c>
      <c r="G379" s="19">
        <v>8500</v>
      </c>
      <c r="H379" s="15">
        <f t="shared" si="35"/>
        <v>8500</v>
      </c>
      <c r="I379" s="16" t="s">
        <v>715</v>
      </c>
    </row>
    <row r="380" ht="18.75" customHeight="1" spans="1:9">
      <c r="A380" s="16">
        <v>20</v>
      </c>
      <c r="B380" s="16" t="s">
        <v>746</v>
      </c>
      <c r="C380" s="16" t="s">
        <v>850</v>
      </c>
      <c r="D380" s="16" t="s">
        <v>712</v>
      </c>
      <c r="E380" s="16" t="s">
        <v>93</v>
      </c>
      <c r="F380" s="16">
        <v>2</v>
      </c>
      <c r="G380" s="19">
        <v>360</v>
      </c>
      <c r="H380" s="15">
        <f t="shared" si="35"/>
        <v>720</v>
      </c>
      <c r="I380" s="16" t="s">
        <v>715</v>
      </c>
    </row>
    <row r="381" ht="18.75" customHeight="1" spans="1:9">
      <c r="A381" s="16">
        <v>21</v>
      </c>
      <c r="B381" s="16" t="s">
        <v>746</v>
      </c>
      <c r="C381" s="16" t="s">
        <v>745</v>
      </c>
      <c r="D381" s="16" t="s">
        <v>712</v>
      </c>
      <c r="E381" s="16" t="s">
        <v>93</v>
      </c>
      <c r="F381" s="16">
        <v>446</v>
      </c>
      <c r="G381" s="19">
        <v>346</v>
      </c>
      <c r="H381" s="15">
        <f t="shared" si="35"/>
        <v>154316</v>
      </c>
      <c r="I381" s="16"/>
    </row>
    <row r="382" ht="18.75" customHeight="1" spans="1:9">
      <c r="A382" s="16">
        <v>22</v>
      </c>
      <c r="B382" s="16" t="s">
        <v>719</v>
      </c>
      <c r="C382" s="16" t="s">
        <v>91</v>
      </c>
      <c r="D382" s="16" t="s">
        <v>712</v>
      </c>
      <c r="E382" s="16" t="s">
        <v>93</v>
      </c>
      <c r="F382" s="16">
        <v>10</v>
      </c>
      <c r="G382" s="19">
        <v>1446.92</v>
      </c>
      <c r="H382" s="16">
        <f t="shared" si="35"/>
        <v>14469.2</v>
      </c>
      <c r="I382" s="16"/>
    </row>
    <row r="383" ht="18.75" customHeight="1" spans="1:9">
      <c r="A383" s="16">
        <v>23</v>
      </c>
      <c r="B383" s="16" t="s">
        <v>719</v>
      </c>
      <c r="C383" s="16" t="s">
        <v>101</v>
      </c>
      <c r="D383" s="16" t="s">
        <v>712</v>
      </c>
      <c r="E383" s="16" t="s">
        <v>93</v>
      </c>
      <c r="F383" s="16">
        <v>9</v>
      </c>
      <c r="G383" s="19">
        <v>822.94</v>
      </c>
      <c r="H383" s="15">
        <f t="shared" si="35"/>
        <v>7406.46</v>
      </c>
      <c r="I383" s="16"/>
    </row>
    <row r="384" ht="18.75" customHeight="1" spans="1:9">
      <c r="A384" s="16">
        <v>24</v>
      </c>
      <c r="B384" s="16" t="s">
        <v>719</v>
      </c>
      <c r="C384" s="16" t="s">
        <v>235</v>
      </c>
      <c r="D384" s="16" t="s">
        <v>712</v>
      </c>
      <c r="E384" s="16" t="s">
        <v>93</v>
      </c>
      <c r="F384" s="16">
        <v>2</v>
      </c>
      <c r="G384" s="19">
        <v>462.73</v>
      </c>
      <c r="H384" s="15">
        <f t="shared" si="35"/>
        <v>925.46</v>
      </c>
      <c r="I384" s="16"/>
    </row>
    <row r="385" ht="18.75" customHeight="1" spans="1:9">
      <c r="A385" s="16">
        <v>25</v>
      </c>
      <c r="B385" s="16" t="s">
        <v>595</v>
      </c>
      <c r="C385" s="16" t="s">
        <v>745</v>
      </c>
      <c r="D385" s="16" t="s">
        <v>749</v>
      </c>
      <c r="E385" s="16" t="s">
        <v>93</v>
      </c>
      <c r="F385" s="16">
        <v>446</v>
      </c>
      <c r="G385" s="19">
        <v>65</v>
      </c>
      <c r="H385" s="15">
        <f t="shared" si="35"/>
        <v>28990</v>
      </c>
      <c r="I385" s="16"/>
    </row>
    <row r="386" ht="18.75" customHeight="1" spans="1:9">
      <c r="A386" s="16">
        <v>26</v>
      </c>
      <c r="B386" s="16" t="s">
        <v>717</v>
      </c>
      <c r="C386" s="16" t="s">
        <v>91</v>
      </c>
      <c r="D386" s="16" t="s">
        <v>712</v>
      </c>
      <c r="E386" s="16" t="s">
        <v>93</v>
      </c>
      <c r="F386" s="16">
        <v>10</v>
      </c>
      <c r="G386" s="19">
        <v>717.13</v>
      </c>
      <c r="H386" s="15">
        <f t="shared" si="35"/>
        <v>7171.3</v>
      </c>
      <c r="I386" s="16"/>
    </row>
    <row r="387" ht="18.75" customHeight="1" spans="1:9">
      <c r="A387" s="16">
        <v>27</v>
      </c>
      <c r="B387" s="16" t="s">
        <v>717</v>
      </c>
      <c r="C387" s="16" t="s">
        <v>101</v>
      </c>
      <c r="D387" s="16" t="s">
        <v>712</v>
      </c>
      <c r="E387" s="16" t="s">
        <v>93</v>
      </c>
      <c r="F387" s="16">
        <v>9</v>
      </c>
      <c r="G387" s="19">
        <v>584.89</v>
      </c>
      <c r="H387" s="15">
        <f t="shared" si="35"/>
        <v>5264.01</v>
      </c>
      <c r="I387" s="16"/>
    </row>
    <row r="388" ht="18.75" customHeight="1" spans="1:9">
      <c r="A388" s="16">
        <v>28</v>
      </c>
      <c r="B388" s="16" t="s">
        <v>716</v>
      </c>
      <c r="C388" s="16" t="s">
        <v>101</v>
      </c>
      <c r="D388" s="16" t="s">
        <v>712</v>
      </c>
      <c r="E388" s="16" t="s">
        <v>93</v>
      </c>
      <c r="F388" s="16">
        <v>1</v>
      </c>
      <c r="G388" s="19">
        <v>2016</v>
      </c>
      <c r="H388" s="15">
        <f t="shared" si="35"/>
        <v>2016</v>
      </c>
      <c r="I388" s="16"/>
    </row>
    <row r="389" ht="18.75" customHeight="1" spans="1:9">
      <c r="A389" s="16">
        <v>29</v>
      </c>
      <c r="B389" s="16" t="s">
        <v>716</v>
      </c>
      <c r="C389" s="16" t="s">
        <v>235</v>
      </c>
      <c r="D389" s="16" t="s">
        <v>712</v>
      </c>
      <c r="E389" s="16" t="s">
        <v>93</v>
      </c>
      <c r="F389" s="16">
        <v>2</v>
      </c>
      <c r="G389" s="19">
        <v>1120</v>
      </c>
      <c r="H389" s="15">
        <f t="shared" si="35"/>
        <v>2240</v>
      </c>
      <c r="I389" s="16"/>
    </row>
    <row r="390" ht="18.75" customHeight="1" spans="1:9">
      <c r="A390" s="16">
        <v>30</v>
      </c>
      <c r="B390" s="16" t="s">
        <v>622</v>
      </c>
      <c r="C390" s="16" t="s">
        <v>101</v>
      </c>
      <c r="D390" s="16" t="s">
        <v>713</v>
      </c>
      <c r="E390" s="16" t="s">
        <v>93</v>
      </c>
      <c r="F390" s="16">
        <v>1</v>
      </c>
      <c r="G390" s="19">
        <v>993</v>
      </c>
      <c r="H390" s="15">
        <f t="shared" si="35"/>
        <v>993</v>
      </c>
      <c r="I390" s="16"/>
    </row>
    <row r="391" ht="18.75" customHeight="1" spans="1:9">
      <c r="A391" s="16">
        <v>31</v>
      </c>
      <c r="B391" s="16" t="s">
        <v>622</v>
      </c>
      <c r="C391" s="16" t="s">
        <v>235</v>
      </c>
      <c r="D391" s="16" t="s">
        <v>713</v>
      </c>
      <c r="E391" s="16" t="s">
        <v>93</v>
      </c>
      <c r="F391" s="16">
        <v>2</v>
      </c>
      <c r="G391" s="19">
        <v>460</v>
      </c>
      <c r="H391" s="15">
        <f t="shared" si="35"/>
        <v>920</v>
      </c>
      <c r="I391" s="16"/>
    </row>
    <row r="392" ht="18.75" customHeight="1" spans="1:9">
      <c r="A392" s="16">
        <v>32</v>
      </c>
      <c r="B392" s="16" t="s">
        <v>600</v>
      </c>
      <c r="C392" s="16" t="s">
        <v>106</v>
      </c>
      <c r="D392" s="16" t="s">
        <v>76</v>
      </c>
      <c r="E392" s="16" t="s">
        <v>93</v>
      </c>
      <c r="F392" s="16">
        <v>3</v>
      </c>
      <c r="G392" s="19">
        <v>219.29</v>
      </c>
      <c r="H392" s="15">
        <f t="shared" si="35"/>
        <v>657.87</v>
      </c>
      <c r="I392" s="16"/>
    </row>
    <row r="393" ht="18.75" customHeight="1" spans="1:9">
      <c r="A393" s="16">
        <v>33</v>
      </c>
      <c r="B393" s="16" t="s">
        <v>600</v>
      </c>
      <c r="C393" s="16" t="s">
        <v>108</v>
      </c>
      <c r="D393" s="16" t="s">
        <v>76</v>
      </c>
      <c r="E393" s="16" t="s">
        <v>93</v>
      </c>
      <c r="F393" s="16">
        <v>1</v>
      </c>
      <c r="G393" s="19">
        <v>91.72</v>
      </c>
      <c r="H393" s="15">
        <f t="shared" si="35"/>
        <v>91.72</v>
      </c>
      <c r="I393" s="16"/>
    </row>
    <row r="394" ht="18.75" customHeight="1" spans="1:9">
      <c r="A394" s="16">
        <v>34</v>
      </c>
      <c r="B394" s="16" t="s">
        <v>655</v>
      </c>
      <c r="C394" s="16" t="s">
        <v>108</v>
      </c>
      <c r="D394" s="16" t="s">
        <v>76</v>
      </c>
      <c r="E394" s="16" t="s">
        <v>93</v>
      </c>
      <c r="F394" s="16">
        <v>5</v>
      </c>
      <c r="G394" s="19">
        <v>82.94</v>
      </c>
      <c r="H394" s="15">
        <f t="shared" si="35"/>
        <v>414.7</v>
      </c>
      <c r="I394" s="16"/>
    </row>
    <row r="395" ht="18.75" customHeight="1" spans="1:9">
      <c r="A395" s="16">
        <v>35</v>
      </c>
      <c r="B395" s="16" t="s">
        <v>851</v>
      </c>
      <c r="C395" s="16" t="s">
        <v>106</v>
      </c>
      <c r="D395" s="16" t="s">
        <v>76</v>
      </c>
      <c r="E395" s="16" t="s">
        <v>93</v>
      </c>
      <c r="F395" s="16">
        <v>2</v>
      </c>
      <c r="G395" s="19">
        <v>65</v>
      </c>
      <c r="H395" s="15">
        <f t="shared" si="35"/>
        <v>130</v>
      </c>
      <c r="I395" s="16" t="s">
        <v>755</v>
      </c>
    </row>
    <row r="396" ht="18.75" customHeight="1" spans="1:9">
      <c r="A396" s="16">
        <v>36</v>
      </c>
      <c r="B396" s="16" t="s">
        <v>851</v>
      </c>
      <c r="C396" s="16" t="s">
        <v>108</v>
      </c>
      <c r="D396" s="16" t="s">
        <v>76</v>
      </c>
      <c r="E396" s="16" t="s">
        <v>93</v>
      </c>
      <c r="F396" s="16">
        <v>1</v>
      </c>
      <c r="G396" s="19">
        <v>45</v>
      </c>
      <c r="H396" s="15">
        <f t="shared" si="35"/>
        <v>45</v>
      </c>
      <c r="I396" s="16" t="s">
        <v>755</v>
      </c>
    </row>
    <row r="397" ht="18.75" customHeight="1" spans="1:9">
      <c r="A397" s="16">
        <v>37</v>
      </c>
      <c r="B397" s="16" t="s">
        <v>706</v>
      </c>
      <c r="C397" s="16" t="s">
        <v>106</v>
      </c>
      <c r="D397" s="16" t="s">
        <v>76</v>
      </c>
      <c r="E397" s="16" t="s">
        <v>93</v>
      </c>
      <c r="F397" s="16">
        <v>24</v>
      </c>
      <c r="G397" s="19">
        <v>170</v>
      </c>
      <c r="H397" s="15">
        <f t="shared" si="35"/>
        <v>4080</v>
      </c>
      <c r="I397" s="16" t="s">
        <v>852</v>
      </c>
    </row>
    <row r="398" ht="18.75" customHeight="1" spans="1:9">
      <c r="A398" s="16">
        <v>38</v>
      </c>
      <c r="B398" s="16" t="s">
        <v>706</v>
      </c>
      <c r="C398" s="16" t="s">
        <v>108</v>
      </c>
      <c r="D398" s="16" t="s">
        <v>76</v>
      </c>
      <c r="E398" s="16" t="s">
        <v>93</v>
      </c>
      <c r="F398" s="16">
        <v>10</v>
      </c>
      <c r="G398" s="19">
        <v>90</v>
      </c>
      <c r="H398" s="15">
        <f t="shared" si="35"/>
        <v>900</v>
      </c>
      <c r="I398" s="16" t="s">
        <v>852</v>
      </c>
    </row>
    <row r="399" ht="18.75" customHeight="1" spans="1:9">
      <c r="A399" s="16">
        <v>39</v>
      </c>
      <c r="B399" s="16" t="s">
        <v>783</v>
      </c>
      <c r="C399" s="16" t="s">
        <v>853</v>
      </c>
      <c r="D399" s="16" t="s">
        <v>702</v>
      </c>
      <c r="E399" s="16" t="s">
        <v>168</v>
      </c>
      <c r="F399" s="16">
        <v>20</v>
      </c>
      <c r="G399" s="19">
        <v>7500</v>
      </c>
      <c r="H399" s="15">
        <f t="shared" si="35"/>
        <v>150000</v>
      </c>
      <c r="I399" s="16"/>
    </row>
    <row r="400" ht="18.75" customHeight="1" spans="1:9">
      <c r="A400" s="16">
        <v>40</v>
      </c>
      <c r="B400" s="16" t="s">
        <v>783</v>
      </c>
      <c r="C400" s="16" t="s">
        <v>854</v>
      </c>
      <c r="D400" s="16" t="s">
        <v>702</v>
      </c>
      <c r="E400" s="16" t="s">
        <v>168</v>
      </c>
      <c r="F400" s="16">
        <v>7</v>
      </c>
      <c r="G400" s="19">
        <v>8000</v>
      </c>
      <c r="H400" s="15">
        <f t="shared" ref="H400" si="37">F400*G400</f>
        <v>56000</v>
      </c>
      <c r="I400" s="16"/>
    </row>
    <row r="401" ht="18.75" customHeight="1" spans="1:9">
      <c r="A401" s="16">
        <v>41</v>
      </c>
      <c r="B401" s="16" t="s">
        <v>783</v>
      </c>
      <c r="C401" s="16" t="s">
        <v>855</v>
      </c>
      <c r="D401" s="16" t="s">
        <v>702</v>
      </c>
      <c r="E401" s="16" t="s">
        <v>168</v>
      </c>
      <c r="F401" s="16">
        <v>1</v>
      </c>
      <c r="G401" s="19">
        <v>9500</v>
      </c>
      <c r="H401" s="15">
        <f t="shared" si="35"/>
        <v>9500</v>
      </c>
      <c r="I401" s="11"/>
    </row>
    <row r="402" ht="18.75" customHeight="1" spans="1:9">
      <c r="A402" s="16">
        <v>42</v>
      </c>
      <c r="B402" s="16" t="s">
        <v>783</v>
      </c>
      <c r="C402" s="16" t="s">
        <v>856</v>
      </c>
      <c r="D402" s="16" t="s">
        <v>702</v>
      </c>
      <c r="E402" s="16" t="s">
        <v>168</v>
      </c>
      <c r="F402" s="16">
        <v>1</v>
      </c>
      <c r="G402" s="19">
        <v>6500</v>
      </c>
      <c r="H402" s="15">
        <f t="shared" si="35"/>
        <v>6500</v>
      </c>
      <c r="I402" s="16"/>
    </row>
    <row r="403" ht="18.75" customHeight="1" spans="1:9">
      <c r="A403" s="16">
        <v>43</v>
      </c>
      <c r="B403" s="18" t="s">
        <v>771</v>
      </c>
      <c r="C403" s="16" t="s">
        <v>811</v>
      </c>
      <c r="D403" s="16" t="s">
        <v>705</v>
      </c>
      <c r="E403" s="16" t="s">
        <v>168</v>
      </c>
      <c r="F403" s="16">
        <v>5</v>
      </c>
      <c r="G403" s="19">
        <v>5737.28</v>
      </c>
      <c r="H403" s="15">
        <f t="shared" si="35"/>
        <v>28686.4</v>
      </c>
      <c r="I403" s="16"/>
    </row>
    <row r="404" ht="18.75" customHeight="1" spans="1:9">
      <c r="A404" s="16">
        <v>44</v>
      </c>
      <c r="B404" s="18" t="s">
        <v>771</v>
      </c>
      <c r="C404" s="16" t="s">
        <v>772</v>
      </c>
      <c r="D404" s="16" t="s">
        <v>705</v>
      </c>
      <c r="E404" s="16" t="s">
        <v>168</v>
      </c>
      <c r="F404" s="16">
        <v>1</v>
      </c>
      <c r="G404" s="19">
        <v>6236.59</v>
      </c>
      <c r="H404" s="15">
        <f t="shared" si="35"/>
        <v>6236.59</v>
      </c>
      <c r="I404" s="16"/>
    </row>
    <row r="405" ht="18.75" customHeight="1" spans="1:9">
      <c r="A405" s="16">
        <v>45</v>
      </c>
      <c r="B405" s="18" t="s">
        <v>703</v>
      </c>
      <c r="C405" s="16" t="s">
        <v>704</v>
      </c>
      <c r="D405" s="16" t="s">
        <v>705</v>
      </c>
      <c r="E405" s="16" t="s">
        <v>168</v>
      </c>
      <c r="F405" s="16">
        <v>1</v>
      </c>
      <c r="G405" s="19">
        <v>4288.49</v>
      </c>
      <c r="H405" s="15">
        <f t="shared" si="35"/>
        <v>4288.49</v>
      </c>
      <c r="I405" s="16"/>
    </row>
    <row r="406" ht="18.75" customHeight="1" spans="1:9">
      <c r="A406" s="16">
        <v>46</v>
      </c>
      <c r="B406" s="18" t="s">
        <v>703</v>
      </c>
      <c r="C406" s="16" t="s">
        <v>807</v>
      </c>
      <c r="D406" s="16" t="s">
        <v>705</v>
      </c>
      <c r="E406" s="16" t="s">
        <v>168</v>
      </c>
      <c r="F406" s="16">
        <v>3</v>
      </c>
      <c r="G406" s="19">
        <v>9297.22</v>
      </c>
      <c r="H406" s="15">
        <f t="shared" si="35"/>
        <v>27891.66</v>
      </c>
      <c r="I406" s="16"/>
    </row>
    <row r="407" ht="18.75" customHeight="1" spans="1:9">
      <c r="A407" s="16">
        <v>47</v>
      </c>
      <c r="B407" s="18" t="s">
        <v>857</v>
      </c>
      <c r="C407" s="18" t="s">
        <v>858</v>
      </c>
      <c r="D407" s="18" t="s">
        <v>859</v>
      </c>
      <c r="E407" s="18" t="s">
        <v>93</v>
      </c>
      <c r="F407" s="16">
        <v>6</v>
      </c>
      <c r="G407" s="19">
        <v>800</v>
      </c>
      <c r="H407" s="15">
        <f t="shared" si="35"/>
        <v>4800</v>
      </c>
      <c r="I407" s="18" t="s">
        <v>860</v>
      </c>
    </row>
    <row r="408" ht="18.75" customHeight="1" spans="1:9">
      <c r="A408" s="16">
        <v>48</v>
      </c>
      <c r="B408" s="18" t="s">
        <v>857</v>
      </c>
      <c r="C408" s="18" t="s">
        <v>861</v>
      </c>
      <c r="D408" s="18" t="s">
        <v>859</v>
      </c>
      <c r="E408" s="18" t="s">
        <v>93</v>
      </c>
      <c r="F408" s="16">
        <v>14</v>
      </c>
      <c r="G408" s="19">
        <v>900</v>
      </c>
      <c r="H408" s="15">
        <f t="shared" ref="H408" si="38">F408*G408</f>
        <v>12600</v>
      </c>
      <c r="I408" s="18" t="s">
        <v>860</v>
      </c>
    </row>
    <row r="409" ht="18.75" customHeight="1" spans="1:9">
      <c r="A409" s="16">
        <v>49</v>
      </c>
      <c r="B409" s="16" t="s">
        <v>751</v>
      </c>
      <c r="C409" s="16"/>
      <c r="D409" s="16"/>
      <c r="E409" s="16" t="s">
        <v>93</v>
      </c>
      <c r="F409" s="16">
        <v>449</v>
      </c>
      <c r="G409" s="19">
        <v>40</v>
      </c>
      <c r="H409" s="15">
        <f t="shared" si="35"/>
        <v>17960</v>
      </c>
      <c r="I409" s="16"/>
    </row>
    <row r="410" ht="18.75" customHeight="1" spans="1:9">
      <c r="A410" s="16">
        <v>50</v>
      </c>
      <c r="B410" s="16" t="s">
        <v>785</v>
      </c>
      <c r="C410" s="16"/>
      <c r="D410" s="16"/>
      <c r="E410" s="16" t="s">
        <v>93</v>
      </c>
      <c r="F410" s="16">
        <v>60</v>
      </c>
      <c r="G410" s="19">
        <v>120</v>
      </c>
      <c r="H410" s="15">
        <f t="shared" si="35"/>
        <v>7200</v>
      </c>
      <c r="I410" s="16"/>
    </row>
    <row r="411" ht="18.75" customHeight="1" spans="1:9">
      <c r="A411" s="16"/>
      <c r="B411" s="11" t="s">
        <v>444</v>
      </c>
      <c r="C411" s="16"/>
      <c r="D411" s="16"/>
      <c r="E411" s="16"/>
      <c r="F411" s="16"/>
      <c r="G411" s="19"/>
      <c r="H411" s="15">
        <f>SUM(H361:H410)</f>
        <v>932074.26</v>
      </c>
      <c r="I411" s="16"/>
    </row>
    <row r="412" ht="18.75" customHeight="1" spans="1:9">
      <c r="A412" s="11" t="s">
        <v>674</v>
      </c>
      <c r="B412" s="11" t="s">
        <v>752</v>
      </c>
      <c r="C412" s="11"/>
      <c r="D412" s="11"/>
      <c r="E412" s="11"/>
      <c r="F412" s="11"/>
      <c r="G412" s="19"/>
      <c r="H412" s="14"/>
      <c r="I412" s="11"/>
    </row>
    <row r="413" ht="18.75" customHeight="1" spans="1:9">
      <c r="A413" s="16">
        <v>1</v>
      </c>
      <c r="B413" s="16" t="s">
        <v>753</v>
      </c>
      <c r="C413" s="16" t="s">
        <v>754</v>
      </c>
      <c r="D413" s="16" t="s">
        <v>799</v>
      </c>
      <c r="E413" s="16" t="s">
        <v>154</v>
      </c>
      <c r="F413" s="16">
        <v>201</v>
      </c>
      <c r="G413" s="19">
        <v>170</v>
      </c>
      <c r="H413" s="15">
        <f t="shared" ref="H413:H429" si="39">F413*G413</f>
        <v>34170</v>
      </c>
      <c r="I413" s="16"/>
    </row>
    <row r="414" ht="18.75" customHeight="1" spans="1:9">
      <c r="A414" s="16">
        <v>2</v>
      </c>
      <c r="B414" s="16" t="s">
        <v>753</v>
      </c>
      <c r="C414" s="16" t="s">
        <v>756</v>
      </c>
      <c r="D414" s="16" t="s">
        <v>799</v>
      </c>
      <c r="E414" s="16" t="s">
        <v>154</v>
      </c>
      <c r="F414" s="16">
        <v>517</v>
      </c>
      <c r="G414" s="19">
        <v>60.89</v>
      </c>
      <c r="H414" s="15">
        <f t="shared" si="39"/>
        <v>31480.13</v>
      </c>
      <c r="I414" s="16"/>
    </row>
    <row r="415" ht="18.75" customHeight="1" spans="1:9">
      <c r="A415" s="16">
        <v>3</v>
      </c>
      <c r="B415" s="16" t="s">
        <v>601</v>
      </c>
      <c r="C415" s="16" t="s">
        <v>113</v>
      </c>
      <c r="D415" s="16" t="s">
        <v>76</v>
      </c>
      <c r="E415" s="16" t="s">
        <v>93</v>
      </c>
      <c r="F415" s="16">
        <v>2</v>
      </c>
      <c r="G415" s="19">
        <v>420</v>
      </c>
      <c r="H415" s="15">
        <f t="shared" si="39"/>
        <v>840</v>
      </c>
      <c r="I415" s="16" t="s">
        <v>755</v>
      </c>
    </row>
    <row r="416" ht="18.75" customHeight="1" spans="1:9">
      <c r="A416" s="16">
        <v>4</v>
      </c>
      <c r="B416" s="16" t="s">
        <v>601</v>
      </c>
      <c r="C416" s="16" t="s">
        <v>115</v>
      </c>
      <c r="D416" s="16" t="s">
        <v>76</v>
      </c>
      <c r="E416" s="16" t="s">
        <v>93</v>
      </c>
      <c r="F416" s="16">
        <v>1</v>
      </c>
      <c r="G416" s="19">
        <v>420</v>
      </c>
      <c r="H416" s="15">
        <f t="shared" si="39"/>
        <v>420</v>
      </c>
      <c r="I416" s="16" t="s">
        <v>755</v>
      </c>
    </row>
    <row r="417" ht="18.75" customHeight="1" spans="1:9">
      <c r="A417" s="16">
        <v>5</v>
      </c>
      <c r="B417" s="16" t="s">
        <v>601</v>
      </c>
      <c r="C417" s="16" t="s">
        <v>119</v>
      </c>
      <c r="D417" s="16" t="s">
        <v>76</v>
      </c>
      <c r="E417" s="16" t="s">
        <v>93</v>
      </c>
      <c r="F417" s="16">
        <v>8</v>
      </c>
      <c r="G417" s="19">
        <v>98.97</v>
      </c>
      <c r="H417" s="15">
        <f t="shared" si="39"/>
        <v>791.76</v>
      </c>
      <c r="I417" s="16" t="s">
        <v>755</v>
      </c>
    </row>
    <row r="418" ht="18.75" customHeight="1" spans="1:9">
      <c r="A418" s="16">
        <v>11</v>
      </c>
      <c r="B418" s="16" t="s">
        <v>722</v>
      </c>
      <c r="C418" s="16" t="s">
        <v>734</v>
      </c>
      <c r="D418" s="16" t="s">
        <v>708</v>
      </c>
      <c r="E418" s="16" t="s">
        <v>93</v>
      </c>
      <c r="F418" s="16">
        <v>1</v>
      </c>
      <c r="G418" s="17">
        <v>420</v>
      </c>
      <c r="H418" s="15">
        <f t="shared" si="39"/>
        <v>420</v>
      </c>
      <c r="I418" s="16"/>
    </row>
    <row r="419" ht="18.75" customHeight="1" spans="1:9">
      <c r="A419" s="16">
        <v>7</v>
      </c>
      <c r="B419" s="16" t="s">
        <v>609</v>
      </c>
      <c r="C419" s="16" t="s">
        <v>115</v>
      </c>
      <c r="D419" s="16" t="s">
        <v>76</v>
      </c>
      <c r="E419" s="16" t="s">
        <v>93</v>
      </c>
      <c r="F419" s="16">
        <v>1</v>
      </c>
      <c r="G419" s="19">
        <v>165.36</v>
      </c>
      <c r="H419" s="15">
        <f t="shared" si="39"/>
        <v>165.36</v>
      </c>
      <c r="I419" s="16" t="s">
        <v>755</v>
      </c>
    </row>
    <row r="420" ht="18.75" customHeight="1" spans="1:9">
      <c r="A420" s="16">
        <v>8</v>
      </c>
      <c r="B420" s="16" t="s">
        <v>600</v>
      </c>
      <c r="C420" s="16" t="s">
        <v>106</v>
      </c>
      <c r="D420" s="16" t="s">
        <v>76</v>
      </c>
      <c r="E420" s="16" t="s">
        <v>93</v>
      </c>
      <c r="F420" s="16">
        <v>1</v>
      </c>
      <c r="G420" s="19">
        <v>165</v>
      </c>
      <c r="H420" s="15">
        <f t="shared" si="39"/>
        <v>165</v>
      </c>
      <c r="I420" s="16" t="s">
        <v>755</v>
      </c>
    </row>
    <row r="421" ht="18.75" customHeight="1" spans="1:9">
      <c r="A421" s="16">
        <v>9</v>
      </c>
      <c r="B421" s="16" t="s">
        <v>600</v>
      </c>
      <c r="C421" s="16" t="s">
        <v>108</v>
      </c>
      <c r="D421" s="16" t="s">
        <v>76</v>
      </c>
      <c r="E421" s="16" t="s">
        <v>93</v>
      </c>
      <c r="F421" s="16">
        <v>3</v>
      </c>
      <c r="G421" s="19">
        <v>91.72</v>
      </c>
      <c r="H421" s="15">
        <f t="shared" si="39"/>
        <v>275.16</v>
      </c>
      <c r="I421" s="16" t="s">
        <v>755</v>
      </c>
    </row>
    <row r="422" ht="18.75" customHeight="1" spans="1:9">
      <c r="A422" s="16">
        <v>10</v>
      </c>
      <c r="B422" s="16" t="s">
        <v>851</v>
      </c>
      <c r="C422" s="16" t="s">
        <v>108</v>
      </c>
      <c r="D422" s="16" t="s">
        <v>76</v>
      </c>
      <c r="E422" s="16" t="s">
        <v>93</v>
      </c>
      <c r="F422" s="16">
        <v>2</v>
      </c>
      <c r="G422" s="19">
        <v>45</v>
      </c>
      <c r="H422" s="15">
        <f t="shared" ref="H422" si="40">F422*G422</f>
        <v>90</v>
      </c>
      <c r="I422" s="16" t="s">
        <v>755</v>
      </c>
    </row>
    <row r="423" ht="18.75" customHeight="1" spans="1:9">
      <c r="A423" s="16">
        <v>13</v>
      </c>
      <c r="B423" s="16" t="s">
        <v>706</v>
      </c>
      <c r="C423" s="16" t="s">
        <v>106</v>
      </c>
      <c r="D423" s="16" t="s">
        <v>76</v>
      </c>
      <c r="E423" s="16" t="s">
        <v>93</v>
      </c>
      <c r="F423" s="16">
        <v>5</v>
      </c>
      <c r="G423" s="17">
        <v>170</v>
      </c>
      <c r="H423" s="15">
        <f>G423*F423</f>
        <v>850</v>
      </c>
      <c r="I423" s="16"/>
    </row>
    <row r="424" ht="18.75" customHeight="1" spans="1:9">
      <c r="A424" s="16">
        <v>13</v>
      </c>
      <c r="B424" s="16" t="s">
        <v>706</v>
      </c>
      <c r="C424" s="16" t="s">
        <v>106</v>
      </c>
      <c r="D424" s="16" t="s">
        <v>76</v>
      </c>
      <c r="E424" s="16" t="s">
        <v>93</v>
      </c>
      <c r="F424" s="16">
        <v>2</v>
      </c>
      <c r="G424" s="17">
        <v>170</v>
      </c>
      <c r="H424" s="15">
        <f>G424*F424</f>
        <v>340</v>
      </c>
      <c r="I424" s="16"/>
    </row>
    <row r="425" ht="18.75" customHeight="1" spans="1:9">
      <c r="A425" s="16">
        <v>11</v>
      </c>
      <c r="B425" s="16" t="s">
        <v>719</v>
      </c>
      <c r="C425" s="16" t="s">
        <v>91</v>
      </c>
      <c r="D425" s="16" t="s">
        <v>712</v>
      </c>
      <c r="E425" s="16" t="s">
        <v>93</v>
      </c>
      <c r="F425" s="16">
        <v>2</v>
      </c>
      <c r="G425" s="19">
        <v>1446.92</v>
      </c>
      <c r="H425" s="15">
        <f t="shared" si="39"/>
        <v>2893.84</v>
      </c>
      <c r="I425" s="16"/>
    </row>
    <row r="426" ht="18.75" customHeight="1" spans="1:9">
      <c r="A426" s="16">
        <v>12</v>
      </c>
      <c r="B426" s="16" t="s">
        <v>719</v>
      </c>
      <c r="C426" s="16" t="s">
        <v>101</v>
      </c>
      <c r="D426" s="16" t="s">
        <v>712</v>
      </c>
      <c r="E426" s="16" t="s">
        <v>93</v>
      </c>
      <c r="F426" s="16">
        <v>4</v>
      </c>
      <c r="G426" s="19">
        <v>822.94</v>
      </c>
      <c r="H426" s="15">
        <f t="shared" si="39"/>
        <v>3291.76</v>
      </c>
      <c r="I426" s="16"/>
    </row>
    <row r="427" ht="18.75" customHeight="1" spans="1:9">
      <c r="A427" s="16">
        <v>13</v>
      </c>
      <c r="B427" s="16" t="s">
        <v>758</v>
      </c>
      <c r="C427" s="16" t="s">
        <v>759</v>
      </c>
      <c r="D427" s="16" t="s">
        <v>712</v>
      </c>
      <c r="E427" s="16" t="s">
        <v>760</v>
      </c>
      <c r="F427" s="16">
        <v>4</v>
      </c>
      <c r="G427" s="19">
        <v>1545.71</v>
      </c>
      <c r="H427" s="15">
        <f t="shared" si="39"/>
        <v>6182.84</v>
      </c>
      <c r="I427" s="16"/>
    </row>
    <row r="428" ht="18.75" customHeight="1" spans="1:9">
      <c r="A428" s="16">
        <v>14</v>
      </c>
      <c r="B428" s="16" t="s">
        <v>757</v>
      </c>
      <c r="C428" s="16" t="s">
        <v>704</v>
      </c>
      <c r="D428" s="16" t="s">
        <v>705</v>
      </c>
      <c r="E428" s="16" t="s">
        <v>168</v>
      </c>
      <c r="F428" s="16">
        <v>4</v>
      </c>
      <c r="G428" s="19">
        <v>4288.49</v>
      </c>
      <c r="H428" s="15">
        <f t="shared" si="39"/>
        <v>17153.96</v>
      </c>
      <c r="I428" s="16"/>
    </row>
    <row r="429" ht="18.75" customHeight="1" spans="1:9">
      <c r="A429" s="16">
        <v>15</v>
      </c>
      <c r="B429" s="18" t="s">
        <v>771</v>
      </c>
      <c r="C429" s="16" t="s">
        <v>811</v>
      </c>
      <c r="D429" s="16" t="s">
        <v>705</v>
      </c>
      <c r="E429" s="16" t="s">
        <v>168</v>
      </c>
      <c r="F429" s="16">
        <v>1</v>
      </c>
      <c r="G429" s="19">
        <v>5737.28</v>
      </c>
      <c r="H429" s="15">
        <f t="shared" si="39"/>
        <v>5737.28</v>
      </c>
      <c r="I429" s="16"/>
    </row>
    <row r="430" ht="18.75" customHeight="1" spans="1:9">
      <c r="A430" s="16"/>
      <c r="B430" s="11" t="s">
        <v>444</v>
      </c>
      <c r="C430" s="16"/>
      <c r="D430" s="16"/>
      <c r="E430" s="16"/>
      <c r="F430" s="16"/>
      <c r="G430" s="19"/>
      <c r="H430" s="15">
        <f>SUM(H413:H429)</f>
        <v>105267.09</v>
      </c>
      <c r="I430" s="16"/>
    </row>
    <row r="431" ht="18.75" customHeight="1" spans="1:9">
      <c r="A431" s="11" t="s">
        <v>684</v>
      </c>
      <c r="B431" s="11" t="s">
        <v>862</v>
      </c>
      <c r="C431" s="11"/>
      <c r="D431" s="11"/>
      <c r="E431" s="11"/>
      <c r="F431" s="11"/>
      <c r="G431" s="19"/>
      <c r="H431" s="20"/>
      <c r="I431" s="11"/>
    </row>
    <row r="432" ht="24" spans="1:9">
      <c r="A432" s="16">
        <v>1</v>
      </c>
      <c r="B432" s="16" t="s">
        <v>788</v>
      </c>
      <c r="C432" s="16"/>
      <c r="D432" s="16"/>
      <c r="E432" s="16" t="s">
        <v>628</v>
      </c>
      <c r="F432" s="16">
        <v>400</v>
      </c>
      <c r="G432" s="28">
        <f>G327</f>
        <v>104.45</v>
      </c>
      <c r="H432" s="15">
        <f>F432*G432</f>
        <v>41780</v>
      </c>
      <c r="I432" s="16" t="s">
        <v>863</v>
      </c>
    </row>
    <row r="433" ht="24" spans="1:9">
      <c r="A433" s="16">
        <v>2</v>
      </c>
      <c r="B433" s="16" t="s">
        <v>803</v>
      </c>
      <c r="C433" s="16"/>
      <c r="D433" s="16"/>
      <c r="E433" s="16" t="s">
        <v>628</v>
      </c>
      <c r="F433" s="16">
        <v>800</v>
      </c>
      <c r="G433" s="36">
        <f>G241</f>
        <v>181.05</v>
      </c>
      <c r="H433" s="15">
        <f>F433*G433</f>
        <v>144840</v>
      </c>
      <c r="I433" s="16" t="s">
        <v>863</v>
      </c>
    </row>
    <row r="434" ht="18.75" customHeight="1" spans="1:9">
      <c r="A434" s="16"/>
      <c r="B434" s="11" t="s">
        <v>444</v>
      </c>
      <c r="C434" s="11"/>
      <c r="D434" s="11"/>
      <c r="E434" s="11"/>
      <c r="F434" s="11"/>
      <c r="G434" s="19"/>
      <c r="H434" s="14">
        <f>SUM(H432:H433)</f>
        <v>186620</v>
      </c>
      <c r="I434" s="11"/>
    </row>
    <row r="435" ht="18.75" customHeight="1" spans="1:9">
      <c r="A435" s="16"/>
      <c r="B435" s="37" t="s">
        <v>205</v>
      </c>
      <c r="C435" s="11"/>
      <c r="D435" s="11"/>
      <c r="E435" s="11"/>
      <c r="F435" s="11"/>
      <c r="G435" s="19"/>
      <c r="H435" s="14">
        <f>SUM(H345,H359,H411,H430,H434)</f>
        <v>1382382.8</v>
      </c>
      <c r="I435" s="16"/>
    </row>
  </sheetData>
  <mergeCells count="9">
    <mergeCell ref="A1:I1"/>
    <mergeCell ref="A2:E2"/>
    <mergeCell ref="A4:I4"/>
    <mergeCell ref="A87:I87"/>
    <mergeCell ref="A149:I149"/>
    <mergeCell ref="B150:I150"/>
    <mergeCell ref="A156:I156"/>
    <mergeCell ref="A249:I249"/>
    <mergeCell ref="A330:I330"/>
  </mergeCells>
  <printOptions horizontalCentered="1"/>
  <pageMargins left="0.748031496062992" right="0.748031496062992" top="0.984251968503937" bottom="0.984251968503937" header="0.511811023622047" footer="0.511811023622047"/>
  <pageSetup paperSize="9" orientation="landscape" blackAndWhite="1"/>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B33" sqref="B33"/>
    </sheetView>
  </sheetViews>
  <sheetFormatPr defaultColWidth="9" defaultRowHeight="14.25" outlineLevelCol="3"/>
  <cols>
    <col min="2" max="2" width="25.25" customWidth="1"/>
  </cols>
  <sheetData>
    <row r="1" ht="18.75" spans="1:4">
      <c r="A1" s="1">
        <v>1</v>
      </c>
      <c r="B1" s="2" t="s">
        <v>864</v>
      </c>
      <c r="C1" s="2">
        <v>44</v>
      </c>
      <c r="D1" s="3"/>
    </row>
    <row r="2" ht="18.75" spans="1:4">
      <c r="A2" s="1">
        <v>2</v>
      </c>
      <c r="B2" s="4" t="s">
        <v>865</v>
      </c>
      <c r="C2" s="4">
        <v>54</v>
      </c>
      <c r="D2" s="3"/>
    </row>
    <row r="3" ht="18.75" spans="1:4">
      <c r="A3" s="1">
        <v>3</v>
      </c>
      <c r="B3" s="4" t="s">
        <v>866</v>
      </c>
      <c r="C3" s="4">
        <v>88</v>
      </c>
      <c r="D3" s="3"/>
    </row>
    <row r="4" ht="18.75" spans="1:3">
      <c r="A4" s="1">
        <v>4</v>
      </c>
      <c r="B4" s="4" t="s">
        <v>867</v>
      </c>
      <c r="C4" s="4">
        <v>151</v>
      </c>
    </row>
    <row r="5" ht="18.75" spans="1:3">
      <c r="A5" s="1">
        <v>5</v>
      </c>
      <c r="B5" s="4" t="s">
        <v>868</v>
      </c>
      <c r="C5" s="4">
        <v>78</v>
      </c>
    </row>
    <row r="6" ht="18.75" spans="1:3">
      <c r="A6" s="1">
        <v>6</v>
      </c>
      <c r="B6" s="4" t="s">
        <v>869</v>
      </c>
      <c r="C6" s="4">
        <v>128</v>
      </c>
    </row>
    <row r="7" ht="18.75" spans="1:3">
      <c r="A7" s="1">
        <v>7</v>
      </c>
      <c r="B7" s="4" t="s">
        <v>870</v>
      </c>
      <c r="C7" s="4">
        <v>54</v>
      </c>
    </row>
    <row r="8" ht="18.75" spans="1:3">
      <c r="A8" s="1">
        <v>8</v>
      </c>
      <c r="B8" s="2" t="s">
        <v>871</v>
      </c>
      <c r="C8" s="2">
        <v>1</v>
      </c>
    </row>
    <row r="9" ht="18.75" spans="1:3">
      <c r="A9" s="1">
        <v>9</v>
      </c>
      <c r="B9" s="4" t="s">
        <v>872</v>
      </c>
      <c r="C9" s="4">
        <v>845</v>
      </c>
    </row>
    <row r="10" ht="18.75" spans="1:3">
      <c r="A10" s="1">
        <v>10</v>
      </c>
      <c r="B10" s="4" t="s">
        <v>873</v>
      </c>
      <c r="C10" s="4"/>
    </row>
    <row r="11" ht="18.75" spans="1:3">
      <c r="A11" s="1">
        <v>11</v>
      </c>
      <c r="B11" s="4" t="s">
        <v>874</v>
      </c>
      <c r="C11" s="4">
        <v>188</v>
      </c>
    </row>
    <row r="12" ht="18.75" spans="1:3">
      <c r="A12" s="1">
        <v>12</v>
      </c>
      <c r="B12" s="4" t="s">
        <v>875</v>
      </c>
      <c r="C12" s="4">
        <v>147</v>
      </c>
    </row>
    <row r="13" ht="18.75" spans="1:4">
      <c r="A13" s="1">
        <v>13</v>
      </c>
      <c r="B13" s="4" t="s">
        <v>876</v>
      </c>
      <c r="C13" s="4">
        <v>360</v>
      </c>
      <c r="D13" t="s">
        <v>877</v>
      </c>
    </row>
    <row r="14" ht="18.75" spans="1:3">
      <c r="A14" s="1">
        <v>14</v>
      </c>
      <c r="B14" s="4" t="s">
        <v>878</v>
      </c>
      <c r="C14" s="4">
        <v>1630</v>
      </c>
    </row>
    <row r="15" ht="18.75" spans="1:4">
      <c r="A15" s="1">
        <v>15</v>
      </c>
      <c r="B15" s="4" t="s">
        <v>879</v>
      </c>
      <c r="C15" s="4">
        <v>146</v>
      </c>
      <c r="D15" s="3" t="s">
        <v>880</v>
      </c>
    </row>
    <row r="16" ht="18.75" spans="1:4">
      <c r="A16" s="1">
        <v>16</v>
      </c>
      <c r="B16" s="4" t="s">
        <v>881</v>
      </c>
      <c r="C16" s="4">
        <v>662</v>
      </c>
      <c r="D16" s="3"/>
    </row>
    <row r="17" ht="18.75" spans="1:4">
      <c r="A17" s="1">
        <v>17</v>
      </c>
      <c r="B17" s="4" t="s">
        <v>882</v>
      </c>
      <c r="C17" s="4">
        <v>2316</v>
      </c>
      <c r="D17" s="3"/>
    </row>
    <row r="18" ht="18.75" spans="1:4">
      <c r="A18" s="1">
        <v>18</v>
      </c>
      <c r="B18" s="4" t="s">
        <v>883</v>
      </c>
      <c r="C18" s="4">
        <v>106</v>
      </c>
      <c r="D18" s="3"/>
    </row>
    <row r="19" ht="18.75" spans="1:4">
      <c r="A19" s="1">
        <v>19</v>
      </c>
      <c r="B19" s="4" t="s">
        <v>884</v>
      </c>
      <c r="C19" s="4">
        <v>878</v>
      </c>
      <c r="D19" s="3"/>
    </row>
    <row r="20" ht="18.75" spans="1:4">
      <c r="A20" s="1">
        <v>20</v>
      </c>
      <c r="B20" s="4" t="s">
        <v>885</v>
      </c>
      <c r="C20" s="4">
        <v>146</v>
      </c>
      <c r="D20" s="3"/>
    </row>
    <row r="21" ht="18.75" spans="1:3">
      <c r="A21" s="1">
        <v>21</v>
      </c>
      <c r="B21" s="5" t="s">
        <v>886</v>
      </c>
      <c r="C21" s="6">
        <v>694</v>
      </c>
    </row>
    <row r="22" ht="18.75" spans="1:3">
      <c r="A22" s="1">
        <v>22</v>
      </c>
      <c r="B22" s="5" t="s">
        <v>887</v>
      </c>
      <c r="C22" s="6">
        <v>336</v>
      </c>
    </row>
    <row r="23" ht="18.75" spans="1:3">
      <c r="A23" s="1">
        <v>23</v>
      </c>
      <c r="B23" s="5" t="s">
        <v>888</v>
      </c>
      <c r="C23" s="6">
        <v>246</v>
      </c>
    </row>
    <row r="24" ht="18.75" spans="1:3">
      <c r="A24" s="1">
        <v>24</v>
      </c>
      <c r="B24" s="5" t="s">
        <v>889</v>
      </c>
      <c r="C24" s="6">
        <v>1691</v>
      </c>
    </row>
    <row r="25" ht="18.75" spans="1:3">
      <c r="A25" s="1">
        <v>25</v>
      </c>
      <c r="B25" s="4" t="s">
        <v>890</v>
      </c>
      <c r="C25" s="4"/>
    </row>
    <row r="27" spans="1:1">
      <c r="A27" t="s">
        <v>891</v>
      </c>
    </row>
    <row r="29" spans="1:1">
      <c r="A29" t="s">
        <v>892</v>
      </c>
    </row>
  </sheetData>
  <mergeCells count="1">
    <mergeCell ref="D15:D20"/>
  </mergeCells>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总概算表</vt:lpstr>
      <vt:lpstr>2024燃气概算</vt:lpstr>
      <vt:lpstr>2024供热概算</vt:lpstr>
      <vt:lpstr>2024给水概算</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WPS_1178778167</cp:lastModifiedBy>
  <dcterms:created xsi:type="dcterms:W3CDTF">2020-03-27T07:56:00Z</dcterms:created>
  <cp:lastPrinted>2024-06-03T09:32:00Z</cp:lastPrinted>
  <dcterms:modified xsi:type="dcterms:W3CDTF">2024-08-02T03:44:53Z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1DE06EA72DF14037B801EECF76C6B0CF_13</vt:lpwstr>
  </property>
</Properties>
</file>