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27" firstSheet="1" activeTab="2"/>
  </bookViews>
  <sheets>
    <sheet name="总估算表" sheetId="1" state="hidden" r:id="rId1"/>
    <sheet name="总  估  算  表" sheetId="2" r:id="rId2"/>
    <sheet name="一级明细汇总表" sheetId="11" r:id="rId3"/>
    <sheet name="估算明细表" sheetId="3" state="hidden" r:id="rId4"/>
    <sheet name="管道最新工程量估算明细" sheetId="10" r:id="rId5"/>
    <sheet name="排水管道工程量1" sheetId="4" state="hidden" r:id="rId6"/>
    <sheet name="排水管道单价" sheetId="9" r:id="rId7"/>
    <sheet name="路面恢复工程单价" sheetId="6" r:id="rId8"/>
    <sheet name="检查井单价" sheetId="7" r:id="rId9"/>
    <sheet name="雨水口降水井单价" sheetId="8" r:id="rId10"/>
    <sheet name="其他工程量单价" sheetId="5" r:id="rId11"/>
  </sheets>
  <definedNames>
    <definedName name="_xlnm._FilterDatabase" localSheetId="3" hidden="1">估算明细表!$A$1:$K$249</definedName>
    <definedName name="_xlnm._FilterDatabase" localSheetId="4" hidden="1">管道最新工程量估算明细!$A$1:$I$25</definedName>
    <definedName name="_xlnm._FilterDatabase" localSheetId="5" hidden="1">排水管道工程量1!$A$1:$E$224</definedName>
    <definedName name="_xlnm.Print_Area" localSheetId="3">估算明细表!$A$1:$K$249</definedName>
    <definedName name="_xlnm.Print_Area" localSheetId="1">'总  估  算  表'!$A$1:$H$11</definedName>
    <definedName name="_xlnm.Print_Titles" localSheetId="3">估算明细表!$1:$3</definedName>
    <definedName name="_xlnm.Print_Area" localSheetId="4">管道最新工程量估算明细!$A$1:$I$25</definedName>
    <definedName name="_xlnm.Print_Area" localSheetId="2">一级明细汇总表!$A$1:$K$66</definedName>
    <definedName name="_xlnm.Print_Titles" localSheetId="2">一级明细汇总表!$2:$3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asus</author>
  </authors>
  <commentList>
    <comment ref="H2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鼓楼大街
</t>
        </r>
      </text>
    </comment>
    <comment ref="H3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怀远大街</t>
        </r>
      </text>
    </comment>
    <comment ref="H4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怀远大街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Q17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只有D300管道（雨水连接管）做砂石基础，其余做180度混凝土基础</t>
        </r>
      </text>
    </comment>
    <comment ref="O24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每延米格栅单价，每延米锯缝单价，均参考锦林项目单价，按主管道长度倒算每延米价格计入</t>
        </r>
      </text>
    </comment>
  </commentList>
</comments>
</file>

<file path=xl/sharedStrings.xml><?xml version="1.0" encoding="utf-8"?>
<sst xmlns="http://schemas.openxmlformats.org/spreadsheetml/2006/main" count="1083" uniqueCount="343">
  <si>
    <t>马跑泉沟（青银高速-新民小区段）生态整治工程工程总估算表</t>
  </si>
  <si>
    <t>项</t>
  </si>
  <si>
    <t>目</t>
  </si>
  <si>
    <t>工程或费用名称</t>
  </si>
  <si>
    <t>单位</t>
  </si>
  <si>
    <t>工程量</t>
  </si>
  <si>
    <t>预算金额（万元）</t>
  </si>
  <si>
    <t>技术经济指标（元）</t>
  </si>
  <si>
    <t>一</t>
  </si>
  <si>
    <t>第一部分建安工程费</t>
  </si>
  <si>
    <t>道路工程</t>
  </si>
  <si>
    <t>平方米</t>
  </si>
  <si>
    <t>土方工程</t>
  </si>
  <si>
    <t>立方米</t>
  </si>
  <si>
    <t>雨水、污水</t>
  </si>
  <si>
    <t>米</t>
  </si>
  <si>
    <t>绿化</t>
  </si>
  <si>
    <t>拆迁工程</t>
  </si>
  <si>
    <t>二</t>
  </si>
  <si>
    <t>工程建设其他费用</t>
  </si>
  <si>
    <t>建设单位管理费</t>
  </si>
  <si>
    <t>工程保险费</t>
  </si>
  <si>
    <t>工程勘察费</t>
  </si>
  <si>
    <t>设计费</t>
  </si>
  <si>
    <t>施工图预算编制费</t>
  </si>
  <si>
    <t>施工图审查费</t>
  </si>
  <si>
    <t>工程环境评价费</t>
  </si>
  <si>
    <t>工程监理费</t>
  </si>
  <si>
    <t>场地准备及临时设施费</t>
  </si>
  <si>
    <t>招标代理服务费</t>
  </si>
  <si>
    <t>三</t>
  </si>
  <si>
    <t>预备费（8%）</t>
  </si>
  <si>
    <t>四</t>
  </si>
  <si>
    <t>总金额</t>
  </si>
  <si>
    <t>五</t>
  </si>
  <si>
    <t>利息</t>
  </si>
  <si>
    <t>估算总金额</t>
  </si>
  <si>
    <t>总  估  算  表</t>
  </si>
  <si>
    <t>序号</t>
  </si>
  <si>
    <t>工程及费用名称</t>
  </si>
  <si>
    <t>估算金额（万元）</t>
  </si>
  <si>
    <t xml:space="preserve"> 投资比（%）</t>
  </si>
  <si>
    <t>合计</t>
  </si>
  <si>
    <t>工程费</t>
  </si>
  <si>
    <t>其它费用</t>
  </si>
  <si>
    <t>预备费</t>
  </si>
  <si>
    <t>项目总投资</t>
  </si>
  <si>
    <t>投资比（%）</t>
  </si>
  <si>
    <t>工程费×1.3%</t>
  </si>
  <si>
    <t>工程费×0.25%</t>
  </si>
  <si>
    <t>工程费*0.32%</t>
  </si>
  <si>
    <t>工程费*0.45%</t>
  </si>
  <si>
    <t>工程费*0.35%</t>
  </si>
  <si>
    <t>工程费*0.2%</t>
  </si>
  <si>
    <t>工程费*0.6%</t>
  </si>
  <si>
    <t>招标控制价编制费</t>
  </si>
  <si>
    <t>控制价审核费</t>
  </si>
  <si>
    <t>工程费*0.15%</t>
  </si>
  <si>
    <t>工程费*0.3%</t>
  </si>
  <si>
    <t>粮油市场公共卫生间</t>
  </si>
  <si>
    <t>商城公共卫生间</t>
  </si>
  <si>
    <t>匡算总金额</t>
  </si>
  <si>
    <t>投资估算审定表</t>
  </si>
  <si>
    <t>建筑工程</t>
  </si>
  <si>
    <t>安装工程</t>
  </si>
  <si>
    <t>设备采购</t>
  </si>
  <si>
    <t>其他费用</t>
  </si>
  <si>
    <t>数量</t>
  </si>
  <si>
    <t>单位价值（元）</t>
  </si>
  <si>
    <t>备注</t>
  </si>
  <si>
    <t>Ⅰ</t>
  </si>
  <si>
    <t>工程费用</t>
  </si>
  <si>
    <t>管道工程</t>
  </si>
  <si>
    <t>（一）</t>
  </si>
  <si>
    <t>1.1</t>
  </si>
  <si>
    <t>D1800 Ⅱ级钢筋混凝土管道</t>
  </si>
  <si>
    <t>1.2</t>
  </si>
  <si>
    <t>D800 Ⅱ级钢筋混凝土管道</t>
  </si>
  <si>
    <t>1.3</t>
  </si>
  <si>
    <t>D600 Ⅱ级钢筋混凝土管道</t>
  </si>
  <si>
    <t>1.4</t>
  </si>
  <si>
    <t>D500 Ⅱ级钢筋混凝土管道（预留管）</t>
  </si>
  <si>
    <t>1.5</t>
  </si>
  <si>
    <t>D300 Ⅱ级钢筋混凝土管道</t>
  </si>
  <si>
    <t>1.6</t>
  </si>
  <si>
    <t>2400×1100 矩形钢筋混凝土检查井</t>
  </si>
  <si>
    <t>座</t>
  </si>
  <si>
    <t>1.7</t>
  </si>
  <si>
    <t>1200×1100 矩形钢筋混凝土检查井</t>
  </si>
  <si>
    <t>1.8</t>
  </si>
  <si>
    <t>雨水口</t>
  </si>
  <si>
    <t>1.9</t>
  </si>
  <si>
    <t>降水井</t>
  </si>
  <si>
    <t>1.10</t>
  </si>
  <si>
    <t>管道施工路面恢复</t>
  </si>
  <si>
    <t>平米</t>
  </si>
  <si>
    <t>（二）</t>
  </si>
  <si>
    <t>2.1</t>
  </si>
  <si>
    <t>D1000 Ⅱ级钢筋混凝土管道</t>
  </si>
  <si>
    <t>2.2</t>
  </si>
  <si>
    <t>2.3</t>
  </si>
  <si>
    <t>2.4</t>
  </si>
  <si>
    <t>2.5</t>
  </si>
  <si>
    <t>2.6</t>
  </si>
  <si>
    <t>1400×1100 矩形钢筋混凝土检查井</t>
  </si>
  <si>
    <t>2.7</t>
  </si>
  <si>
    <t>2.8</t>
  </si>
  <si>
    <t>2.9</t>
  </si>
  <si>
    <t>2.10</t>
  </si>
  <si>
    <t>防洪排涝渠</t>
  </si>
  <si>
    <t>1</t>
  </si>
  <si>
    <t>渠道维修改造（长840m，宽4m）</t>
  </si>
  <si>
    <t>2</t>
  </si>
  <si>
    <t>电动闸门3台（宽度2m）</t>
  </si>
  <si>
    <t>3</t>
  </si>
  <si>
    <t>接电线路</t>
  </si>
  <si>
    <t>8 万立方雨水调蓄池</t>
  </si>
  <si>
    <t>土方开挖</t>
  </si>
  <si>
    <t xml:space="preserve">土方回填 </t>
  </si>
  <si>
    <t>粘土层</t>
  </si>
  <si>
    <t>4</t>
  </si>
  <si>
    <t>HDPE土工膜（1.5mm）</t>
  </si>
  <si>
    <t>5</t>
  </si>
  <si>
    <t>土工布（600g/m2）</t>
  </si>
  <si>
    <t>6</t>
  </si>
  <si>
    <t>卵石层</t>
  </si>
  <si>
    <t>7</t>
  </si>
  <si>
    <t>浆砌石层（内边坡）</t>
  </si>
  <si>
    <t>8</t>
  </si>
  <si>
    <t xml:space="preserve">池子护栏 </t>
  </si>
  <si>
    <t>9</t>
  </si>
  <si>
    <t>池体开挖支护</t>
  </si>
  <si>
    <t>10</t>
  </si>
  <si>
    <t>混凝土路（进应急水池道路4m宽）</t>
  </si>
  <si>
    <t>11</t>
  </si>
  <si>
    <t xml:space="preserve">PE压力排水管道(De800mm) </t>
  </si>
  <si>
    <t>12</t>
  </si>
  <si>
    <t>雨水提升泵（1000m3/h）</t>
  </si>
  <si>
    <t>13</t>
  </si>
  <si>
    <t xml:space="preserve">施工降水 </t>
  </si>
  <si>
    <t>防洪排涝设备</t>
  </si>
  <si>
    <t>应急排水抢险车（30KW，600m³/H，8M）</t>
  </si>
  <si>
    <t>大流量排水抢险车（60KW，1000m³/H，10M）</t>
  </si>
  <si>
    <t>Ⅱ</t>
  </si>
  <si>
    <t>项目建设管理费</t>
  </si>
  <si>
    <t>可行性研究报告编制费</t>
  </si>
  <si>
    <t>工程费*2.5%</t>
  </si>
  <si>
    <t>建筑信息模型（BIM）技术
应用费用</t>
  </si>
  <si>
    <t>测绘费</t>
  </si>
  <si>
    <t>工程费*1.5%</t>
  </si>
  <si>
    <t>地质勘察费</t>
  </si>
  <si>
    <t>结算审计费</t>
  </si>
  <si>
    <t>工程费*0.5%</t>
  </si>
  <si>
    <t>招标代理费</t>
  </si>
  <si>
    <t>水土保持工程投资</t>
  </si>
  <si>
    <t>质量检测试验费</t>
  </si>
  <si>
    <t>III</t>
  </si>
  <si>
    <t>预备费（5%）</t>
  </si>
  <si>
    <t>（I+II)的5%</t>
  </si>
  <si>
    <t>IV</t>
  </si>
  <si>
    <t>平罗县城区防水排涝工程</t>
  </si>
  <si>
    <t>估算价值（万元）</t>
  </si>
  <si>
    <t>15</t>
  </si>
  <si>
    <t>16</t>
  </si>
  <si>
    <t>六</t>
  </si>
  <si>
    <t>一体化泵站工程（鼓楼大街）</t>
  </si>
  <si>
    <t>一体化泵站工程（建筑安装）</t>
  </si>
  <si>
    <t>配水水池工程</t>
  </si>
  <si>
    <t>10千伏变配电工程</t>
  </si>
  <si>
    <t>一体化泵站（成套设备采购，3m3/s）</t>
  </si>
  <si>
    <t>套</t>
  </si>
  <si>
    <t>混凝土八字口</t>
  </si>
  <si>
    <t>工程费×1%</t>
  </si>
  <si>
    <t>工程费×0.15%</t>
  </si>
  <si>
    <t>工程费*0.25%</t>
  </si>
  <si>
    <t>工程费*0.1%</t>
  </si>
  <si>
    <t>工程量清单及控制价审核费</t>
  </si>
  <si>
    <t>工程费*0.4%</t>
  </si>
  <si>
    <t>环境评价</t>
  </si>
  <si>
    <t>（I+II)的8%</t>
  </si>
  <si>
    <t>名   称</t>
  </si>
  <si>
    <t>单价（元）</t>
  </si>
  <si>
    <t>建筑工程费合计（万元）</t>
  </si>
  <si>
    <t>工程量放大系数</t>
  </si>
  <si>
    <t>翰林大街（德源路-鼓楼西街）</t>
  </si>
  <si>
    <t>永安街（109国道-发行路、西环路-怀远大街）</t>
  </si>
  <si>
    <t>工程数量表</t>
  </si>
  <si>
    <t>主管道工程量系数</t>
  </si>
  <si>
    <t>管道</t>
  </si>
  <si>
    <t>计量单位</t>
  </si>
  <si>
    <t>道路名称</t>
  </si>
  <si>
    <t>主管道</t>
  </si>
  <si>
    <t>D2400 Ⅱ</t>
  </si>
  <si>
    <t>主干道</t>
  </si>
  <si>
    <t>D2200 Ⅱ</t>
  </si>
  <si>
    <t>民族大街（山水大道-永安西路）</t>
  </si>
  <si>
    <t>D2000Ⅱ</t>
  </si>
  <si>
    <t>D1800 Ⅱ</t>
  </si>
  <si>
    <t>D1200 Ⅱ</t>
  </si>
  <si>
    <t>次</t>
  </si>
  <si>
    <t>D1000 Ⅱ</t>
  </si>
  <si>
    <t>D800 Ⅱ</t>
  </si>
  <si>
    <t>D800 Ⅱ（预留）</t>
  </si>
  <si>
    <t>D600Ⅱ</t>
  </si>
  <si>
    <t>D600Ⅱ（预留）</t>
  </si>
  <si>
    <t>D500Ⅱ（预留）</t>
  </si>
  <si>
    <t>D300Ⅱ</t>
  </si>
  <si>
    <t>萧公大街（宝丰路（建设路）-永安西路）</t>
  </si>
  <si>
    <t>路面</t>
  </si>
  <si>
    <t>预留管道</t>
  </si>
  <si>
    <t>检查井</t>
  </si>
  <si>
    <t>3100×1100 矩形钢筋混凝土检查井</t>
  </si>
  <si>
    <t>D600 Ⅱ级钢筋混凝土管道（预留管）</t>
  </si>
  <si>
    <t>2900×1100 矩形钢筋混凝土检查井</t>
  </si>
  <si>
    <t>2600×1100 矩形钢筋混凝土检查井</t>
  </si>
  <si>
    <t>1700×1100 矩形钢筋混凝土检查井</t>
  </si>
  <si>
    <t>怀远大街（西环路-姚福璐）</t>
  </si>
  <si>
    <t>名称</t>
  </si>
  <si>
    <t>D2200 Ⅱ级钢筋混凝土管道</t>
  </si>
  <si>
    <t>D2000 Ⅱ级钢筋混凝土管道</t>
  </si>
  <si>
    <t>西环路（南环路-山水大道）</t>
  </si>
  <si>
    <t>D1200 Ⅱ级钢筋混凝土管道</t>
  </si>
  <si>
    <t>姚福璐（怀远大街-萧公大街）</t>
  </si>
  <si>
    <t>新渠路（怀远大街-民族大街）</t>
  </si>
  <si>
    <t>鼓楼西街（西环路-西苑街）</t>
  </si>
  <si>
    <t>D2400 Ⅱ级钢筋混凝土管道</t>
  </si>
  <si>
    <t>人民西路（怀远大街-翰林大街）</t>
  </si>
  <si>
    <t>团结西路（西环路-西苑街）</t>
  </si>
  <si>
    <t>玉皇阁大道（西环路-西苑街）</t>
  </si>
  <si>
    <t>宝丰路（建设路）（西环路-民族大街）</t>
  </si>
  <si>
    <t>翰林大街（山水大道-鼓楼西街）</t>
  </si>
  <si>
    <t>D800 Ⅱ级钢筋混凝土管道（预留管）</t>
  </si>
  <si>
    <t>玉龚路（翰林大街-109国道）</t>
  </si>
  <si>
    <t>利民路（西环路-怀远大街路）</t>
  </si>
  <si>
    <t>金桥路（西环路-民族大街）</t>
  </si>
  <si>
    <t>永安西街（翰林大街-109国道）</t>
  </si>
  <si>
    <t>泵站改造</t>
  </si>
  <si>
    <t>1#泵站</t>
  </si>
  <si>
    <t>增加气体检测仪</t>
  </si>
  <si>
    <t>2#泵站</t>
  </si>
  <si>
    <t>围墙维修</t>
  </si>
  <si>
    <t>走道护栏更换</t>
  </si>
  <si>
    <t>配电室周围地面硬化</t>
  </si>
  <si>
    <t>3280平米</t>
  </si>
  <si>
    <t>840*4=3360平米</t>
  </si>
  <si>
    <t>辅助用房室内外粉刷</t>
  </si>
  <si>
    <t>暖气管网改造（DN80热镀锌钢管）</t>
  </si>
  <si>
    <t>卫生间维修改造面积</t>
  </si>
  <si>
    <t>150Kw发电线路改造</t>
  </si>
  <si>
    <t>防汛物资</t>
  </si>
  <si>
    <t>批</t>
  </si>
  <si>
    <t>安全应急防护物资</t>
  </si>
  <si>
    <t>防汛室装修及办公用具</t>
  </si>
  <si>
    <t>防汛期清淤</t>
  </si>
  <si>
    <t>泵房室内池体加固</t>
  </si>
  <si>
    <t>m³</t>
  </si>
  <si>
    <t>防汛抢险车辆及配套设备</t>
  </si>
  <si>
    <t>3#泵站</t>
  </si>
  <si>
    <t>更换机械格栅</t>
  </si>
  <si>
    <t>进水启闭机</t>
  </si>
  <si>
    <t>维修围墙</t>
  </si>
  <si>
    <t>大门</t>
  </si>
  <si>
    <t>樘</t>
  </si>
  <si>
    <t>泵房室内外粉刷</t>
  </si>
  <si>
    <t>行车维修保养</t>
  </si>
  <si>
    <t>加装轴流风机</t>
  </si>
  <si>
    <t>台</t>
  </si>
  <si>
    <t>备用污水提升泵</t>
  </si>
  <si>
    <t>站内路灯修复</t>
  </si>
  <si>
    <t>8 万立方应急水池</t>
  </si>
  <si>
    <t>土池+防渗结构</t>
  </si>
  <si>
    <t>立方</t>
  </si>
  <si>
    <t>辆</t>
  </si>
  <si>
    <t>50万</t>
  </si>
  <si>
    <t>130万</t>
  </si>
  <si>
    <t>(总平均挖深)</t>
  </si>
  <si>
    <t>（路面上口宽度）</t>
  </si>
  <si>
    <t>下口宽度</t>
  </si>
  <si>
    <t>基层（㎡）</t>
  </si>
  <si>
    <t>下基层（㎡）</t>
  </si>
  <si>
    <t>路床（立方米）</t>
  </si>
  <si>
    <t>估算综合单价</t>
  </si>
  <si>
    <t>管道主材价格</t>
  </si>
  <si>
    <t>H总</t>
  </si>
  <si>
    <t>B上</t>
  </si>
  <si>
    <t>B下</t>
  </si>
  <si>
    <t>每延米水泥稳定砂砾36cm面积</t>
  </si>
  <si>
    <t>每延米砂砾20cm面积</t>
  </si>
  <si>
    <t>每延米天然砂夹石60cm面积</t>
  </si>
  <si>
    <t>每延米管道体积</t>
  </si>
  <si>
    <t>每延米管道基础体积</t>
  </si>
  <si>
    <t>每延米挖沟槽体积（土）</t>
  </si>
  <si>
    <t>每延米拆除路面结构层面积（原路面结构层厚度0.66米，含渣土外运）</t>
  </si>
  <si>
    <t>每延米路床回填体积</t>
  </si>
  <si>
    <t>每延米沟槽回填体积</t>
  </si>
  <si>
    <t>每延米外运土体积</t>
  </si>
  <si>
    <t>鼓楼大街</t>
  </si>
  <si>
    <t>D2400Ⅱ</t>
  </si>
  <si>
    <t>怀远大街</t>
  </si>
  <si>
    <t>D2200Ⅱ</t>
  </si>
  <si>
    <t>其中：翰林大街</t>
  </si>
  <si>
    <t>D1800Ⅱ</t>
  </si>
  <si>
    <t xml:space="preserve">      怀远大街</t>
  </si>
  <si>
    <t>D1200Ⅱ</t>
  </si>
  <si>
    <t>D1650 Ⅱ</t>
  </si>
  <si>
    <t>D1600 Ⅱ</t>
  </si>
  <si>
    <t>D1500 Ⅱ</t>
  </si>
  <si>
    <t>D1400 Ⅱ</t>
  </si>
  <si>
    <t>D1000Ⅱ</t>
  </si>
  <si>
    <t>D800Ⅱ</t>
  </si>
  <si>
    <t>D500Ⅱ</t>
  </si>
  <si>
    <t>计价单位</t>
  </si>
  <si>
    <t>立方米（混凝土）</t>
  </si>
  <si>
    <t>单位价格</t>
  </si>
  <si>
    <t>立方米（砂砾石）</t>
  </si>
  <si>
    <t>每延米管道安装单价</t>
  </si>
  <si>
    <t>锦林单价</t>
  </si>
  <si>
    <t>每延米水稳层单价</t>
  </si>
  <si>
    <t>每延米砂砾层单价</t>
  </si>
  <si>
    <t>每延米管道基础单价</t>
  </si>
  <si>
    <t>每延米挖沟槽土方单价</t>
  </si>
  <si>
    <t>每延米拆除路面结构单价</t>
  </si>
  <si>
    <t>每延米路床回填单价</t>
  </si>
  <si>
    <t>每延米沟槽回填单价</t>
  </si>
  <si>
    <t>每延米外运土单价</t>
  </si>
  <si>
    <t>每延米水稳切缝单价</t>
  </si>
  <si>
    <t>每延米格栅单价</t>
  </si>
  <si>
    <t>每延米路面标线单价</t>
  </si>
  <si>
    <t>路面工程工程单价</t>
  </si>
  <si>
    <t>道路主次</t>
  </si>
  <si>
    <t>做法</t>
  </si>
  <si>
    <t>单价</t>
  </si>
  <si>
    <t>锦林大街审批价格（元/平米）</t>
  </si>
  <si>
    <t>6cm+4cm(两层油)</t>
  </si>
  <si>
    <t>次干道</t>
  </si>
  <si>
    <t>5cm+4cm(两层油)</t>
  </si>
  <si>
    <t>2200×1100 矩形钢筋混凝土检查井</t>
  </si>
  <si>
    <t>1900×1100 矩形钢筋混凝土检查井</t>
  </si>
  <si>
    <t>锦林项目单价</t>
  </si>
  <si>
    <t>世纪大道</t>
  </si>
  <si>
    <t>主管长度</t>
  </si>
  <si>
    <t>施工工期预定（日历天）</t>
  </si>
  <si>
    <t>每天施工  米/天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</si>
</sst>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_);[Red]\(0\)"/>
    <numFmt numFmtId="180" formatCode="0.0_);[Red]\(0.0\)"/>
    <numFmt numFmtId="181" formatCode="0_);\(0\)"/>
    <numFmt numFmtId="182" formatCode="0.0_ "/>
  </numFmts>
  <fonts count="70"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b/>
      <sz val="16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9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2"/>
      <name val="Times New Roman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4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22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6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6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9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2" fillId="43" borderId="20" applyNumberFormat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0" fillId="50" borderId="24" applyNumberFormat="0" applyFont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8" fillId="44" borderId="25" applyNumberFormat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4" fillId="0" borderId="2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55" borderId="2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47" fillId="0" borderId="30" applyNumberFormat="0" applyFill="0" applyAlignment="0" applyProtection="0">
      <alignment vertical="center"/>
    </xf>
    <xf numFmtId="0" fontId="57" fillId="43" borderId="25" applyNumberFormat="0" applyAlignment="0" applyProtection="0">
      <alignment vertical="center"/>
    </xf>
    <xf numFmtId="0" fontId="57" fillId="4" borderId="25" applyNumberFormat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9" fillId="0" borderId="0">
      <alignment vertical="center"/>
    </xf>
    <xf numFmtId="0" fontId="0" fillId="50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62" fillId="48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60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4" fillId="0" borderId="36" applyNumberFormat="0" applyFill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11" fillId="0" borderId="0"/>
    <xf numFmtId="0" fontId="64" fillId="0" borderId="1" applyAlignment="0">
      <alignment horizontal="center" vertical="center"/>
    </xf>
    <xf numFmtId="0" fontId="0" fillId="0" borderId="0">
      <alignment vertical="center"/>
    </xf>
    <xf numFmtId="0" fontId="65" fillId="4" borderId="25" applyNumberFormat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</cellStyleXfs>
  <cellXfs count="215">
    <xf numFmtId="0" fontId="0" fillId="0" borderId="0" xfId="0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/>
    <xf numFmtId="176" fontId="0" fillId="0" borderId="0" xfId="0" applyNumberFormat="1" applyAlignment="1"/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77" fontId="1" fillId="0" borderId="1" xfId="0" applyNumberFormat="1" applyFont="1" applyFill="1" applyBorder="1" applyAlignment="1">
      <alignment horizontal="left" vertical="center" wrapText="1"/>
    </xf>
    <xf numFmtId="178" fontId="0" fillId="3" borderId="1" xfId="0" applyNumberFormat="1" applyFill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8" fontId="0" fillId="0" borderId="1" xfId="0" applyNumberFormat="1" applyBorder="1" applyAlignment="1"/>
    <xf numFmtId="17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/>
    <xf numFmtId="0" fontId="0" fillId="0" borderId="1" xfId="0" applyFill="1" applyBorder="1" applyAlignment="1"/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178" fontId="0" fillId="0" borderId="0" xfId="0" applyNumberFormat="1" applyAlignment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0" xfId="0" applyNumberFormat="1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wrapText="1"/>
      <protection locked="0"/>
    </xf>
    <xf numFmtId="18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178" fontId="0" fillId="0" borderId="1" xfId="0" applyNumberFormat="1" applyBorder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0" fontId="1" fillId="0" borderId="1" xfId="3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0" fontId="10" fillId="0" borderId="1" xfId="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Border="1" applyAlignment="1">
      <alignment horizontal="center" vertical="center"/>
    </xf>
    <xf numFmtId="178" fontId="11" fillId="0" borderId="6" xfId="0" applyNumberFormat="1" applyFont="1" applyFill="1" applyBorder="1" applyAlignment="1">
      <alignment horizontal="center" vertical="center" wrapText="1"/>
    </xf>
    <xf numFmtId="10" fontId="10" fillId="0" borderId="6" xfId="3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181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79" fontId="4" fillId="4" borderId="0" xfId="0" applyNumberFormat="1" applyFont="1" applyFill="1" applyAlignment="1" applyProtection="1">
      <alignment horizontal="center" vertical="center" wrapText="1"/>
      <protection locked="0"/>
    </xf>
    <xf numFmtId="178" fontId="4" fillId="0" borderId="0" xfId="0" applyNumberFormat="1" applyFont="1" applyFill="1" applyAlignment="1" applyProtection="1">
      <alignment horizontal="center" vertical="center" wrapText="1"/>
      <protection locked="0"/>
    </xf>
    <xf numFmtId="9" fontId="4" fillId="0" borderId="0" xfId="0" applyNumberFormat="1" applyFont="1" applyFill="1" applyAlignment="1" applyProtection="1">
      <alignment horizontal="center" vertical="center" wrapText="1"/>
      <protection locked="0"/>
    </xf>
    <xf numFmtId="178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8" fontId="1" fillId="0" borderId="6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/>
    <xf numFmtId="182" fontId="0" fillId="0" borderId="0" xfId="0" applyNumberFormat="1" applyAlignment="1"/>
    <xf numFmtId="49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2" fillId="4" borderId="3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8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Font="1" applyFill="1" applyBorder="1" applyAlignment="1">
      <alignment horizontal="center" vertical="center" wrapText="1"/>
    </xf>
    <xf numFmtId="182" fontId="0" fillId="4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8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/>
    <xf numFmtId="0" fontId="0" fillId="0" borderId="0" xfId="0" applyFill="1" applyAlignment="1"/>
    <xf numFmtId="49" fontId="0" fillId="0" borderId="0" xfId="0" applyNumberFormat="1" applyFill="1" applyAlignment="1"/>
    <xf numFmtId="0" fontId="0" fillId="0" borderId="0" xfId="0" applyFill="1" applyAlignment="1">
      <alignment horizontal="left"/>
    </xf>
    <xf numFmtId="178" fontId="0" fillId="0" borderId="0" xfId="0" applyNumberFormat="1" applyFill="1" applyAlignment="1"/>
    <xf numFmtId="182" fontId="0" fillId="0" borderId="0" xfId="0" applyNumberFormat="1" applyFill="1" applyAlignment="1"/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177" fontId="5" fillId="0" borderId="1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/>
    </xf>
    <xf numFmtId="178" fontId="13" fillId="0" borderId="0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Font="1" applyFill="1" applyBorder="1" applyAlignment="1">
      <alignment horizontal="center" vertical="center" wrapText="1"/>
    </xf>
    <xf numFmtId="182" fontId="0" fillId="0" borderId="1" xfId="0" applyNumberFormat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/>
    <xf numFmtId="176" fontId="12" fillId="0" borderId="0" xfId="0" applyNumberFormat="1" applyFont="1" applyFill="1" applyAlignment="1"/>
    <xf numFmtId="178" fontId="11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14" fillId="0" borderId="0" xfId="117" applyFont="1" applyFill="1" applyBorder="1" applyAlignment="1">
      <alignment horizontal="center" vertical="center"/>
    </xf>
    <xf numFmtId="0" fontId="15" fillId="0" borderId="0" xfId="117" applyFont="1" applyFill="1" applyBorder="1" applyAlignment="1">
      <alignment horizontal="center" vertical="center"/>
    </xf>
    <xf numFmtId="0" fontId="16" fillId="0" borderId="1" xfId="117" applyFont="1" applyFill="1" applyBorder="1" applyAlignment="1">
      <alignment horizontal="center" vertical="center" wrapText="1"/>
    </xf>
    <xf numFmtId="10" fontId="16" fillId="0" borderId="1" xfId="117" applyNumberFormat="1" applyFont="1" applyFill="1" applyBorder="1" applyAlignment="1">
      <alignment horizontal="center" vertical="center" wrapText="1"/>
    </xf>
    <xf numFmtId="176" fontId="16" fillId="0" borderId="1" xfId="117" applyNumberFormat="1" applyFont="1" applyFill="1" applyBorder="1" applyAlignment="1">
      <alignment horizontal="center" vertical="center" wrapText="1"/>
    </xf>
    <xf numFmtId="0" fontId="16" fillId="0" borderId="1" xfId="117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18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19" fillId="0" borderId="10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1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 4 2 3 2 5" xfId="49"/>
    <cellStyle name="20% - 强调文字颜色 4 6 3 2 2 2" xfId="50"/>
    <cellStyle name="60% - 强调文字颜色 1 4 2 2 2 2 2" xfId="51"/>
    <cellStyle name="20% - 强调文字颜色 1 2 10 3" xfId="52"/>
    <cellStyle name="40% - 强调文字颜色 6 2 3 3 3" xfId="53"/>
    <cellStyle name="20% - 强调文字颜色 5 3 2 5 2 2" xfId="54"/>
    <cellStyle name="40% - 强调文字颜色 3 5 5 4" xfId="55"/>
    <cellStyle name="输出 3 2 3 3" xfId="56"/>
    <cellStyle name="20% - 强调文字颜色 6 2 12" xfId="57"/>
    <cellStyle name="标题 2 2 7 6" xfId="58"/>
    <cellStyle name="20% - 强调文字颜色 2 3 9 5" xfId="59"/>
    <cellStyle name="60% - 强调文字颜色 4 3 2 4 2" xfId="60"/>
    <cellStyle name="20% - 强调文字颜色 2 5 4 2 2 2 2" xfId="61"/>
    <cellStyle name="60% - 强调文字颜色 3 5 2 2 3" xfId="62"/>
    <cellStyle name="20% - 强调文字颜色 3 5 5" xfId="63"/>
    <cellStyle name="40% - 强调文字颜色 5 3 6 2 3" xfId="64"/>
    <cellStyle name="常规 2 6 2 5 3" xfId="65"/>
    <cellStyle name="汇总 2 3 9 2" xfId="66"/>
    <cellStyle name="标题 1 3 2 5" xfId="67"/>
    <cellStyle name="60% - 强调文字颜色 2 3 2 2 2 2 2 2" xfId="68"/>
    <cellStyle name="注释 2 3 2 5" xfId="69"/>
    <cellStyle name="60% - 强调文字颜色 5 3 5 4" xfId="70"/>
    <cellStyle name="常规 14 2 3 2 2" xfId="71"/>
    <cellStyle name="60% - 强调文字颜色 4 6 2 5" xfId="72"/>
    <cellStyle name="输出 2 2 3 2 2 2" xfId="73"/>
    <cellStyle name="标题 6 3 2 2" xfId="74"/>
    <cellStyle name="标题 4 2 9 2 2 2" xfId="75"/>
    <cellStyle name="60% - 强调文字颜色 6 3 2" xfId="76"/>
    <cellStyle name="输入 2 5 2 3 2" xfId="77"/>
    <cellStyle name="链接单元格 6 4 2" xfId="78"/>
    <cellStyle name="适中 2 6 2" xfId="79"/>
    <cellStyle name="强调文字颜色 2 2 3 3 2" xfId="80"/>
    <cellStyle name="差 2 2 7" xfId="81"/>
    <cellStyle name="标题 3 2 2 6 3 2 2" xfId="82"/>
    <cellStyle name="汇总 2 4 3" xfId="83"/>
    <cellStyle name="标题 5 2 10" xfId="84"/>
    <cellStyle name="检查单元格 3 3" xfId="85"/>
    <cellStyle name="解释性文本 2 2 5 2" xfId="86"/>
    <cellStyle name="常规 2 2 2 4" xfId="87"/>
    <cellStyle name="标题 3 5 5 2 2" xfId="88"/>
    <cellStyle name="计算 2 4 7 2" xfId="89"/>
    <cellStyle name="计算 2 4 4 2 2" xfId="90"/>
    <cellStyle name="标题 1 2 3 5 2 2" xfId="91"/>
    <cellStyle name="_ET_STYLE_NoName_00_" xfId="92"/>
    <cellStyle name="20% - 强调文字颜色 2 6 7" xfId="93"/>
    <cellStyle name="60% - 强调文字颜色 1 6 2 3 2" xfId="94"/>
    <cellStyle name="60% - 强调文字颜色 6 6 4 4" xfId="95"/>
    <cellStyle name="警告文本 2 2 2 2 2" xfId="96"/>
    <cellStyle name="标题 2 2 2 6 4" xfId="97"/>
    <cellStyle name="强调文字颜色 1 2 2 6" xfId="98"/>
    <cellStyle name="好 5 2 2 3" xfId="99"/>
    <cellStyle name="60% - 强调文字颜色 1 9" xfId="100"/>
    <cellStyle name="标题 3 8 3 2" xfId="101"/>
    <cellStyle name="40% - 强调文字颜色 4 6 5" xfId="102"/>
    <cellStyle name="强调文字颜色 3 3 3 2" xfId="103"/>
    <cellStyle name="强调文字颜色 6 4 4 2 2" xfId="104"/>
    <cellStyle name="标题 4 2 7 2" xfId="105"/>
    <cellStyle name="60% - 强调文字颜色 3 6" xfId="106"/>
    <cellStyle name="标题 2 8 2 2 2" xfId="107"/>
    <cellStyle name="强调文字颜色 3 11" xfId="108"/>
    <cellStyle name="强调文字颜色 2 11" xfId="109"/>
    <cellStyle name="差 13" xfId="110"/>
    <cellStyle name="标题 3 12" xfId="111"/>
    <cellStyle name="标题 1 10" xfId="112"/>
    <cellStyle name="汇总 13" xfId="113"/>
    <cellStyle name="差 8" xfId="114"/>
    <cellStyle name="常规 62" xfId="115"/>
    <cellStyle name="样式 3" xfId="116"/>
    <cellStyle name="常规 7" xfId="117"/>
    <cellStyle name="计算 13" xfId="118"/>
    <cellStyle name="链接单元格 13" xfId="119"/>
    <cellStyle name="强调文字颜色 1 11" xfId="120"/>
    <cellStyle name="适中 13" xfId="12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C27" sqref="C27"/>
    </sheetView>
  </sheetViews>
  <sheetFormatPr defaultColWidth="9" defaultRowHeight="25.5" customHeight="1" outlineLevelCol="6"/>
  <cols>
    <col min="1" max="1" width="7.66666666666667" customWidth="1"/>
    <col min="2" max="2" width="7.775" customWidth="1"/>
    <col min="3" max="3" width="35.1083333333333" customWidth="1"/>
    <col min="4" max="4" width="13.2166666666667" customWidth="1"/>
    <col min="5" max="5" width="12.3333333333333" customWidth="1"/>
    <col min="6" max="6" width="14" customWidth="1"/>
    <col min="7" max="7" width="16.1083333333333" customWidth="1"/>
    <col min="8" max="8" width="12.8833333333333"/>
    <col min="9" max="9" width="10.4416666666667" customWidth="1"/>
    <col min="10" max="10" width="12.8833333333333"/>
    <col min="12" max="12" width="12.6666666666667"/>
  </cols>
  <sheetData>
    <row r="1" ht="21.9" customHeight="1" spans="1:6">
      <c r="A1" s="203" t="s">
        <v>0</v>
      </c>
      <c r="B1" s="203"/>
      <c r="C1" s="203"/>
      <c r="D1" s="203"/>
      <c r="E1" s="203"/>
      <c r="F1" s="204"/>
    </row>
    <row r="2" ht="21.9" customHeight="1" spans="1:7">
      <c r="A2" s="205" t="s">
        <v>1</v>
      </c>
      <c r="B2" s="205" t="s">
        <v>2</v>
      </c>
      <c r="C2" s="205" t="s">
        <v>3</v>
      </c>
      <c r="D2" s="205" t="s">
        <v>4</v>
      </c>
      <c r="E2" s="205" t="s">
        <v>5</v>
      </c>
      <c r="F2" s="205" t="s">
        <v>6</v>
      </c>
      <c r="G2" s="205" t="s">
        <v>7</v>
      </c>
    </row>
    <row r="3" ht="21.9" customHeight="1" spans="1:7">
      <c r="A3" s="206" t="s">
        <v>8</v>
      </c>
      <c r="B3" s="206"/>
      <c r="C3" s="207" t="s">
        <v>9</v>
      </c>
      <c r="D3" s="207"/>
      <c r="E3" s="208"/>
      <c r="F3" s="205" t="e">
        <f>#REF!</f>
        <v>#REF!</v>
      </c>
      <c r="G3" s="205"/>
    </row>
    <row r="4" ht="21.9" customHeight="1" spans="1:7">
      <c r="A4" s="206"/>
      <c r="B4" s="206"/>
      <c r="C4" s="209" t="s">
        <v>10</v>
      </c>
      <c r="D4" s="205" t="s">
        <v>11</v>
      </c>
      <c r="E4" s="210">
        <v>1400</v>
      </c>
      <c r="F4" s="210" t="e">
        <f>#REF!</f>
        <v>#REF!</v>
      </c>
      <c r="G4" s="205" t="e">
        <f t="shared" ref="G4:G8" si="0">F4*10000/E4</f>
        <v>#REF!</v>
      </c>
    </row>
    <row r="5" ht="21.9" customHeight="1" spans="1:7">
      <c r="A5" s="206"/>
      <c r="B5" s="206"/>
      <c r="C5" s="209" t="s">
        <v>12</v>
      </c>
      <c r="D5" s="205" t="s">
        <v>13</v>
      </c>
      <c r="E5" s="210">
        <v>157721</v>
      </c>
      <c r="F5" s="210" t="e">
        <f>#REF!</f>
        <v>#REF!</v>
      </c>
      <c r="G5" s="205" t="e">
        <f t="shared" si="0"/>
        <v>#REF!</v>
      </c>
    </row>
    <row r="6" ht="21.9" customHeight="1" spans="1:7">
      <c r="A6" s="206"/>
      <c r="B6" s="206"/>
      <c r="C6" s="209" t="s">
        <v>14</v>
      </c>
      <c r="D6" s="205" t="s">
        <v>15</v>
      </c>
      <c r="E6" s="210">
        <v>4759</v>
      </c>
      <c r="F6" s="210" t="e">
        <f>#REF!</f>
        <v>#REF!</v>
      </c>
      <c r="G6" s="205" t="e">
        <f t="shared" si="0"/>
        <v>#REF!</v>
      </c>
    </row>
    <row r="7" ht="21.9" customHeight="1" spans="1:7">
      <c r="A7" s="206"/>
      <c r="B7" s="206"/>
      <c r="C7" s="209" t="s">
        <v>16</v>
      </c>
      <c r="D7" s="205" t="s">
        <v>11</v>
      </c>
      <c r="E7" s="210">
        <v>80664</v>
      </c>
      <c r="F7" s="210" t="e">
        <f>#REF!</f>
        <v>#REF!</v>
      </c>
      <c r="G7" s="205" t="e">
        <f t="shared" si="0"/>
        <v>#REF!</v>
      </c>
    </row>
    <row r="8" ht="21.9" customHeight="1" spans="1:7">
      <c r="A8" s="206"/>
      <c r="B8" s="206"/>
      <c r="C8" s="209" t="s">
        <v>17</v>
      </c>
      <c r="D8" s="205" t="s">
        <v>13</v>
      </c>
      <c r="E8" s="210">
        <v>31000</v>
      </c>
      <c r="F8" s="205" t="e">
        <f>#REF!</f>
        <v>#REF!</v>
      </c>
      <c r="G8" s="205" t="e">
        <f t="shared" si="0"/>
        <v>#REF!</v>
      </c>
    </row>
    <row r="9" ht="21.9" customHeight="1" spans="1:7">
      <c r="A9" s="206" t="s">
        <v>18</v>
      </c>
      <c r="B9" s="205"/>
      <c r="C9" s="205" t="s">
        <v>19</v>
      </c>
      <c r="D9" s="205"/>
      <c r="E9" s="205"/>
      <c r="F9" s="205" t="e">
        <f>F10+F11+F12+F13+F14+F15+F16+F17+F18+F19</f>
        <v>#REF!</v>
      </c>
      <c r="G9" s="205"/>
    </row>
    <row r="10" ht="21.9" customHeight="1" spans="1:7">
      <c r="A10" s="208"/>
      <c r="B10" s="205">
        <v>1</v>
      </c>
      <c r="C10" s="205" t="s">
        <v>20</v>
      </c>
      <c r="D10" s="205"/>
      <c r="E10" s="205"/>
      <c r="F10" s="205" t="e">
        <f>F3*1.8/100</f>
        <v>#REF!</v>
      </c>
      <c r="G10" s="205"/>
    </row>
    <row r="11" ht="21.9" customHeight="1" spans="1:7">
      <c r="A11" s="208"/>
      <c r="B11" s="205">
        <v>2</v>
      </c>
      <c r="C11" s="205" t="s">
        <v>21</v>
      </c>
      <c r="D11" s="205"/>
      <c r="E11" s="205"/>
      <c r="F11" s="205" t="e">
        <f>F3*0.5/100</f>
        <v>#REF!</v>
      </c>
      <c r="G11" s="205"/>
    </row>
    <row r="12" ht="21.9" customHeight="1" spans="1:7">
      <c r="A12" s="211"/>
      <c r="B12" s="205">
        <v>3</v>
      </c>
      <c r="C12" s="205" t="s">
        <v>22</v>
      </c>
      <c r="D12" s="205"/>
      <c r="E12" s="205"/>
      <c r="F12" s="205" t="e">
        <f>F3*0.8/100</f>
        <v>#REF!</v>
      </c>
      <c r="G12" s="205"/>
    </row>
    <row r="13" ht="21.9" customHeight="1" spans="1:7">
      <c r="A13" s="208"/>
      <c r="B13" s="205">
        <v>4</v>
      </c>
      <c r="C13" s="205" t="s">
        <v>23</v>
      </c>
      <c r="D13" s="205"/>
      <c r="E13" s="205"/>
      <c r="F13" s="205" t="e">
        <f>F3*2.3*1.1/100</f>
        <v>#REF!</v>
      </c>
      <c r="G13" s="205"/>
    </row>
    <row r="14" ht="21.9" customHeight="1" spans="1:7">
      <c r="A14" s="208"/>
      <c r="B14" s="205">
        <v>5</v>
      </c>
      <c r="C14" s="205" t="s">
        <v>24</v>
      </c>
      <c r="D14" s="205"/>
      <c r="E14" s="205"/>
      <c r="F14" s="205" t="e">
        <f>F13*0.1</f>
        <v>#REF!</v>
      </c>
      <c r="G14" s="205"/>
    </row>
    <row r="15" ht="21.9" customHeight="1" spans="1:7">
      <c r="A15" s="208"/>
      <c r="B15" s="205">
        <v>6</v>
      </c>
      <c r="C15" s="205" t="s">
        <v>25</v>
      </c>
      <c r="D15" s="205"/>
      <c r="E15" s="205"/>
      <c r="F15" s="205" t="e">
        <f>(F12+F13)*4/100</f>
        <v>#REF!</v>
      </c>
      <c r="G15" s="205"/>
    </row>
    <row r="16" ht="21.9" customHeight="1" spans="1:7">
      <c r="A16" s="208"/>
      <c r="B16" s="205">
        <v>7</v>
      </c>
      <c r="C16" s="205" t="s">
        <v>26</v>
      </c>
      <c r="D16" s="205"/>
      <c r="E16" s="205"/>
      <c r="F16" s="205">
        <v>12</v>
      </c>
      <c r="G16" s="205"/>
    </row>
    <row r="17" ht="21.9" customHeight="1" spans="1:7">
      <c r="A17" s="212"/>
      <c r="B17" s="205">
        <v>8</v>
      </c>
      <c r="C17" s="205" t="s">
        <v>27</v>
      </c>
      <c r="D17" s="205"/>
      <c r="E17" s="205"/>
      <c r="F17" s="205" t="e">
        <f>F3*1.3/100</f>
        <v>#REF!</v>
      </c>
      <c r="G17" s="205"/>
    </row>
    <row r="18" ht="21.9" customHeight="1" spans="1:7">
      <c r="A18" s="208"/>
      <c r="B18" s="205">
        <v>9</v>
      </c>
      <c r="C18" s="205" t="s">
        <v>28</v>
      </c>
      <c r="D18" s="205"/>
      <c r="E18" s="205"/>
      <c r="F18" s="205" t="e">
        <f>F3*0.8/100</f>
        <v>#REF!</v>
      </c>
      <c r="G18" s="205"/>
    </row>
    <row r="19" ht="21.9" customHeight="1" spans="1:7">
      <c r="A19" s="208"/>
      <c r="B19" s="205">
        <v>10</v>
      </c>
      <c r="C19" s="205" t="s">
        <v>29</v>
      </c>
      <c r="D19" s="205"/>
      <c r="E19" s="205"/>
      <c r="F19" s="205" t="e">
        <f>F3*0.35/100</f>
        <v>#REF!</v>
      </c>
      <c r="G19" s="205"/>
    </row>
    <row r="20" ht="21.9" customHeight="1" spans="1:7">
      <c r="A20" s="206" t="s">
        <v>30</v>
      </c>
      <c r="B20" s="205"/>
      <c r="C20" s="205" t="s">
        <v>31</v>
      </c>
      <c r="D20" s="205"/>
      <c r="E20" s="205"/>
      <c r="F20" s="205" t="e">
        <f>(F3+F9)*0.08</f>
        <v>#REF!</v>
      </c>
      <c r="G20" s="205"/>
    </row>
    <row r="21" ht="21.9" customHeight="1" spans="1:7">
      <c r="A21" s="206" t="s">
        <v>32</v>
      </c>
      <c r="B21" s="206"/>
      <c r="C21" s="206" t="s">
        <v>33</v>
      </c>
      <c r="D21" s="206"/>
      <c r="E21" s="206"/>
      <c r="F21" s="205" t="e">
        <f>F20+F9+F3</f>
        <v>#REF!</v>
      </c>
      <c r="G21" s="205"/>
    </row>
    <row r="22" ht="21.9" customHeight="1" spans="1:7">
      <c r="A22" s="213" t="s">
        <v>34</v>
      </c>
      <c r="B22" s="213"/>
      <c r="C22" s="206" t="s">
        <v>35</v>
      </c>
      <c r="D22" s="206"/>
      <c r="E22" s="206"/>
      <c r="F22" s="205" t="e">
        <f>F21*0.7*4.52/100/2</f>
        <v>#REF!</v>
      </c>
      <c r="G22" s="205"/>
    </row>
    <row r="23" ht="21.9" customHeight="1" spans="1:7">
      <c r="A23" s="214"/>
      <c r="B23" s="214"/>
      <c r="C23" s="206" t="s">
        <v>36</v>
      </c>
      <c r="D23" s="206"/>
      <c r="E23" s="206"/>
      <c r="F23" s="205" t="e">
        <f>F21</f>
        <v>#REF!</v>
      </c>
      <c r="G23" s="205"/>
    </row>
    <row r="24" ht="21.9" customHeight="1"/>
  </sheetData>
  <mergeCells count="1">
    <mergeCell ref="A1:F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9"/>
  <sheetViews>
    <sheetView zoomScale="160" zoomScaleNormal="160" workbookViewId="0">
      <selection activeCell="D5" sqref="D5"/>
    </sheetView>
  </sheetViews>
  <sheetFormatPr defaultColWidth="8.89166666666667" defaultRowHeight="13.5" outlineLevelCol="4"/>
  <cols>
    <col min="4" max="4" width="21.5916666666667" customWidth="1"/>
    <col min="5" max="5" width="19.025" customWidth="1"/>
  </cols>
  <sheetData>
    <row r="2" spans="1:5">
      <c r="A2" s="1" t="s">
        <v>217</v>
      </c>
      <c r="B2" s="1" t="s">
        <v>189</v>
      </c>
      <c r="C2" s="1" t="s">
        <v>67</v>
      </c>
      <c r="D2" s="1" t="s">
        <v>331</v>
      </c>
      <c r="E2" s="1" t="s">
        <v>338</v>
      </c>
    </row>
    <row r="3" spans="1:5">
      <c r="A3" s="2" t="s">
        <v>90</v>
      </c>
      <c r="B3" s="3" t="s">
        <v>86</v>
      </c>
      <c r="C3" s="2">
        <f>排水管道工程量1!J27</f>
        <v>2174</v>
      </c>
      <c r="D3" s="4">
        <v>1000</v>
      </c>
      <c r="E3" s="3">
        <v>961.76</v>
      </c>
    </row>
    <row r="4" spans="1:5">
      <c r="A4" s="2" t="s">
        <v>92</v>
      </c>
      <c r="B4" s="3" t="s">
        <v>86</v>
      </c>
      <c r="C4" s="2">
        <f>排水管道工程量1!J28</f>
        <v>996</v>
      </c>
      <c r="D4" s="4">
        <v>10000</v>
      </c>
      <c r="E4" s="5"/>
    </row>
    <row r="7" spans="1:5">
      <c r="A7" t="s">
        <v>339</v>
      </c>
      <c r="B7" t="s">
        <v>340</v>
      </c>
      <c r="D7" t="s">
        <v>341</v>
      </c>
      <c r="E7" t="s">
        <v>342</v>
      </c>
    </row>
    <row r="8" spans="2:5">
      <c r="B8">
        <v>1177</v>
      </c>
      <c r="C8">
        <f>ROUND(B8/40,0)</f>
        <v>29</v>
      </c>
      <c r="D8">
        <v>45</v>
      </c>
      <c r="E8" s="6">
        <f>B8/45</f>
        <v>26.1555555555556</v>
      </c>
    </row>
    <row r="9" spans="3:5">
      <c r="C9">
        <v>30</v>
      </c>
      <c r="E9">
        <v>30</v>
      </c>
    </row>
  </sheetData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5" sqref="G15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zoomScale="55" zoomScaleNormal="55" workbookViewId="0">
      <selection activeCell="G10" sqref="G10"/>
    </sheetView>
  </sheetViews>
  <sheetFormatPr defaultColWidth="20.775" defaultRowHeight="40.2" customHeight="1"/>
  <cols>
    <col min="1" max="1" width="11.6666666666667" customWidth="1"/>
    <col min="2" max="2" width="21.3666666666667" customWidth="1"/>
    <col min="3" max="3" width="15.9083333333333" customWidth="1"/>
    <col min="4" max="4" width="15.6833333333333" customWidth="1"/>
    <col min="5" max="5" width="15.225" customWidth="1"/>
    <col min="6" max="6" width="17.0333333333333" customWidth="1"/>
    <col min="7" max="7" width="16.1333333333333" customWidth="1"/>
    <col min="8" max="8" width="16.1083333333333" customWidth="1"/>
  </cols>
  <sheetData>
    <row r="1" ht="38.4" customHeight="1" spans="1:11">
      <c r="A1" s="195" t="s">
        <v>37</v>
      </c>
      <c r="B1" s="196"/>
      <c r="C1" s="196"/>
      <c r="D1" s="196"/>
      <c r="E1" s="196"/>
      <c r="F1" s="196"/>
      <c r="G1" s="196"/>
      <c r="H1" s="196"/>
      <c r="I1" s="202"/>
      <c r="J1" s="202"/>
      <c r="K1" s="202"/>
    </row>
    <row r="2" ht="27.6" customHeight="1" spans="1:8">
      <c r="A2" s="197" t="s">
        <v>38</v>
      </c>
      <c r="B2" s="197" t="s">
        <v>39</v>
      </c>
      <c r="C2" s="197" t="s">
        <v>40</v>
      </c>
      <c r="D2" s="197"/>
      <c r="E2" s="197"/>
      <c r="F2" s="197"/>
      <c r="G2" s="197"/>
      <c r="H2" s="198" t="s">
        <v>41</v>
      </c>
    </row>
    <row r="3" customHeight="1" spans="1:8">
      <c r="A3" s="197"/>
      <c r="B3" s="197"/>
      <c r="C3" s="197" t="str">
        <f>估算明细表!C3</f>
        <v>建筑工程</v>
      </c>
      <c r="D3" s="197" t="str">
        <f>估算明细表!D3</f>
        <v>安装工程</v>
      </c>
      <c r="E3" s="197" t="str">
        <f>估算明细表!E3</f>
        <v>设备采购</v>
      </c>
      <c r="F3" s="197" t="str">
        <f>估算明细表!F3</f>
        <v>其他费用</v>
      </c>
      <c r="G3" s="197" t="s">
        <v>42</v>
      </c>
      <c r="H3" s="198"/>
    </row>
    <row r="4" customHeight="1" spans="1:8">
      <c r="A4" s="197" t="s">
        <v>8</v>
      </c>
      <c r="B4" s="197" t="s">
        <v>43</v>
      </c>
      <c r="C4" s="199">
        <f>一级明细汇总表!C4</f>
        <v>4794.7359154192</v>
      </c>
      <c r="D4" s="199">
        <f>一级明细汇总表!D4</f>
        <v>0</v>
      </c>
      <c r="E4" s="199">
        <f>一级明细汇总表!E4</f>
        <v>0</v>
      </c>
      <c r="F4" s="199">
        <f>一级明细汇总表!F4</f>
        <v>0</v>
      </c>
      <c r="G4" s="199">
        <f>C4+D4+E4+F4</f>
        <v>4794.7359154192</v>
      </c>
      <c r="H4" s="198">
        <f>G4/G10</f>
        <v>0.874787317333473</v>
      </c>
    </row>
    <row r="5" customHeight="1" spans="1:8">
      <c r="A5" s="197"/>
      <c r="B5" s="197"/>
      <c r="C5" s="199"/>
      <c r="D5" s="199"/>
      <c r="E5" s="199"/>
      <c r="F5" s="199"/>
      <c r="G5" s="199"/>
      <c r="H5" s="198"/>
    </row>
    <row r="6" customHeight="1" spans="1:8">
      <c r="A6" s="197" t="s">
        <v>18</v>
      </c>
      <c r="B6" s="197" t="s">
        <v>44</v>
      </c>
      <c r="C6" s="199"/>
      <c r="D6" s="199"/>
      <c r="E6" s="199"/>
      <c r="F6" s="199">
        <f>一级明细汇总表!F49</f>
        <v>425.293075697683</v>
      </c>
      <c r="G6" s="199">
        <f>F6</f>
        <v>425.293075697683</v>
      </c>
      <c r="H6" s="198">
        <f>G6/G10</f>
        <v>0.0775936350474791</v>
      </c>
    </row>
    <row r="7" customHeight="1" spans="1:8">
      <c r="A7" s="197"/>
      <c r="B7" s="197"/>
      <c r="C7" s="199"/>
      <c r="D7" s="199"/>
      <c r="E7" s="199"/>
      <c r="F7" s="199"/>
      <c r="G7" s="199"/>
      <c r="H7" s="198"/>
    </row>
    <row r="8" customHeight="1" spans="1:8">
      <c r="A8" s="197" t="s">
        <v>30</v>
      </c>
      <c r="B8" s="197" t="s">
        <v>45</v>
      </c>
      <c r="C8" s="199"/>
      <c r="D8" s="199"/>
      <c r="E8" s="199"/>
      <c r="F8" s="199">
        <f>一级明细汇总表!F65</f>
        <v>261.001449555844</v>
      </c>
      <c r="G8" s="199">
        <f>F8</f>
        <v>261.001449555844</v>
      </c>
      <c r="H8" s="198">
        <f>G8/G10</f>
        <v>0.0476190476190476</v>
      </c>
    </row>
    <row r="9" customHeight="1" spans="1:8">
      <c r="A9" s="197"/>
      <c r="B9" s="197"/>
      <c r="C9" s="199"/>
      <c r="D9" s="199"/>
      <c r="E9" s="199"/>
      <c r="F9" s="199"/>
      <c r="G9" s="199"/>
      <c r="H9" s="198"/>
    </row>
    <row r="10" customHeight="1" spans="1:8">
      <c r="A10" s="197" t="s">
        <v>32</v>
      </c>
      <c r="B10" s="200" t="s">
        <v>46</v>
      </c>
      <c r="C10" s="199">
        <f>C4</f>
        <v>4794.7359154192</v>
      </c>
      <c r="D10" s="199">
        <f>D4</f>
        <v>0</v>
      </c>
      <c r="E10" s="199">
        <f>E4</f>
        <v>0</v>
      </c>
      <c r="F10" s="199">
        <f>F4+F6+F8</f>
        <v>686.294525253527</v>
      </c>
      <c r="G10" s="199">
        <f>G4+G6+G8</f>
        <v>5481.03044067273</v>
      </c>
      <c r="H10" s="198">
        <f>H4+H6+H8</f>
        <v>1</v>
      </c>
    </row>
    <row r="11" customHeight="1" spans="1:8">
      <c r="A11" s="198"/>
      <c r="B11" s="198" t="s">
        <v>47</v>
      </c>
      <c r="C11" s="198">
        <f>C10/G10</f>
        <v>0.874787317333473</v>
      </c>
      <c r="D11" s="198">
        <f>D10/G10</f>
        <v>0</v>
      </c>
      <c r="E11" s="198">
        <f>E10/G10</f>
        <v>0</v>
      </c>
      <c r="F11" s="198">
        <f>F10/G10</f>
        <v>0.125212682666527</v>
      </c>
      <c r="G11" s="198">
        <f>F11+E11+D11+C11</f>
        <v>1</v>
      </c>
      <c r="H11" s="198"/>
    </row>
    <row r="15" customHeight="1" spans="6:7">
      <c r="F15" s="201">
        <f>G10*0.7</f>
        <v>3836.72130847091</v>
      </c>
      <c r="G15" s="201">
        <f>G10*0.3</f>
        <v>1644.30913220182</v>
      </c>
    </row>
    <row r="30" customHeight="1" spans="6:8">
      <c r="F30">
        <f>G4*1.3/100</f>
        <v>62.3315669004496</v>
      </c>
      <c r="H30" t="s">
        <v>48</v>
      </c>
    </row>
    <row r="31" customHeight="1" spans="6:9">
      <c r="F31">
        <f>G4*0.25/100</f>
        <v>11.986839788548</v>
      </c>
      <c r="H31" t="s">
        <v>49</v>
      </c>
      <c r="I31">
        <v>1444</v>
      </c>
    </row>
    <row r="32" customHeight="1" spans="9:9">
      <c r="I32">
        <v>640</v>
      </c>
    </row>
    <row r="33" customHeight="1" spans="6:8">
      <c r="F33">
        <f>G4*0.32/100</f>
        <v>15.3431549293414</v>
      </c>
      <c r="H33" t="s">
        <v>50</v>
      </c>
    </row>
    <row r="34" ht="24.6" customHeight="1" spans="6:8">
      <c r="F34">
        <f>G4*0.45/100</f>
        <v>21.5763116193864</v>
      </c>
      <c r="H34" t="s">
        <v>51</v>
      </c>
    </row>
    <row r="36" ht="25.2" customHeight="1" spans="6:8">
      <c r="F36">
        <f>G4*0.35/100</f>
        <v>16.7815757039672</v>
      </c>
      <c r="H36" t="s">
        <v>52</v>
      </c>
    </row>
    <row r="37" customHeight="1" spans="6:8">
      <c r="F37">
        <f>G4*0.2/100</f>
        <v>9.5894718308384</v>
      </c>
      <c r="H37" t="s">
        <v>53</v>
      </c>
    </row>
    <row r="40" customHeight="1" spans="8:8">
      <c r="H40" t="s">
        <v>54</v>
      </c>
    </row>
    <row r="41" customHeight="1" spans="2:10">
      <c r="B41" s="118" t="s">
        <v>55</v>
      </c>
      <c r="C41" s="122"/>
      <c r="D41" s="122"/>
      <c r="E41" s="122"/>
      <c r="F41" s="120">
        <f>G4*0.35/100</f>
        <v>16.7815757039672</v>
      </c>
      <c r="G41" s="115">
        <f>C41+F41</f>
        <v>16.7815757039672</v>
      </c>
      <c r="H41" s="121" t="s">
        <v>52</v>
      </c>
      <c r="I41" s="121"/>
      <c r="J41" s="129"/>
    </row>
    <row r="42" customHeight="1" spans="2:10">
      <c r="B42" s="118" t="s">
        <v>56</v>
      </c>
      <c r="C42" s="122"/>
      <c r="D42" s="122"/>
      <c r="E42" s="122"/>
      <c r="F42" s="120">
        <f>G4*0.2/100</f>
        <v>9.5894718308384</v>
      </c>
      <c r="G42" s="115">
        <f>C42+F42</f>
        <v>9.5894718308384</v>
      </c>
      <c r="H42" s="121" t="s">
        <v>53</v>
      </c>
      <c r="I42" s="121"/>
      <c r="J42" s="129"/>
    </row>
    <row r="43" customHeight="1" spans="6:8">
      <c r="F43">
        <f>G4*0.15/100</f>
        <v>7.1921038731288</v>
      </c>
      <c r="H43" t="s">
        <v>57</v>
      </c>
    </row>
    <row r="44" customHeight="1" spans="6:8">
      <c r="F44">
        <f>G4*0.3/100</f>
        <v>14.3842077462576</v>
      </c>
      <c r="H44" t="s">
        <v>58</v>
      </c>
    </row>
    <row r="73" customHeight="1" spans="2:3">
      <c r="B73" t="s">
        <v>59</v>
      </c>
      <c r="C73">
        <f>SUM(C74:C77)</f>
        <v>0</v>
      </c>
    </row>
    <row r="74" customHeight="1" spans="10:10">
      <c r="J74">
        <v>3617</v>
      </c>
    </row>
    <row r="78" customHeight="1" spans="1:3">
      <c r="A78">
        <v>5</v>
      </c>
      <c r="B78" t="s">
        <v>60</v>
      </c>
      <c r="C78">
        <f>SUM(C79:C82)</f>
        <v>0</v>
      </c>
    </row>
    <row r="79" customHeight="1" spans="10:10">
      <c r="J79">
        <v>3617</v>
      </c>
    </row>
    <row r="80" customHeight="1" spans="2:2">
      <c r="B80" t="s">
        <v>61</v>
      </c>
    </row>
  </sheetData>
  <mergeCells count="7">
    <mergeCell ref="A1:H1"/>
    <mergeCell ref="C2:G2"/>
    <mergeCell ref="H41:J41"/>
    <mergeCell ref="H42:J42"/>
    <mergeCell ref="A2:A3"/>
    <mergeCell ref="B2:B3"/>
    <mergeCell ref="H2:H3"/>
  </mergeCells>
  <printOptions horizontalCentered="1" verticalCentered="1"/>
  <pageMargins left="0.708661417322835" right="0.905511811023622" top="0.748031496062992" bottom="0.748031496062992" header="0.31496062992126" footer="0.3149606299212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6"/>
  <sheetViews>
    <sheetView tabSelected="1" zoomScale="70" zoomScaleNormal="70" workbookViewId="0">
      <selection activeCell="B4" sqref="B4"/>
    </sheetView>
  </sheetViews>
  <sheetFormatPr defaultColWidth="9" defaultRowHeight="13.5"/>
  <cols>
    <col min="1" max="1" width="8.89166666666667" style="135" customWidth="1"/>
    <col min="2" max="2" width="38.4083333333333" style="136" customWidth="1"/>
    <col min="3" max="3" width="11.0666666666667" style="134" customWidth="1"/>
    <col min="4" max="4" width="10.5833333333333" style="134" customWidth="1"/>
    <col min="5" max="5" width="10.8833333333333" style="134" customWidth="1"/>
    <col min="6" max="6" width="10.3" style="134" customWidth="1"/>
    <col min="7" max="7" width="12.35" style="134" customWidth="1"/>
    <col min="8" max="8" width="6" style="134" customWidth="1"/>
    <col min="9" max="9" width="9.10833333333333" style="137" customWidth="1"/>
    <col min="10" max="10" width="10.8833333333333" style="138" customWidth="1"/>
    <col min="11" max="11" width="8.38333333333333" style="134" customWidth="1"/>
    <col min="12" max="12" width="12.8916666666667" style="134"/>
    <col min="13" max="13" width="13.75" style="134"/>
    <col min="14" max="14" width="11.95" style="134" customWidth="1"/>
    <col min="15" max="15" width="11.7833333333333" style="134" customWidth="1"/>
    <col min="16" max="16" width="9.99166666666667" style="134" customWidth="1"/>
    <col min="17" max="17" width="10.35" style="134" customWidth="1"/>
    <col min="18" max="16384" width="9" style="134"/>
  </cols>
  <sheetData>
    <row r="1" ht="38.4" customHeight="1" spans="1:11">
      <c r="A1" s="139" t="s">
        <v>62</v>
      </c>
      <c r="B1" s="140"/>
      <c r="C1" s="140"/>
      <c r="D1" s="140"/>
      <c r="E1" s="140"/>
      <c r="F1" s="140"/>
      <c r="G1" s="140"/>
      <c r="H1" s="140"/>
      <c r="I1" s="140"/>
      <c r="J1" s="171"/>
      <c r="K1" s="140"/>
    </row>
    <row r="2" ht="27.6" customHeight="1" spans="1:11">
      <c r="A2" s="141" t="s">
        <v>38</v>
      </c>
      <c r="B2" s="142" t="s">
        <v>39</v>
      </c>
      <c r="C2" s="142" t="s">
        <v>40</v>
      </c>
      <c r="D2" s="142"/>
      <c r="E2" s="142"/>
      <c r="F2" s="142"/>
      <c r="G2" s="142"/>
      <c r="H2" s="142" t="s">
        <v>7</v>
      </c>
      <c r="I2" s="142"/>
      <c r="J2" s="172"/>
      <c r="K2" s="173"/>
    </row>
    <row r="3" ht="27" spans="1:11">
      <c r="A3" s="143"/>
      <c r="B3" s="142"/>
      <c r="C3" s="144" t="s">
        <v>63</v>
      </c>
      <c r="D3" s="144" t="s">
        <v>64</v>
      </c>
      <c r="E3" s="144" t="s">
        <v>65</v>
      </c>
      <c r="F3" s="145" t="s">
        <v>66</v>
      </c>
      <c r="G3" s="145" t="s">
        <v>42</v>
      </c>
      <c r="H3" s="145" t="s">
        <v>4</v>
      </c>
      <c r="I3" s="174" t="s">
        <v>67</v>
      </c>
      <c r="J3" s="175" t="s">
        <v>68</v>
      </c>
      <c r="K3" s="176" t="s">
        <v>69</v>
      </c>
    </row>
    <row r="4" ht="34.95" customHeight="1" spans="1:11">
      <c r="A4" s="141" t="s">
        <v>70</v>
      </c>
      <c r="B4" s="146" t="s">
        <v>71</v>
      </c>
      <c r="C4" s="147">
        <f>C5+C28+C32+C46</f>
        <v>4794.7359154192</v>
      </c>
      <c r="D4" s="147">
        <f>D5+D28+D32+D46</f>
        <v>0</v>
      </c>
      <c r="E4" s="147">
        <f>E5+E28+E32+E46</f>
        <v>0</v>
      </c>
      <c r="F4" s="147">
        <f>F5+F28+F32+F46</f>
        <v>0</v>
      </c>
      <c r="G4" s="148">
        <f t="shared" ref="G4:G16" si="0">C4+D4+E4+F4</f>
        <v>4794.7359154192</v>
      </c>
      <c r="H4" s="149"/>
      <c r="I4" s="177"/>
      <c r="J4" s="178"/>
      <c r="K4" s="179">
        <f>G4/G66</f>
        <v>0.874787317333473</v>
      </c>
    </row>
    <row r="5" ht="34.95" customHeight="1" spans="1:12">
      <c r="A5" s="141" t="s">
        <v>8</v>
      </c>
      <c r="B5" s="146" t="s">
        <v>72</v>
      </c>
      <c r="C5" s="147">
        <f>C6+C17</f>
        <v>2347.0859154192</v>
      </c>
      <c r="D5" s="147">
        <f>D6</f>
        <v>0</v>
      </c>
      <c r="E5" s="147">
        <f>E6</f>
        <v>0</v>
      </c>
      <c r="F5" s="147">
        <f>F6</f>
        <v>0</v>
      </c>
      <c r="G5" s="148">
        <f t="shared" si="0"/>
        <v>2347.0859154192</v>
      </c>
      <c r="H5" s="149"/>
      <c r="I5" s="177">
        <f>I6+I17</f>
        <v>3603</v>
      </c>
      <c r="J5" s="178"/>
      <c r="K5" s="179"/>
      <c r="L5" s="134">
        <f>I16+I27</f>
        <v>38721</v>
      </c>
    </row>
    <row r="6" ht="34.95" customHeight="1" spans="1:16">
      <c r="A6" s="150" t="s">
        <v>73</v>
      </c>
      <c r="B6" s="146" t="str">
        <f>管道最新工程量估算明细!B4</f>
        <v>翰林大街（德源路-鼓楼西街）</v>
      </c>
      <c r="C6" s="147">
        <f>SUM(C7:C16)</f>
        <v>1589.4975200298</v>
      </c>
      <c r="D6" s="147"/>
      <c r="E6" s="147"/>
      <c r="F6" s="147"/>
      <c r="G6" s="148">
        <f t="shared" si="0"/>
        <v>1589.4975200298</v>
      </c>
      <c r="H6" s="149"/>
      <c r="I6" s="177">
        <f>I7+I8+I9</f>
        <v>2292</v>
      </c>
      <c r="J6" s="178"/>
      <c r="K6" s="179"/>
      <c r="M6" s="180"/>
      <c r="N6" s="181"/>
      <c r="O6" s="181"/>
      <c r="P6" s="181"/>
    </row>
    <row r="7" s="134" customFormat="1" ht="34.95" customHeight="1" spans="1:16">
      <c r="A7" s="150" t="s">
        <v>74</v>
      </c>
      <c r="B7" s="151" t="s">
        <v>75</v>
      </c>
      <c r="C7" s="152">
        <f>I7*J7/10000</f>
        <v>797.3748</v>
      </c>
      <c r="D7" s="147"/>
      <c r="E7" s="147"/>
      <c r="F7" s="147"/>
      <c r="G7" s="149">
        <f t="shared" si="0"/>
        <v>797.3748</v>
      </c>
      <c r="H7" s="153" t="s">
        <v>15</v>
      </c>
      <c r="I7" s="182">
        <f>管道最新工程量估算明细!D5</f>
        <v>1212</v>
      </c>
      <c r="J7" s="178">
        <f>管道最新工程量估算明细!F5*1.02</f>
        <v>6579</v>
      </c>
      <c r="K7" s="179"/>
      <c r="M7" s="180"/>
      <c r="N7" s="181"/>
      <c r="O7" s="181"/>
      <c r="P7" s="181"/>
    </row>
    <row r="8" s="134" customFormat="1" ht="34.95" customHeight="1" spans="1:16">
      <c r="A8" s="150" t="s">
        <v>76</v>
      </c>
      <c r="B8" s="151" t="s">
        <v>77</v>
      </c>
      <c r="C8" s="152">
        <f t="shared" ref="C8:C16" si="1">I8*J8/10000</f>
        <v>98.006351058</v>
      </c>
      <c r="D8" s="147"/>
      <c r="E8" s="147"/>
      <c r="F8" s="147"/>
      <c r="G8" s="149">
        <f t="shared" si="0"/>
        <v>98.006351058</v>
      </c>
      <c r="H8" s="153" t="s">
        <v>15</v>
      </c>
      <c r="I8" s="182">
        <f>管道最新工程量估算明细!D6</f>
        <v>495</v>
      </c>
      <c r="J8" s="178">
        <f>管道最新工程量估算明细!F6*1.02</f>
        <v>1979.926284</v>
      </c>
      <c r="K8" s="179"/>
      <c r="M8" s="180"/>
      <c r="N8" s="181"/>
      <c r="O8" s="181"/>
      <c r="P8" s="181"/>
    </row>
    <row r="9" s="134" customFormat="1" ht="34.95" customHeight="1" spans="1:16">
      <c r="A9" s="150" t="s">
        <v>78</v>
      </c>
      <c r="B9" s="151" t="s">
        <v>79</v>
      </c>
      <c r="C9" s="152">
        <f t="shared" si="1"/>
        <v>94.39794</v>
      </c>
      <c r="D9" s="147"/>
      <c r="E9" s="147"/>
      <c r="F9" s="147"/>
      <c r="G9" s="149">
        <f t="shared" si="0"/>
        <v>94.39794</v>
      </c>
      <c r="H9" s="153" t="s">
        <v>15</v>
      </c>
      <c r="I9" s="182">
        <f>管道最新工程量估算明细!D7</f>
        <v>585</v>
      </c>
      <c r="J9" s="178">
        <f>管道最新工程量估算明细!F7*1.02</f>
        <v>1613.64</v>
      </c>
      <c r="K9" s="179"/>
      <c r="M9" s="180"/>
      <c r="N9" s="181"/>
      <c r="O9" s="181"/>
      <c r="P9" s="181"/>
    </row>
    <row r="10" s="134" customFormat="1" ht="34.95" customHeight="1" spans="1:16">
      <c r="A10" s="150" t="s">
        <v>80</v>
      </c>
      <c r="B10" s="151" t="s">
        <v>81</v>
      </c>
      <c r="C10" s="152">
        <f t="shared" si="1"/>
        <v>72.473059482</v>
      </c>
      <c r="D10" s="147"/>
      <c r="E10" s="154"/>
      <c r="F10" s="147"/>
      <c r="G10" s="149">
        <f>C10+D10+F10</f>
        <v>72.473059482</v>
      </c>
      <c r="H10" s="153" t="s">
        <v>15</v>
      </c>
      <c r="I10" s="182">
        <f>管道最新工程量估算明细!D8</f>
        <v>477.5</v>
      </c>
      <c r="J10" s="178">
        <f>管道最新工程量估算明细!F8*1.02</f>
        <v>1517.760408</v>
      </c>
      <c r="K10" s="179"/>
      <c r="M10" s="180"/>
      <c r="N10" s="181"/>
      <c r="O10" s="181"/>
      <c r="P10" s="181"/>
    </row>
    <row r="11" s="134" customFormat="1" ht="34.95" customHeight="1" spans="1:16">
      <c r="A11" s="150" t="s">
        <v>82</v>
      </c>
      <c r="B11" s="151" t="s">
        <v>83</v>
      </c>
      <c r="C11" s="152">
        <f t="shared" si="1"/>
        <v>101.0542814898</v>
      </c>
      <c r="D11" s="147"/>
      <c r="E11" s="147"/>
      <c r="F11" s="147"/>
      <c r="G11" s="149">
        <f t="shared" si="0"/>
        <v>101.0542814898</v>
      </c>
      <c r="H11" s="153" t="s">
        <v>15</v>
      </c>
      <c r="I11" s="182">
        <f>管道最新工程量估算明细!D9</f>
        <v>1098.25</v>
      </c>
      <c r="J11" s="178">
        <f>管道最新工程量估算明细!F9*1.02</f>
        <v>920.139144</v>
      </c>
      <c r="K11" s="179"/>
      <c r="M11" s="180"/>
      <c r="N11" s="181"/>
      <c r="O11" s="181"/>
      <c r="P11" s="181"/>
    </row>
    <row r="12" s="134" customFormat="1" ht="34.95" customHeight="1" spans="1:16">
      <c r="A12" s="150" t="s">
        <v>84</v>
      </c>
      <c r="B12" s="151" t="s">
        <v>85</v>
      </c>
      <c r="C12" s="152">
        <f t="shared" si="1"/>
        <v>43.7835</v>
      </c>
      <c r="D12" s="147"/>
      <c r="E12" s="147"/>
      <c r="F12" s="147"/>
      <c r="G12" s="149">
        <f t="shared" si="0"/>
        <v>43.7835</v>
      </c>
      <c r="H12" s="153" t="s">
        <v>86</v>
      </c>
      <c r="I12" s="182">
        <f>管道最新工程量估算明细!D10</f>
        <v>25.25</v>
      </c>
      <c r="J12" s="178">
        <f>管道最新工程量估算明细!F10*1.02</f>
        <v>17340</v>
      </c>
      <c r="K12" s="179"/>
      <c r="M12" s="180"/>
      <c r="N12" s="181"/>
      <c r="O12" s="181"/>
      <c r="P12" s="181"/>
    </row>
    <row r="13" s="134" customFormat="1" ht="34.95" customHeight="1" spans="1:16">
      <c r="A13" s="150" t="s">
        <v>87</v>
      </c>
      <c r="B13" s="151" t="s">
        <v>88</v>
      </c>
      <c r="C13" s="152">
        <f t="shared" si="1"/>
        <v>17.901</v>
      </c>
      <c r="D13" s="147"/>
      <c r="E13" s="147"/>
      <c r="F13" s="147"/>
      <c r="G13" s="149">
        <f t="shared" si="0"/>
        <v>17.901</v>
      </c>
      <c r="H13" s="153" t="s">
        <v>86</v>
      </c>
      <c r="I13" s="182">
        <f>管道最新工程量估算明细!D11</f>
        <v>22.5</v>
      </c>
      <c r="J13" s="178">
        <f>管道最新工程量估算明细!F11*1.02</f>
        <v>7956</v>
      </c>
      <c r="K13" s="179"/>
      <c r="M13" s="180"/>
      <c r="N13" s="181"/>
      <c r="O13" s="181"/>
      <c r="P13" s="181"/>
    </row>
    <row r="14" s="134" customFormat="1" ht="34.95" customHeight="1" spans="1:16">
      <c r="A14" s="150" t="s">
        <v>89</v>
      </c>
      <c r="B14" s="151" t="s">
        <v>90</v>
      </c>
      <c r="C14" s="152">
        <f t="shared" si="1"/>
        <v>9.741</v>
      </c>
      <c r="D14" s="147"/>
      <c r="E14" s="147"/>
      <c r="F14" s="147"/>
      <c r="G14" s="149">
        <f t="shared" si="0"/>
        <v>9.741</v>
      </c>
      <c r="H14" s="153" t="s">
        <v>86</v>
      </c>
      <c r="I14" s="182">
        <f>管道最新工程量估算明细!D12</f>
        <v>95.5</v>
      </c>
      <c r="J14" s="178">
        <f>管道最新工程量估算明细!F12*1.02</f>
        <v>1020</v>
      </c>
      <c r="K14" s="179"/>
      <c r="M14" s="180"/>
      <c r="N14" s="181"/>
      <c r="O14" s="181"/>
      <c r="P14" s="181"/>
    </row>
    <row r="15" s="134" customFormat="1" ht="34.95" customHeight="1" spans="1:16">
      <c r="A15" s="150" t="s">
        <v>91</v>
      </c>
      <c r="B15" s="151" t="s">
        <v>92</v>
      </c>
      <c r="C15" s="152">
        <f t="shared" si="1"/>
        <v>77.928</v>
      </c>
      <c r="D15" s="147"/>
      <c r="E15" s="147"/>
      <c r="F15" s="147"/>
      <c r="G15" s="149">
        <f t="shared" si="0"/>
        <v>77.928</v>
      </c>
      <c r="H15" s="153" t="s">
        <v>86</v>
      </c>
      <c r="I15" s="182">
        <f>管道最新工程量估算明细!D13</f>
        <v>76.4</v>
      </c>
      <c r="J15" s="178">
        <f>管道最新工程量估算明细!F13*1.02</f>
        <v>10200</v>
      </c>
      <c r="K15" s="179"/>
      <c r="M15" s="180"/>
      <c r="N15" s="181"/>
      <c r="O15" s="181"/>
      <c r="P15" s="181"/>
    </row>
    <row r="16" s="134" customFormat="1" ht="34.95" customHeight="1" spans="1:16">
      <c r="A16" s="150" t="s">
        <v>93</v>
      </c>
      <c r="B16" s="151" t="s">
        <v>94</v>
      </c>
      <c r="C16" s="152">
        <f t="shared" si="1"/>
        <v>276.837588</v>
      </c>
      <c r="D16" s="147"/>
      <c r="E16" s="147"/>
      <c r="F16" s="147"/>
      <c r="G16" s="149">
        <f t="shared" si="0"/>
        <v>276.837588</v>
      </c>
      <c r="H16" s="153" t="s">
        <v>95</v>
      </c>
      <c r="I16" s="182">
        <f>管道最新工程量估算明细!D14</f>
        <v>25130.5</v>
      </c>
      <c r="J16" s="178">
        <f>管道最新工程量估算明细!F14*1.02</f>
        <v>110.16</v>
      </c>
      <c r="K16" s="179"/>
      <c r="M16" s="180"/>
      <c r="N16" s="181"/>
      <c r="O16" s="181"/>
      <c r="P16" s="181"/>
    </row>
    <row r="17" s="134" customFormat="1" ht="34.95" customHeight="1" spans="1:16">
      <c r="A17" s="150" t="s">
        <v>96</v>
      </c>
      <c r="B17" s="146" t="str">
        <f>管道最新工程量估算明细!B15</f>
        <v>永安街（109国道-发行路、西环路-怀远大街）</v>
      </c>
      <c r="C17" s="147">
        <f>SUM(C18:C27)</f>
        <v>757.5883953894</v>
      </c>
      <c r="D17" s="147"/>
      <c r="E17" s="147"/>
      <c r="F17" s="147"/>
      <c r="G17" s="148">
        <f t="shared" ref="G17:G27" si="2">C17+D17+E17+F17</f>
        <v>757.5883953894</v>
      </c>
      <c r="H17" s="149"/>
      <c r="I17" s="177">
        <f>I18+I19+I20</f>
        <v>1311</v>
      </c>
      <c r="J17" s="178">
        <f>管道最新工程量估算明细!F15*1.02</f>
        <v>0</v>
      </c>
      <c r="K17" s="179"/>
      <c r="M17" s="180"/>
      <c r="N17" s="181"/>
      <c r="O17" s="181"/>
      <c r="P17" s="181"/>
    </row>
    <row r="18" s="134" customFormat="1" ht="34.95" customHeight="1" spans="1:11">
      <c r="A18" s="150" t="s">
        <v>97</v>
      </c>
      <c r="B18" s="151" t="s">
        <v>98</v>
      </c>
      <c r="C18" s="152">
        <f t="shared" ref="C18:C27" si="3">I18*J18/10000</f>
        <v>166.52513115</v>
      </c>
      <c r="D18" s="155"/>
      <c r="E18" s="155"/>
      <c r="F18" s="155"/>
      <c r="G18" s="149">
        <f t="shared" si="2"/>
        <v>166.52513115</v>
      </c>
      <c r="H18" s="153" t="s">
        <v>15</v>
      </c>
      <c r="I18" s="182">
        <f>管道最新工程量估算明细!D16</f>
        <v>531</v>
      </c>
      <c r="J18" s="178">
        <f>管道最新工程量估算明细!F16*1.02</f>
        <v>3136.0665</v>
      </c>
      <c r="K18" s="179"/>
    </row>
    <row r="19" s="134" customFormat="1" ht="34.95" customHeight="1" spans="1:11">
      <c r="A19" s="150" t="s">
        <v>99</v>
      </c>
      <c r="B19" s="151" t="s">
        <v>77</v>
      </c>
      <c r="C19" s="152">
        <f t="shared" si="3"/>
        <v>82.5629260428</v>
      </c>
      <c r="D19" s="155"/>
      <c r="E19" s="155"/>
      <c r="F19" s="155"/>
      <c r="G19" s="149">
        <f t="shared" si="2"/>
        <v>82.5629260428</v>
      </c>
      <c r="H19" s="153" t="s">
        <v>15</v>
      </c>
      <c r="I19" s="182">
        <f>管道最新工程量估算明细!D17</f>
        <v>417</v>
      </c>
      <c r="J19" s="178">
        <f>管道最新工程量估算明细!F17*1.02</f>
        <v>1979.926284</v>
      </c>
      <c r="K19" s="179"/>
    </row>
    <row r="20" s="134" customFormat="1" ht="34.95" customHeight="1" spans="1:11">
      <c r="A20" s="150" t="s">
        <v>100</v>
      </c>
      <c r="B20" s="151" t="s">
        <v>79</v>
      </c>
      <c r="C20" s="152">
        <f t="shared" si="3"/>
        <v>58.575132</v>
      </c>
      <c r="D20" s="155"/>
      <c r="E20" s="155"/>
      <c r="F20" s="155"/>
      <c r="G20" s="149">
        <f t="shared" si="2"/>
        <v>58.575132</v>
      </c>
      <c r="H20" s="153" t="s">
        <v>15</v>
      </c>
      <c r="I20" s="182">
        <f>管道最新工程量估算明细!D18</f>
        <v>363</v>
      </c>
      <c r="J20" s="178">
        <f>管道最新工程量估算明细!F18*1.02</f>
        <v>1613.64</v>
      </c>
      <c r="K20" s="179"/>
    </row>
    <row r="21" s="134" customFormat="1" ht="34.95" customHeight="1" spans="1:11">
      <c r="A21" s="150" t="s">
        <v>101</v>
      </c>
      <c r="B21" s="151" t="s">
        <v>81</v>
      </c>
      <c r="C21" s="152">
        <f t="shared" si="3"/>
        <v>132.6522596592</v>
      </c>
      <c r="D21" s="155"/>
      <c r="E21" s="155"/>
      <c r="F21" s="155"/>
      <c r="G21" s="149">
        <f t="shared" si="2"/>
        <v>132.6522596592</v>
      </c>
      <c r="H21" s="153" t="s">
        <v>15</v>
      </c>
      <c r="I21" s="182">
        <f>管道最新工程量估算明细!D19</f>
        <v>874</v>
      </c>
      <c r="J21" s="178">
        <f>管道最新工程量估算明细!F19*1.02</f>
        <v>1517.760408</v>
      </c>
      <c r="K21" s="179"/>
    </row>
    <row r="22" s="134" customFormat="1" ht="34.95" customHeight="1" spans="1:11">
      <c r="A22" s="150" t="s">
        <v>102</v>
      </c>
      <c r="B22" s="151" t="s">
        <v>83</v>
      </c>
      <c r="C22" s="152">
        <f t="shared" si="3"/>
        <v>71.1476860374</v>
      </c>
      <c r="D22" s="155"/>
      <c r="E22" s="155"/>
      <c r="F22" s="155"/>
      <c r="G22" s="149">
        <f t="shared" si="2"/>
        <v>71.1476860374</v>
      </c>
      <c r="H22" s="153" t="s">
        <v>15</v>
      </c>
      <c r="I22" s="182">
        <f>管道最新工程量估算明细!D20</f>
        <v>764.75</v>
      </c>
      <c r="J22" s="178">
        <f>管道最新工程量估算明细!F20*1.02</f>
        <v>930.339144</v>
      </c>
      <c r="K22" s="179"/>
    </row>
    <row r="23" s="134" customFormat="1" ht="34.95" customHeight="1" spans="1:11">
      <c r="A23" s="150" t="s">
        <v>103</v>
      </c>
      <c r="B23" s="151" t="s">
        <v>104</v>
      </c>
      <c r="C23" s="152">
        <f t="shared" si="3"/>
        <v>10.4938875</v>
      </c>
      <c r="D23" s="155"/>
      <c r="E23" s="155"/>
      <c r="F23" s="155"/>
      <c r="G23" s="149">
        <f t="shared" si="2"/>
        <v>10.4938875</v>
      </c>
      <c r="H23" s="153" t="s">
        <v>86</v>
      </c>
      <c r="I23" s="182">
        <f>管道最新工程量估算明细!D21</f>
        <v>11.0625</v>
      </c>
      <c r="J23" s="178">
        <f>管道最新工程量估算明细!F21*1.02</f>
        <v>9486</v>
      </c>
      <c r="K23" s="179"/>
    </row>
    <row r="24" s="134" customFormat="1" ht="34.95" customHeight="1" spans="1:11">
      <c r="A24" s="150" t="s">
        <v>105</v>
      </c>
      <c r="B24" s="151" t="s">
        <v>88</v>
      </c>
      <c r="C24" s="152">
        <f t="shared" si="3"/>
        <v>12.9285</v>
      </c>
      <c r="D24" s="155"/>
      <c r="E24" s="155"/>
      <c r="F24" s="155"/>
      <c r="G24" s="149">
        <f t="shared" si="2"/>
        <v>12.9285</v>
      </c>
      <c r="H24" s="153" t="s">
        <v>86</v>
      </c>
      <c r="I24" s="182">
        <f>管道最新工程量估算明细!D22</f>
        <v>16.25</v>
      </c>
      <c r="J24" s="178">
        <f>管道最新工程量估算明细!F22*1.02</f>
        <v>7956</v>
      </c>
      <c r="K24" s="179"/>
    </row>
    <row r="25" s="134" customFormat="1" ht="34.95" customHeight="1" spans="1:11">
      <c r="A25" s="150" t="s">
        <v>106</v>
      </c>
      <c r="B25" s="151" t="s">
        <v>90</v>
      </c>
      <c r="C25" s="152">
        <f t="shared" si="3"/>
        <v>6.128925</v>
      </c>
      <c r="D25" s="155"/>
      <c r="E25" s="155"/>
      <c r="F25" s="155"/>
      <c r="G25" s="149">
        <f t="shared" si="2"/>
        <v>6.128925</v>
      </c>
      <c r="H25" s="153" t="s">
        <v>86</v>
      </c>
      <c r="I25" s="182">
        <f>管道最新工程量估算明细!D23</f>
        <v>54.625</v>
      </c>
      <c r="J25" s="178">
        <f>管道最新工程量估算明细!F23*1.02</f>
        <v>1122</v>
      </c>
      <c r="K25" s="179"/>
    </row>
    <row r="26" s="134" customFormat="1" ht="34.95" customHeight="1" spans="1:11">
      <c r="A26" s="150" t="s">
        <v>107</v>
      </c>
      <c r="B26" s="151" t="s">
        <v>92</v>
      </c>
      <c r="C26" s="152">
        <f t="shared" si="3"/>
        <v>66.861</v>
      </c>
      <c r="D26" s="155"/>
      <c r="E26" s="155"/>
      <c r="F26" s="155"/>
      <c r="G26" s="149">
        <f t="shared" si="2"/>
        <v>66.861</v>
      </c>
      <c r="H26" s="153" t="s">
        <v>86</v>
      </c>
      <c r="I26" s="182">
        <f>管道最新工程量估算明细!D24</f>
        <v>43.7</v>
      </c>
      <c r="J26" s="178">
        <f>管道最新工程量估算明细!F24*1.02</f>
        <v>15300</v>
      </c>
      <c r="K26" s="179"/>
    </row>
    <row r="27" s="134" customFormat="1" ht="34.95" customHeight="1" spans="1:11">
      <c r="A27" s="150" t="s">
        <v>108</v>
      </c>
      <c r="B27" s="151" t="s">
        <v>94</v>
      </c>
      <c r="C27" s="152">
        <f t="shared" si="3"/>
        <v>149.712948</v>
      </c>
      <c r="D27" s="155"/>
      <c r="E27" s="155"/>
      <c r="F27" s="155"/>
      <c r="G27" s="149">
        <f t="shared" si="2"/>
        <v>149.712948</v>
      </c>
      <c r="H27" s="156" t="s">
        <v>95</v>
      </c>
      <c r="I27" s="182">
        <f>管道最新工程量估算明细!D25</f>
        <v>13590.5</v>
      </c>
      <c r="J27" s="178">
        <f>管道最新工程量估算明细!F25*1.02</f>
        <v>110.16</v>
      </c>
      <c r="K27" s="179"/>
    </row>
    <row r="28" ht="34.95" customHeight="1" spans="1:11">
      <c r="A28" s="157" t="s">
        <v>18</v>
      </c>
      <c r="B28" s="158" t="s">
        <v>109</v>
      </c>
      <c r="C28" s="155">
        <f t="shared" ref="C28:F28" si="4">C29+C30+C31</f>
        <v>493.7</v>
      </c>
      <c r="D28" s="155">
        <f t="shared" si="4"/>
        <v>0</v>
      </c>
      <c r="E28" s="155">
        <f t="shared" si="4"/>
        <v>0</v>
      </c>
      <c r="F28" s="155">
        <f t="shared" si="4"/>
        <v>0</v>
      </c>
      <c r="G28" s="148">
        <f>F28+E28+D28+C28</f>
        <v>493.7</v>
      </c>
      <c r="H28" s="155"/>
      <c r="I28" s="183"/>
      <c r="J28" s="183"/>
      <c r="K28" s="179"/>
    </row>
    <row r="29" ht="34.95" customHeight="1" spans="1:11">
      <c r="A29" s="150" t="s">
        <v>110</v>
      </c>
      <c r="B29" s="159" t="s">
        <v>111</v>
      </c>
      <c r="C29" s="152">
        <f t="shared" ref="C29:C31" si="5">I29*J29/10000</f>
        <v>487.2</v>
      </c>
      <c r="D29" s="160"/>
      <c r="E29" s="160"/>
      <c r="F29" s="160"/>
      <c r="G29" s="149">
        <f t="shared" ref="G29:G32" si="6">C29+D29+E29+F29</f>
        <v>487.2</v>
      </c>
      <c r="H29" s="160" t="str">
        <f>排水管道工程量1!C204</f>
        <v>米</v>
      </c>
      <c r="I29" s="184">
        <f>排水管道工程量1!D204</f>
        <v>840</v>
      </c>
      <c r="J29" s="184">
        <v>5800</v>
      </c>
      <c r="K29" s="179"/>
    </row>
    <row r="30" ht="34.95" customHeight="1" spans="1:11">
      <c r="A30" s="150" t="s">
        <v>112</v>
      </c>
      <c r="B30" s="159" t="s">
        <v>113</v>
      </c>
      <c r="C30" s="152">
        <f t="shared" si="5"/>
        <v>1.5</v>
      </c>
      <c r="D30" s="160"/>
      <c r="E30" s="160"/>
      <c r="F30" s="160"/>
      <c r="G30" s="149">
        <f t="shared" si="6"/>
        <v>1.5</v>
      </c>
      <c r="H30" s="160" t="str">
        <f>排水管道工程量1!C205</f>
        <v>台</v>
      </c>
      <c r="I30" s="184">
        <f>排水管道工程量1!D205</f>
        <v>3</v>
      </c>
      <c r="J30" s="184">
        <v>5000</v>
      </c>
      <c r="K30" s="179"/>
    </row>
    <row r="31" ht="34.95" customHeight="1" spans="1:11">
      <c r="A31" s="150" t="s">
        <v>114</v>
      </c>
      <c r="B31" s="159" t="s">
        <v>115</v>
      </c>
      <c r="C31" s="152">
        <f t="shared" si="5"/>
        <v>5</v>
      </c>
      <c r="D31" s="160"/>
      <c r="E31" s="160"/>
      <c r="F31" s="160"/>
      <c r="G31" s="149">
        <f t="shared" si="6"/>
        <v>5</v>
      </c>
      <c r="H31" s="160" t="str">
        <f>排水管道工程量1!C206</f>
        <v>米</v>
      </c>
      <c r="I31" s="184">
        <f>排水管道工程量1!D206</f>
        <v>100</v>
      </c>
      <c r="J31" s="184">
        <v>500</v>
      </c>
      <c r="K31" s="179"/>
    </row>
    <row r="32" ht="34.95" customHeight="1" spans="1:13">
      <c r="A32" s="157" t="s">
        <v>30</v>
      </c>
      <c r="B32" s="158" t="s">
        <v>116</v>
      </c>
      <c r="C32" s="147">
        <f>SUM(C33:C45)</f>
        <v>1773.95</v>
      </c>
      <c r="D32" s="155">
        <f t="shared" ref="C32:F32" si="7">D33+D34+D35+D36+D37+D38+D39+D40+D41+D42+D43+D44+D45</f>
        <v>0</v>
      </c>
      <c r="E32" s="155">
        <f t="shared" si="7"/>
        <v>0</v>
      </c>
      <c r="F32" s="155">
        <f t="shared" si="7"/>
        <v>0</v>
      </c>
      <c r="G32" s="148">
        <f t="shared" si="6"/>
        <v>1773.95</v>
      </c>
      <c r="H32" s="155" t="str">
        <f>排水管道工程量1!C208</f>
        <v>座</v>
      </c>
      <c r="I32" s="183">
        <f>排水管道工程量1!D208</f>
        <v>1</v>
      </c>
      <c r="J32" s="183"/>
      <c r="K32" s="179"/>
      <c r="M32" s="134">
        <f>G32/8</f>
        <v>221.74375</v>
      </c>
    </row>
    <row r="33" ht="34.95" customHeight="1" spans="1:11">
      <c r="A33" s="150" t="s">
        <v>110</v>
      </c>
      <c r="B33" s="159" t="s">
        <v>117</v>
      </c>
      <c r="C33" s="152">
        <f t="shared" ref="C33:C45" si="8">I33*J33/10000</f>
        <v>450</v>
      </c>
      <c r="D33" s="160"/>
      <c r="E33" s="160"/>
      <c r="F33" s="160"/>
      <c r="G33" s="149">
        <f t="shared" ref="G33:G45" si="9">C33+D33+E33+F33</f>
        <v>450</v>
      </c>
      <c r="H33" s="160" t="str">
        <f>排水管道工程量1!C209</f>
        <v>立方</v>
      </c>
      <c r="I33" s="184">
        <f>排水管道工程量1!D209</f>
        <v>150000</v>
      </c>
      <c r="J33" s="185">
        <v>30</v>
      </c>
      <c r="K33" s="179"/>
    </row>
    <row r="34" ht="34.95" customHeight="1" spans="1:11">
      <c r="A34" s="150" t="s">
        <v>112</v>
      </c>
      <c r="B34" s="159" t="s">
        <v>118</v>
      </c>
      <c r="C34" s="152">
        <f t="shared" si="8"/>
        <v>150</v>
      </c>
      <c r="D34" s="160"/>
      <c r="E34" s="160"/>
      <c r="F34" s="160"/>
      <c r="G34" s="149">
        <f t="shared" si="9"/>
        <v>150</v>
      </c>
      <c r="H34" s="160" t="str">
        <f>排水管道工程量1!C210</f>
        <v>立方</v>
      </c>
      <c r="I34" s="184">
        <f>排水管道工程量1!D210</f>
        <v>30000</v>
      </c>
      <c r="J34" s="185">
        <v>50</v>
      </c>
      <c r="K34" s="179"/>
    </row>
    <row r="35" ht="34.95" customHeight="1" spans="1:11">
      <c r="A35" s="150" t="s">
        <v>114</v>
      </c>
      <c r="B35" s="159" t="s">
        <v>119</v>
      </c>
      <c r="C35" s="152">
        <f t="shared" si="8"/>
        <v>120</v>
      </c>
      <c r="D35" s="160"/>
      <c r="E35" s="160"/>
      <c r="F35" s="160"/>
      <c r="G35" s="149">
        <f t="shared" si="9"/>
        <v>120</v>
      </c>
      <c r="H35" s="160" t="str">
        <f>排水管道工程量1!C211</f>
        <v>立方</v>
      </c>
      <c r="I35" s="184">
        <f>排水管道工程量1!D211</f>
        <v>8000</v>
      </c>
      <c r="J35" s="184">
        <v>150</v>
      </c>
      <c r="K35" s="179"/>
    </row>
    <row r="36" ht="34.95" customHeight="1" spans="1:11">
      <c r="A36" s="150" t="s">
        <v>120</v>
      </c>
      <c r="B36" s="159" t="s">
        <v>121</v>
      </c>
      <c r="C36" s="152">
        <f t="shared" si="8"/>
        <v>256</v>
      </c>
      <c r="D36" s="160"/>
      <c r="E36" s="160"/>
      <c r="F36" s="160"/>
      <c r="G36" s="149">
        <f t="shared" si="9"/>
        <v>256</v>
      </c>
      <c r="H36" s="160" t="str">
        <f>排水管道工程量1!C212</f>
        <v>平米</v>
      </c>
      <c r="I36" s="184">
        <f>排水管道工程量1!D212</f>
        <v>32000</v>
      </c>
      <c r="J36" s="184">
        <v>80</v>
      </c>
      <c r="K36" s="179"/>
    </row>
    <row r="37" ht="34.95" customHeight="1" spans="1:11">
      <c r="A37" s="150" t="s">
        <v>122</v>
      </c>
      <c r="B37" s="159" t="s">
        <v>123</v>
      </c>
      <c r="C37" s="152">
        <f t="shared" si="8"/>
        <v>192</v>
      </c>
      <c r="D37" s="160"/>
      <c r="E37" s="160"/>
      <c r="F37" s="160"/>
      <c r="G37" s="149">
        <f t="shared" si="9"/>
        <v>192</v>
      </c>
      <c r="H37" s="160" t="str">
        <f>排水管道工程量1!C213</f>
        <v>立方</v>
      </c>
      <c r="I37" s="184">
        <f>排水管道工程量1!D213</f>
        <v>32000</v>
      </c>
      <c r="J37" s="184">
        <v>60</v>
      </c>
      <c r="K37" s="179"/>
    </row>
    <row r="38" ht="34.95" customHeight="1" spans="1:11">
      <c r="A38" s="150" t="s">
        <v>124</v>
      </c>
      <c r="B38" s="159" t="s">
        <v>125</v>
      </c>
      <c r="C38" s="152">
        <f t="shared" si="8"/>
        <v>294.45</v>
      </c>
      <c r="D38" s="160"/>
      <c r="E38" s="160"/>
      <c r="F38" s="160"/>
      <c r="G38" s="149">
        <f t="shared" si="9"/>
        <v>294.45</v>
      </c>
      <c r="H38" s="160" t="str">
        <f>排水管道工程量1!C214</f>
        <v>立方</v>
      </c>
      <c r="I38" s="184">
        <f>排水管道工程量1!D214</f>
        <v>6500</v>
      </c>
      <c r="J38" s="184">
        <v>453</v>
      </c>
      <c r="K38" s="179"/>
    </row>
    <row r="39" ht="34.95" customHeight="1" spans="1:11">
      <c r="A39" s="150" t="s">
        <v>126</v>
      </c>
      <c r="B39" s="159" t="s">
        <v>127</v>
      </c>
      <c r="C39" s="152">
        <f t="shared" si="8"/>
        <v>55</v>
      </c>
      <c r="D39" s="160"/>
      <c r="E39" s="160"/>
      <c r="F39" s="160"/>
      <c r="G39" s="149">
        <f t="shared" si="9"/>
        <v>55</v>
      </c>
      <c r="H39" s="160" t="str">
        <f>排水管道工程量1!C215</f>
        <v>平米</v>
      </c>
      <c r="I39" s="184">
        <f>排水管道工程量1!D215</f>
        <v>1000</v>
      </c>
      <c r="J39" s="184">
        <v>550</v>
      </c>
      <c r="K39" s="179"/>
    </row>
    <row r="40" ht="34.95" customHeight="1" spans="1:11">
      <c r="A40" s="150" t="s">
        <v>128</v>
      </c>
      <c r="B40" s="159" t="s">
        <v>129</v>
      </c>
      <c r="C40" s="152">
        <f t="shared" si="8"/>
        <v>17.5</v>
      </c>
      <c r="D40" s="160"/>
      <c r="E40" s="160"/>
      <c r="F40" s="160"/>
      <c r="G40" s="149">
        <f t="shared" si="9"/>
        <v>17.5</v>
      </c>
      <c r="H40" s="160" t="str">
        <f>排水管道工程量1!C216</f>
        <v>米</v>
      </c>
      <c r="I40" s="184">
        <f>排水管道工程量1!D216</f>
        <v>700</v>
      </c>
      <c r="J40" s="184">
        <v>250</v>
      </c>
      <c r="K40" s="179"/>
    </row>
    <row r="41" ht="34.95" customHeight="1" spans="1:11">
      <c r="A41" s="150" t="s">
        <v>130</v>
      </c>
      <c r="B41" s="159" t="s">
        <v>131</v>
      </c>
      <c r="C41" s="152">
        <f t="shared" si="8"/>
        <v>50</v>
      </c>
      <c r="D41" s="160"/>
      <c r="E41" s="160"/>
      <c r="F41" s="160"/>
      <c r="G41" s="149">
        <f t="shared" si="9"/>
        <v>50</v>
      </c>
      <c r="H41" s="160" t="str">
        <f>排水管道工程量1!C217</f>
        <v>项</v>
      </c>
      <c r="I41" s="184">
        <f>排水管道工程量1!D217</f>
        <v>1</v>
      </c>
      <c r="J41" s="184">
        <v>500000</v>
      </c>
      <c r="K41" s="179"/>
    </row>
    <row r="42" ht="34.95" customHeight="1" spans="1:11">
      <c r="A42" s="150" t="s">
        <v>132</v>
      </c>
      <c r="B42" s="159" t="s">
        <v>133</v>
      </c>
      <c r="C42" s="152">
        <f t="shared" si="8"/>
        <v>24</v>
      </c>
      <c r="D42" s="160"/>
      <c r="E42" s="160"/>
      <c r="F42" s="160"/>
      <c r="G42" s="149">
        <f t="shared" si="9"/>
        <v>24</v>
      </c>
      <c r="H42" s="160" t="str">
        <f>排水管道工程量1!C218</f>
        <v>平米</v>
      </c>
      <c r="I42" s="184">
        <v>1200</v>
      </c>
      <c r="J42" s="184">
        <v>200</v>
      </c>
      <c r="K42" s="179"/>
    </row>
    <row r="43" ht="34.95" customHeight="1" spans="1:11">
      <c r="A43" s="150" t="s">
        <v>134</v>
      </c>
      <c r="B43" s="159" t="s">
        <v>135</v>
      </c>
      <c r="C43" s="152">
        <f t="shared" si="8"/>
        <v>95</v>
      </c>
      <c r="D43" s="160"/>
      <c r="E43" s="160"/>
      <c r="F43" s="160"/>
      <c r="G43" s="149">
        <f t="shared" si="9"/>
        <v>95</v>
      </c>
      <c r="H43" s="160" t="str">
        <f>排水管道工程量1!C219</f>
        <v>米</v>
      </c>
      <c r="I43" s="184">
        <f>排水管道工程量1!D219</f>
        <v>500</v>
      </c>
      <c r="J43" s="184">
        <v>1900</v>
      </c>
      <c r="K43" s="179"/>
    </row>
    <row r="44" ht="34.95" customHeight="1" spans="1:11">
      <c r="A44" s="150" t="s">
        <v>136</v>
      </c>
      <c r="B44" s="159" t="s">
        <v>137</v>
      </c>
      <c r="C44" s="152">
        <f t="shared" si="8"/>
        <v>20</v>
      </c>
      <c r="D44" s="160"/>
      <c r="E44" s="160"/>
      <c r="F44" s="160"/>
      <c r="G44" s="149">
        <f t="shared" si="9"/>
        <v>20</v>
      </c>
      <c r="H44" s="160" t="str">
        <f>排水管道工程量1!C220</f>
        <v>台</v>
      </c>
      <c r="I44" s="184">
        <f>排水管道工程量1!D220</f>
        <v>2</v>
      </c>
      <c r="J44" s="184">
        <v>100000</v>
      </c>
      <c r="K44" s="179"/>
    </row>
    <row r="45" ht="34.95" customHeight="1" spans="1:11">
      <c r="A45" s="150" t="s">
        <v>138</v>
      </c>
      <c r="B45" s="159" t="s">
        <v>139</v>
      </c>
      <c r="C45" s="152">
        <f t="shared" si="8"/>
        <v>50</v>
      </c>
      <c r="D45" s="160"/>
      <c r="E45" s="160"/>
      <c r="F45" s="160"/>
      <c r="G45" s="149">
        <f t="shared" si="9"/>
        <v>50</v>
      </c>
      <c r="H45" s="160" t="str">
        <f>排水管道工程量1!C221</f>
        <v>项</v>
      </c>
      <c r="I45" s="184">
        <f>排水管道工程量1!D221</f>
        <v>1</v>
      </c>
      <c r="J45" s="184">
        <v>500000</v>
      </c>
      <c r="K45" s="179"/>
    </row>
    <row r="46" ht="34.95" customHeight="1" spans="1:11">
      <c r="A46" s="157" t="s">
        <v>32</v>
      </c>
      <c r="B46" s="158" t="s">
        <v>140</v>
      </c>
      <c r="C46" s="155">
        <f t="shared" ref="C46:F46" si="10">C47+C48</f>
        <v>180</v>
      </c>
      <c r="D46" s="155">
        <f t="shared" si="10"/>
        <v>0</v>
      </c>
      <c r="E46" s="155">
        <f t="shared" si="10"/>
        <v>0</v>
      </c>
      <c r="F46" s="155">
        <f t="shared" si="10"/>
        <v>0</v>
      </c>
      <c r="G46" s="148">
        <f>F46+E46+D46+C46</f>
        <v>180</v>
      </c>
      <c r="H46" s="155"/>
      <c r="I46" s="183"/>
      <c r="J46" s="183"/>
      <c r="K46" s="179"/>
    </row>
    <row r="47" ht="34.95" customHeight="1" spans="1:11">
      <c r="A47" s="150" t="s">
        <v>110</v>
      </c>
      <c r="B47" s="159" t="s">
        <v>141</v>
      </c>
      <c r="C47" s="152">
        <f>I47*J47/10000</f>
        <v>50</v>
      </c>
      <c r="D47" s="160"/>
      <c r="E47" s="160"/>
      <c r="F47" s="160"/>
      <c r="G47" s="149">
        <f>C47+D47+E47+F47</f>
        <v>50</v>
      </c>
      <c r="H47" s="160" t="str">
        <f>排水管道工程量1!C223</f>
        <v>辆</v>
      </c>
      <c r="I47" s="184">
        <f>排水管道工程量1!D223</f>
        <v>1</v>
      </c>
      <c r="J47" s="184">
        <v>500000</v>
      </c>
      <c r="K47" s="179"/>
    </row>
    <row r="48" ht="34.95" customHeight="1" spans="1:11">
      <c r="A48" s="150" t="s">
        <v>112</v>
      </c>
      <c r="B48" s="159" t="s">
        <v>142</v>
      </c>
      <c r="C48" s="152">
        <f>I48*J48/10000</f>
        <v>130</v>
      </c>
      <c r="D48" s="160"/>
      <c r="E48" s="160"/>
      <c r="F48" s="160"/>
      <c r="G48" s="149">
        <f>C48+D48+E48+F48</f>
        <v>130</v>
      </c>
      <c r="H48" s="160" t="str">
        <f>排水管道工程量1!C224</f>
        <v>辆</v>
      </c>
      <c r="I48" s="184">
        <f>排水管道工程量1!D224</f>
        <v>1</v>
      </c>
      <c r="J48" s="184">
        <v>1300000</v>
      </c>
      <c r="K48" s="179"/>
    </row>
    <row r="49" ht="34.95" customHeight="1" spans="1:11">
      <c r="A49" s="157" t="s">
        <v>143</v>
      </c>
      <c r="B49" s="161" t="s">
        <v>66</v>
      </c>
      <c r="C49" s="162"/>
      <c r="D49" s="162"/>
      <c r="E49" s="162"/>
      <c r="F49" s="163">
        <f>SUM(F50:F64)</f>
        <v>425.293075697683</v>
      </c>
      <c r="G49" s="163">
        <f t="shared" ref="G49:G53" si="11">C49+F49</f>
        <v>425.293075697683</v>
      </c>
      <c r="H49" s="164"/>
      <c r="I49" s="184"/>
      <c r="J49" s="186"/>
      <c r="K49" s="179">
        <f>G49/G66</f>
        <v>0.0775936350474791</v>
      </c>
    </row>
    <row r="50" ht="34.95" customHeight="1" spans="1:11">
      <c r="A50" s="165">
        <v>1</v>
      </c>
      <c r="B50" s="166" t="s">
        <v>144</v>
      </c>
      <c r="C50" s="167"/>
      <c r="D50" s="167"/>
      <c r="E50" s="167"/>
      <c r="F50" s="168">
        <f>G4*1.3/100</f>
        <v>62.3315669004496</v>
      </c>
      <c r="G50" s="162">
        <f t="shared" si="11"/>
        <v>62.3315669004496</v>
      </c>
      <c r="H50" s="169" t="s">
        <v>48</v>
      </c>
      <c r="I50" s="169"/>
      <c r="J50" s="169"/>
      <c r="K50" s="187"/>
    </row>
    <row r="51" ht="34.95" customHeight="1" spans="1:11">
      <c r="A51" s="165">
        <v>2</v>
      </c>
      <c r="B51" s="166" t="s">
        <v>145</v>
      </c>
      <c r="C51" s="167"/>
      <c r="D51" s="167"/>
      <c r="E51" s="167"/>
      <c r="F51" s="168">
        <f>G4*0.25/100</f>
        <v>11.986839788548</v>
      </c>
      <c r="G51" s="162">
        <f t="shared" si="11"/>
        <v>11.986839788548</v>
      </c>
      <c r="H51" s="169" t="s">
        <v>49</v>
      </c>
      <c r="I51" s="169"/>
      <c r="J51" s="169"/>
      <c r="K51" s="187"/>
    </row>
    <row r="52" ht="34.95" customHeight="1" spans="1:11">
      <c r="A52" s="165">
        <v>3</v>
      </c>
      <c r="B52" s="166" t="s">
        <v>23</v>
      </c>
      <c r="C52" s="167"/>
      <c r="D52" s="167"/>
      <c r="E52" s="167"/>
      <c r="F52" s="168">
        <f>G4*2.5/100</f>
        <v>119.86839788548</v>
      </c>
      <c r="G52" s="162">
        <f t="shared" si="11"/>
        <v>119.86839788548</v>
      </c>
      <c r="H52" s="169" t="s">
        <v>146</v>
      </c>
      <c r="I52" s="169"/>
      <c r="J52" s="169"/>
      <c r="K52" s="187"/>
    </row>
    <row r="53" ht="34.95" customHeight="1" spans="1:11">
      <c r="A53" s="165">
        <v>4</v>
      </c>
      <c r="B53" s="166" t="s">
        <v>147</v>
      </c>
      <c r="C53" s="167"/>
      <c r="D53" s="167"/>
      <c r="E53" s="167"/>
      <c r="F53" s="168">
        <f>G4*0.32/100</f>
        <v>15.3431549293414</v>
      </c>
      <c r="G53" s="162">
        <f t="shared" si="11"/>
        <v>15.3431549293414</v>
      </c>
      <c r="H53" s="169" t="s">
        <v>50</v>
      </c>
      <c r="I53" s="169"/>
      <c r="J53" s="169"/>
      <c r="K53" s="187"/>
    </row>
    <row r="54" ht="34.95" customHeight="1" spans="1:11">
      <c r="A54" s="165">
        <v>5</v>
      </c>
      <c r="B54" s="166" t="s">
        <v>148</v>
      </c>
      <c r="C54" s="167"/>
      <c r="D54" s="167"/>
      <c r="E54" s="167"/>
      <c r="F54" s="168">
        <f>G4*0.45/100</f>
        <v>21.5763116193864</v>
      </c>
      <c r="G54" s="162">
        <f t="shared" ref="G54:G65" si="12">C54+F54</f>
        <v>21.5763116193864</v>
      </c>
      <c r="H54" s="169" t="s">
        <v>51</v>
      </c>
      <c r="I54" s="169"/>
      <c r="J54" s="184"/>
      <c r="K54" s="187"/>
    </row>
    <row r="55" ht="34.95" customHeight="1" spans="1:11">
      <c r="A55" s="165">
        <v>6</v>
      </c>
      <c r="B55" s="166" t="s">
        <v>27</v>
      </c>
      <c r="C55" s="170"/>
      <c r="D55" s="170"/>
      <c r="E55" s="170"/>
      <c r="F55" s="168">
        <f>G4*1.5/100</f>
        <v>71.921038731288</v>
      </c>
      <c r="G55" s="162">
        <f t="shared" si="12"/>
        <v>71.921038731288</v>
      </c>
      <c r="H55" s="169" t="s">
        <v>149</v>
      </c>
      <c r="I55" s="169"/>
      <c r="J55" s="184"/>
      <c r="K55" s="179"/>
    </row>
    <row r="56" ht="34.95" customHeight="1" spans="1:11">
      <c r="A56" s="165">
        <v>7</v>
      </c>
      <c r="B56" s="166" t="s">
        <v>150</v>
      </c>
      <c r="C56" s="170"/>
      <c r="D56" s="170"/>
      <c r="E56" s="170"/>
      <c r="F56" s="168">
        <f>G4*0.35/100</f>
        <v>16.7815757039672</v>
      </c>
      <c r="G56" s="162">
        <f t="shared" si="12"/>
        <v>16.7815757039672</v>
      </c>
      <c r="H56" s="169" t="s">
        <v>52</v>
      </c>
      <c r="I56" s="169"/>
      <c r="J56" s="184"/>
      <c r="K56" s="179"/>
    </row>
    <row r="57" ht="34.95" customHeight="1" spans="1:11">
      <c r="A57" s="165">
        <v>8</v>
      </c>
      <c r="B57" s="166" t="s">
        <v>28</v>
      </c>
      <c r="C57" s="170"/>
      <c r="D57" s="170"/>
      <c r="E57" s="170"/>
      <c r="F57" s="168">
        <f>G4*0.2/100</f>
        <v>9.5894718308384</v>
      </c>
      <c r="G57" s="162">
        <f t="shared" si="12"/>
        <v>9.5894718308384</v>
      </c>
      <c r="H57" s="169" t="s">
        <v>53</v>
      </c>
      <c r="I57" s="169"/>
      <c r="J57" s="184"/>
      <c r="K57" s="179"/>
    </row>
    <row r="58" ht="34.95" customHeight="1" spans="1:11">
      <c r="A58" s="165">
        <v>9</v>
      </c>
      <c r="B58" s="166" t="s">
        <v>25</v>
      </c>
      <c r="C58" s="170"/>
      <c r="D58" s="170"/>
      <c r="E58" s="170"/>
      <c r="F58" s="168">
        <f>G4*0.15/100</f>
        <v>7.1921038731288</v>
      </c>
      <c r="G58" s="162">
        <f t="shared" si="12"/>
        <v>7.1921038731288</v>
      </c>
      <c r="H58" s="169" t="s">
        <v>57</v>
      </c>
      <c r="I58" s="169"/>
      <c r="J58" s="184"/>
      <c r="K58" s="187"/>
    </row>
    <row r="59" ht="34.95" customHeight="1" spans="1:11">
      <c r="A59" s="165">
        <v>10</v>
      </c>
      <c r="B59" s="166" t="s">
        <v>151</v>
      </c>
      <c r="C59" s="170"/>
      <c r="D59" s="170"/>
      <c r="E59" s="170"/>
      <c r="F59" s="168">
        <f>G4*0.5/100</f>
        <v>23.973679577096</v>
      </c>
      <c r="G59" s="162">
        <f t="shared" si="12"/>
        <v>23.973679577096</v>
      </c>
      <c r="H59" s="169" t="s">
        <v>152</v>
      </c>
      <c r="I59" s="169"/>
      <c r="J59" s="184"/>
      <c r="K59" s="187"/>
    </row>
    <row r="60" ht="34.95" customHeight="1" spans="1:11">
      <c r="A60" s="165">
        <v>11</v>
      </c>
      <c r="B60" s="166" t="s">
        <v>153</v>
      </c>
      <c r="C60" s="170"/>
      <c r="D60" s="170"/>
      <c r="E60" s="170"/>
      <c r="F60" s="168">
        <f>G4*0.25/100</f>
        <v>11.986839788548</v>
      </c>
      <c r="G60" s="162">
        <f t="shared" si="12"/>
        <v>11.986839788548</v>
      </c>
      <c r="H60" s="169" t="s">
        <v>54</v>
      </c>
      <c r="I60" s="169"/>
      <c r="J60" s="184"/>
      <c r="K60" s="187"/>
    </row>
    <row r="61" ht="34.95" customHeight="1" spans="1:11">
      <c r="A61" s="165">
        <v>12</v>
      </c>
      <c r="B61" s="166" t="s">
        <v>55</v>
      </c>
      <c r="C61" s="170"/>
      <c r="D61" s="170"/>
      <c r="E61" s="170"/>
      <c r="F61" s="168">
        <f>G4*0.45/100</f>
        <v>21.5763116193864</v>
      </c>
      <c r="G61" s="162">
        <f t="shared" si="12"/>
        <v>21.5763116193864</v>
      </c>
      <c r="H61" s="169" t="s">
        <v>51</v>
      </c>
      <c r="I61" s="169"/>
      <c r="J61" s="184"/>
      <c r="K61" s="187"/>
    </row>
    <row r="62" ht="34.95" customHeight="1" spans="1:11">
      <c r="A62" s="165">
        <v>13</v>
      </c>
      <c r="B62" s="166" t="s">
        <v>56</v>
      </c>
      <c r="C62" s="170"/>
      <c r="D62" s="170"/>
      <c r="E62" s="170"/>
      <c r="F62" s="168">
        <f>G4*0.2/100</f>
        <v>9.5894718308384</v>
      </c>
      <c r="G62" s="162">
        <f t="shared" si="12"/>
        <v>9.5894718308384</v>
      </c>
      <c r="H62" s="169" t="s">
        <v>53</v>
      </c>
      <c r="I62" s="169"/>
      <c r="J62" s="184"/>
      <c r="K62" s="187"/>
    </row>
    <row r="63" ht="34.95" customHeight="1" spans="1:11">
      <c r="A63" s="165">
        <v>14</v>
      </c>
      <c r="B63" s="166" t="s">
        <v>154</v>
      </c>
      <c r="C63" s="170"/>
      <c r="D63" s="170"/>
      <c r="E63" s="170"/>
      <c r="F63" s="168">
        <f>G4*0.15/100</f>
        <v>7.1921038731288</v>
      </c>
      <c r="G63" s="162">
        <f t="shared" si="12"/>
        <v>7.1921038731288</v>
      </c>
      <c r="H63" s="169" t="s">
        <v>57</v>
      </c>
      <c r="I63" s="169"/>
      <c r="J63" s="184"/>
      <c r="K63" s="187"/>
    </row>
    <row r="64" ht="34.95" customHeight="1" spans="1:11">
      <c r="A64" s="165">
        <v>15</v>
      </c>
      <c r="B64" s="166" t="s">
        <v>155</v>
      </c>
      <c r="C64" s="170"/>
      <c r="D64" s="170"/>
      <c r="E64" s="170"/>
      <c r="F64" s="168">
        <f>G4*0.3/100</f>
        <v>14.3842077462576</v>
      </c>
      <c r="G64" s="162">
        <f t="shared" si="12"/>
        <v>14.3842077462576</v>
      </c>
      <c r="H64" s="169" t="s">
        <v>58</v>
      </c>
      <c r="I64" s="169"/>
      <c r="J64" s="184"/>
      <c r="K64" s="187"/>
    </row>
    <row r="65" ht="34.95" customHeight="1" spans="1:11">
      <c r="A65" s="157" t="s">
        <v>156</v>
      </c>
      <c r="B65" s="161" t="s">
        <v>157</v>
      </c>
      <c r="C65" s="170"/>
      <c r="D65" s="170"/>
      <c r="E65" s="170"/>
      <c r="F65" s="188">
        <f>(G4+F49)*5/100</f>
        <v>261.001449555844</v>
      </c>
      <c r="G65" s="163">
        <f t="shared" si="12"/>
        <v>261.001449555844</v>
      </c>
      <c r="H65" s="189" t="s">
        <v>158</v>
      </c>
      <c r="I65" s="189"/>
      <c r="J65" s="192"/>
      <c r="K65" s="179">
        <f>G65/G66</f>
        <v>0.0476190476190476</v>
      </c>
    </row>
    <row r="66" ht="34.95" customHeight="1" spans="1:11">
      <c r="A66" s="157" t="s">
        <v>159</v>
      </c>
      <c r="B66" s="161" t="s">
        <v>36</v>
      </c>
      <c r="C66" s="188">
        <f>C4</f>
        <v>4794.7359154192</v>
      </c>
      <c r="D66" s="188"/>
      <c r="E66" s="188"/>
      <c r="F66" s="190">
        <f>F49+F65</f>
        <v>686.294525253527</v>
      </c>
      <c r="G66" s="188">
        <f>SUM(G65+G49+G4)</f>
        <v>5481.03044067273</v>
      </c>
      <c r="H66" s="191"/>
      <c r="I66" s="191"/>
      <c r="J66" s="193"/>
      <c r="K66" s="194"/>
    </row>
  </sheetData>
  <mergeCells count="22">
    <mergeCell ref="A1:K1"/>
    <mergeCell ref="C2:G2"/>
    <mergeCell ref="H2:J2"/>
    <mergeCell ref="H50:J50"/>
    <mergeCell ref="H51:J51"/>
    <mergeCell ref="H52:J52"/>
    <mergeCell ref="H53:J53"/>
    <mergeCell ref="H54:J54"/>
    <mergeCell ref="H55:J55"/>
    <mergeCell ref="H56:J56"/>
    <mergeCell ref="H57:J57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A2:A3"/>
    <mergeCell ref="B2:B3"/>
  </mergeCells>
  <pageMargins left="0.751388888888889" right="0.751388888888889" top="1" bottom="1" header="0.5" footer="0.5"/>
  <pageSetup paperSize="9" scale="64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9"/>
  <sheetViews>
    <sheetView zoomScale="70" zoomScaleNormal="70" workbookViewId="0">
      <pane ySplit="3" topLeftCell="A58" activePane="bottomLeft" state="frozen"/>
      <selection/>
      <selection pane="bottomLeft" activeCell="A1" sqref="$A1:$XFD1048576"/>
    </sheetView>
  </sheetViews>
  <sheetFormatPr defaultColWidth="9" defaultRowHeight="13.5"/>
  <cols>
    <col min="1" max="1" width="6.33333333333333" style="88" customWidth="1"/>
    <col min="2" max="2" width="38.4083333333333" style="24" customWidth="1"/>
    <col min="3" max="3" width="11.0666666666667" customWidth="1"/>
    <col min="4" max="4" width="10.5833333333333" customWidth="1"/>
    <col min="5" max="5" width="10.8833333333333" customWidth="1"/>
    <col min="6" max="6" width="10.3" customWidth="1"/>
    <col min="7" max="7" width="12.35" customWidth="1"/>
    <col min="8" max="8" width="6" customWidth="1"/>
    <col min="9" max="9" width="9.10833333333333" style="25" customWidth="1"/>
    <col min="10" max="10" width="10.8833333333333" style="89" customWidth="1"/>
    <col min="11" max="11" width="8.38333333333333" customWidth="1"/>
    <col min="12" max="12" width="12.8916666666667"/>
  </cols>
  <sheetData>
    <row r="1" ht="38.4" customHeight="1" spans="1:11">
      <c r="A1" s="90" t="s">
        <v>160</v>
      </c>
      <c r="B1" s="91"/>
      <c r="C1" s="91"/>
      <c r="D1" s="91"/>
      <c r="E1" s="91"/>
      <c r="F1" s="91"/>
      <c r="G1" s="91"/>
      <c r="H1" s="91"/>
      <c r="I1" s="91"/>
      <c r="J1" s="105"/>
      <c r="K1" s="106"/>
    </row>
    <row r="2" ht="27.6" customHeight="1" spans="1:11">
      <c r="A2" s="92" t="s">
        <v>38</v>
      </c>
      <c r="B2" s="93" t="s">
        <v>39</v>
      </c>
      <c r="C2" s="94" t="s">
        <v>161</v>
      </c>
      <c r="D2" s="95"/>
      <c r="E2" s="95"/>
      <c r="F2" s="95"/>
      <c r="G2" s="96"/>
      <c r="H2" s="35" t="s">
        <v>7</v>
      </c>
      <c r="I2" s="35"/>
      <c r="J2" s="107"/>
      <c r="K2" s="108"/>
    </row>
    <row r="3" ht="27" spans="1:11">
      <c r="A3" s="97"/>
      <c r="B3" s="31"/>
      <c r="C3" s="98" t="s">
        <v>63</v>
      </c>
      <c r="D3" s="98" t="s">
        <v>64</v>
      </c>
      <c r="E3" s="98" t="s">
        <v>65</v>
      </c>
      <c r="F3" s="30" t="s">
        <v>66</v>
      </c>
      <c r="G3" s="30" t="s">
        <v>42</v>
      </c>
      <c r="H3" s="30" t="s">
        <v>4</v>
      </c>
      <c r="I3" s="32" t="s">
        <v>67</v>
      </c>
      <c r="J3" s="109" t="s">
        <v>68</v>
      </c>
      <c r="K3" s="33" t="s">
        <v>69</v>
      </c>
    </row>
    <row r="4" ht="34.95" customHeight="1" spans="1:11">
      <c r="A4" s="92" t="s">
        <v>70</v>
      </c>
      <c r="B4" s="99" t="s">
        <v>71</v>
      </c>
      <c r="C4" s="100">
        <f>C5+C175+C205+C209+C223+C226</f>
        <v>20043.1419942578</v>
      </c>
      <c r="D4" s="100">
        <f>D5+D175+D205+D209+D223+D226</f>
        <v>817.45</v>
      </c>
      <c r="E4" s="100">
        <f>E5+E175+E205+E209+E223+E226</f>
        <v>2472.8</v>
      </c>
      <c r="F4" s="100">
        <f>F5+F175+F205+F209+F223+F226</f>
        <v>0</v>
      </c>
      <c r="G4" s="101">
        <f>C4+D4+E4+F4</f>
        <v>23333.3919942578</v>
      </c>
      <c r="H4" s="102"/>
      <c r="I4" s="110"/>
      <c r="J4" s="111"/>
      <c r="K4" s="39">
        <f>G4/G249</f>
        <v>0.858531224780645</v>
      </c>
    </row>
    <row r="5" ht="34.95" customHeight="1" spans="1:11">
      <c r="A5" s="92" t="s">
        <v>8</v>
      </c>
      <c r="B5" s="99" t="s">
        <v>72</v>
      </c>
      <c r="C5" s="100">
        <f>C6+C17+C28+C45+C58+C66+C74+C87+C98+C108+C119+C129+C137+C148+C156+C164</f>
        <v>17408.5019942578</v>
      </c>
      <c r="D5" s="100">
        <f>D6+D17+D28+D45+D58+D66+D74+D87+D98+D108+D119+D129+D137+D148+D156+D164</f>
        <v>0</v>
      </c>
      <c r="E5" s="100">
        <f>E6+E17+E28+E45+E58+E66+E74+E87+E98+E108+E119+E129+E137+E148+E156+E164</f>
        <v>0</v>
      </c>
      <c r="F5" s="100">
        <f>F6+F17+F28+F45+F58+F66+F74+F87+F98+F108+F119+F129+F137+F148+F156+F164</f>
        <v>0</v>
      </c>
      <c r="G5" s="101">
        <f>C5+D5+E5+F5</f>
        <v>17408.5019942578</v>
      </c>
      <c r="H5" s="102"/>
      <c r="I5" s="110"/>
      <c r="J5" s="111"/>
      <c r="K5" s="39"/>
    </row>
    <row r="6" ht="34.95" customHeight="1" spans="1:11">
      <c r="A6" s="92">
        <v>1</v>
      </c>
      <c r="B6" s="36" t="str">
        <f>排水管道工程量1!B4</f>
        <v>民族大街（山水大道-永安西路）</v>
      </c>
      <c r="C6" s="100">
        <f>SUM(C7:C16)</f>
        <v>875.53390474</v>
      </c>
      <c r="D6" s="100">
        <f>SUM(D7:D16)</f>
        <v>0</v>
      </c>
      <c r="E6" s="100">
        <f>SUM(E7:E16)</f>
        <v>0</v>
      </c>
      <c r="F6" s="100">
        <f>SUM(F7:F16)</f>
        <v>0</v>
      </c>
      <c r="G6" s="101">
        <f>C6+D6+E6+F6</f>
        <v>875.53390474</v>
      </c>
      <c r="H6" s="37"/>
      <c r="I6" s="38">
        <f>I7+I8+I9</f>
        <v>1632</v>
      </c>
      <c r="J6" s="111">
        <f>G6/I6*10000</f>
        <v>5364.79108296569</v>
      </c>
      <c r="K6" s="39">
        <f>G6/G249</f>
        <v>0.0322144845360844</v>
      </c>
    </row>
    <row r="7" ht="34.95" customHeight="1" spans="1:11">
      <c r="A7" s="103"/>
      <c r="B7" s="57" t="str">
        <f>排水管道工程量1!B5</f>
        <v>D1000 Ⅱ级钢筋混凝土管道</v>
      </c>
      <c r="C7" s="42">
        <f t="shared" ref="C6:C11" si="0">I7*J7/10000</f>
        <v>170.14569</v>
      </c>
      <c r="D7" s="42"/>
      <c r="E7" s="42"/>
      <c r="F7" s="104"/>
      <c r="G7" s="102">
        <f>C7+D7+E7+F7</f>
        <v>170.14569</v>
      </c>
      <c r="H7" s="42" t="str">
        <f>排水管道工程量1!C5</f>
        <v>米</v>
      </c>
      <c r="I7" s="38">
        <f>排水管道工程量1!D5</f>
        <v>572</v>
      </c>
      <c r="J7" s="38">
        <f>排水管道单价!D14</f>
        <v>2974.575</v>
      </c>
      <c r="K7" s="39"/>
    </row>
    <row r="8" ht="34.95" customHeight="1" spans="1:11">
      <c r="A8" s="103"/>
      <c r="B8" s="57" t="str">
        <f>排水管道工程量1!B6</f>
        <v>D800 Ⅱ级钢筋混凝土管道</v>
      </c>
      <c r="C8" s="42">
        <f t="shared" si="0"/>
        <v>95.20343706</v>
      </c>
      <c r="D8" s="42"/>
      <c r="E8" s="42"/>
      <c r="F8" s="104"/>
      <c r="G8" s="102">
        <f t="shared" ref="G8:G17" si="1">C8+D8+E8+F8</f>
        <v>95.20343706</v>
      </c>
      <c r="H8" s="42" t="str">
        <f>排水管道工程量1!C6</f>
        <v>米</v>
      </c>
      <c r="I8" s="38">
        <f>排水管道工程量1!D6</f>
        <v>493</v>
      </c>
      <c r="J8" s="38">
        <f>排水管道单价!D15</f>
        <v>1931.1042</v>
      </c>
      <c r="K8" s="39"/>
    </row>
    <row r="9" ht="34.95" customHeight="1" spans="1:11">
      <c r="A9" s="103"/>
      <c r="B9" s="57" t="str">
        <f>排水管道工程量1!B7</f>
        <v>D600 Ⅱ级钢筋混凝土管道</v>
      </c>
      <c r="C9" s="42">
        <f t="shared" si="0"/>
        <v>89.69114448</v>
      </c>
      <c r="D9" s="42"/>
      <c r="E9" s="42"/>
      <c r="F9" s="104"/>
      <c r="G9" s="102">
        <f t="shared" si="1"/>
        <v>89.69114448</v>
      </c>
      <c r="H9" s="42" t="str">
        <f>排水管道工程量1!C7</f>
        <v>米</v>
      </c>
      <c r="I9" s="38">
        <f>排水管道工程量1!D7</f>
        <v>567</v>
      </c>
      <c r="J9" s="38">
        <f>排水管道单价!D17</f>
        <v>1581.8544</v>
      </c>
      <c r="K9" s="39"/>
    </row>
    <row r="10" ht="34.95" customHeight="1" spans="1:11">
      <c r="A10" s="103"/>
      <c r="B10" s="57" t="str">
        <f>排水管道工程量1!B8</f>
        <v>D500 Ⅱ级钢筋混凝土管道（预留管）</v>
      </c>
      <c r="C10" s="42">
        <f t="shared" si="0"/>
        <v>93.1140252</v>
      </c>
      <c r="D10" s="42"/>
      <c r="E10" s="42"/>
      <c r="F10" s="104"/>
      <c r="G10" s="102">
        <f t="shared" si="1"/>
        <v>93.1140252</v>
      </c>
      <c r="H10" s="42" t="str">
        <f>排水管道工程量1!C8</f>
        <v>米</v>
      </c>
      <c r="I10" s="38">
        <f>排水管道工程量1!D8</f>
        <v>630</v>
      </c>
      <c r="J10" s="38">
        <f>排水管道单价!D19</f>
        <v>1478.0004</v>
      </c>
      <c r="K10" s="39"/>
    </row>
    <row r="11" ht="34.95" customHeight="1" spans="1:11">
      <c r="A11" s="103"/>
      <c r="B11" s="57" t="str">
        <f>排水管道工程量1!B9</f>
        <v>D300 Ⅱ级钢筋混凝土管道</v>
      </c>
      <c r="C11" s="42">
        <f t="shared" si="0"/>
        <v>126.293608</v>
      </c>
      <c r="D11" s="42"/>
      <c r="E11" s="42"/>
      <c r="F11" s="104"/>
      <c r="G11" s="102">
        <f t="shared" si="1"/>
        <v>126.293608</v>
      </c>
      <c r="H11" s="42" t="str">
        <f>排水管道工程量1!C9</f>
        <v>米</v>
      </c>
      <c r="I11" s="38">
        <f>排水管道工程量1!D9</f>
        <v>1400</v>
      </c>
      <c r="J11" s="38">
        <f>排水管道单价!D20</f>
        <v>902.0972</v>
      </c>
      <c r="K11" s="39"/>
    </row>
    <row r="12" ht="34.95" customHeight="1" spans="1:11">
      <c r="A12" s="103"/>
      <c r="B12" s="57" t="str">
        <f>排水管道工程量1!B10</f>
        <v>1400×1100 矩形钢筋混凝土检查井</v>
      </c>
      <c r="C12" s="42">
        <f t="shared" ref="C12:C14" si="2">I12*J12/10000</f>
        <v>10.23</v>
      </c>
      <c r="D12" s="42"/>
      <c r="E12" s="42"/>
      <c r="F12" s="42"/>
      <c r="G12" s="102">
        <f t="shared" si="1"/>
        <v>10.23</v>
      </c>
      <c r="H12" s="42" t="str">
        <f>排水管道工程量1!C10</f>
        <v>座</v>
      </c>
      <c r="I12" s="38">
        <f>排水管道工程量1!D10</f>
        <v>11</v>
      </c>
      <c r="J12" s="38">
        <f>检查井单价!D10</f>
        <v>9300</v>
      </c>
      <c r="K12" s="39"/>
    </row>
    <row r="13" ht="34.95" customHeight="1" spans="1:11">
      <c r="A13" s="103"/>
      <c r="B13" s="57" t="str">
        <f>排水管道工程量1!B11</f>
        <v>1200×1100 矩形钢筋混凝土检查井</v>
      </c>
      <c r="C13" s="42">
        <f t="shared" ref="C13:C16" si="3">I13*J13/10000</f>
        <v>18.72</v>
      </c>
      <c r="D13" s="42"/>
      <c r="E13" s="42"/>
      <c r="F13" s="42"/>
      <c r="G13" s="102">
        <f t="shared" si="1"/>
        <v>18.72</v>
      </c>
      <c r="H13" s="42" t="str">
        <f>排水管道工程量1!C11</f>
        <v>座</v>
      </c>
      <c r="I13" s="38">
        <f>排水管道工程量1!D11</f>
        <v>24</v>
      </c>
      <c r="J13" s="38">
        <f>检查井单价!D11</f>
        <v>7800</v>
      </c>
      <c r="K13" s="39"/>
    </row>
    <row r="14" ht="34.95" customHeight="1" spans="1:11">
      <c r="A14" s="103"/>
      <c r="B14" s="57" t="str">
        <f>排水管道工程量1!B12</f>
        <v>雨水口</v>
      </c>
      <c r="C14" s="42">
        <f t="shared" si="3"/>
        <v>84</v>
      </c>
      <c r="D14" s="42"/>
      <c r="E14" s="42"/>
      <c r="F14" s="42"/>
      <c r="G14" s="102">
        <f t="shared" si="1"/>
        <v>84</v>
      </c>
      <c r="H14" s="42" t="str">
        <f>排水管道工程量1!C12</f>
        <v>座</v>
      </c>
      <c r="I14" s="38">
        <f>排水管道工程量1!D12</f>
        <v>840</v>
      </c>
      <c r="J14" s="38">
        <f>雨水口降水井单价!D3</f>
        <v>1000</v>
      </c>
      <c r="K14" s="39"/>
    </row>
    <row r="15" ht="34.95" customHeight="1" spans="1:11">
      <c r="A15" s="103"/>
      <c r="B15" s="57" t="str">
        <f>排水管道工程量1!B13</f>
        <v>降水井</v>
      </c>
      <c r="C15" s="42">
        <f t="shared" si="3"/>
        <v>54</v>
      </c>
      <c r="D15" s="42"/>
      <c r="E15" s="42"/>
      <c r="F15" s="42"/>
      <c r="G15" s="102">
        <f t="shared" si="1"/>
        <v>54</v>
      </c>
      <c r="H15" s="42" t="str">
        <f>排水管道工程量1!C13</f>
        <v>座</v>
      </c>
      <c r="I15" s="38">
        <f>排水管道工程量1!D13</f>
        <v>54</v>
      </c>
      <c r="J15" s="38">
        <f>雨水口降水井单价!D4</f>
        <v>10000</v>
      </c>
      <c r="K15" s="39"/>
    </row>
    <row r="16" ht="34.95" customHeight="1" spans="1:11">
      <c r="A16" s="103"/>
      <c r="B16" s="57" t="str">
        <f>排水管道工程量1!B14</f>
        <v>管道施工路面恢复</v>
      </c>
      <c r="C16" s="42">
        <f t="shared" si="3"/>
        <v>134.136</v>
      </c>
      <c r="D16" s="42"/>
      <c r="E16" s="42"/>
      <c r="F16" s="42"/>
      <c r="G16" s="102">
        <f t="shared" si="1"/>
        <v>134.136</v>
      </c>
      <c r="H16" s="42" t="str">
        <f>排水管道工程量1!C14</f>
        <v>平米</v>
      </c>
      <c r="I16" s="38">
        <f>排水管道工程量1!D14</f>
        <v>12420</v>
      </c>
      <c r="J16" s="38">
        <f>路面恢复工程单价!C3</f>
        <v>108</v>
      </c>
      <c r="K16" s="39"/>
    </row>
    <row r="17" ht="34.95" customHeight="1" spans="1:11">
      <c r="A17" s="92">
        <v>2</v>
      </c>
      <c r="B17" s="57" t="str">
        <f>排水管道工程量1!B15</f>
        <v>萧公大街（宝丰路（建设路）-永安西路）</v>
      </c>
      <c r="C17" s="100">
        <f>SUM(C18:C27)</f>
        <v>1188.2968369</v>
      </c>
      <c r="D17" s="100">
        <f>SUM(D18:D27)</f>
        <v>0</v>
      </c>
      <c r="E17" s="100">
        <f>SUM(E18:E27)</f>
        <v>0</v>
      </c>
      <c r="F17" s="100">
        <f>SUM(F18:F27)</f>
        <v>0</v>
      </c>
      <c r="G17" s="101">
        <f t="shared" si="1"/>
        <v>1188.2968369</v>
      </c>
      <c r="H17" s="37"/>
      <c r="I17" s="38">
        <f>I18+I19</f>
        <v>1217</v>
      </c>
      <c r="J17" s="111">
        <f>G17/I17*10000</f>
        <v>9764.14820788825</v>
      </c>
      <c r="K17" s="39">
        <f>G17/G249</f>
        <v>0.0437223160283677</v>
      </c>
    </row>
    <row r="18" ht="34.95" customHeight="1" spans="1:11">
      <c r="A18" s="103"/>
      <c r="B18" s="57" t="str">
        <f>排水管道工程量1!B16</f>
        <v>D1000 Ⅱ级钢筋混凝土管道</v>
      </c>
      <c r="C18" s="42">
        <f t="shared" ref="C18:C23" si="4">I18*J18/10000</f>
        <v>147.53892</v>
      </c>
      <c r="D18" s="42"/>
      <c r="E18" s="42"/>
      <c r="F18" s="104"/>
      <c r="G18" s="102">
        <f t="shared" ref="G16:G21" si="5">C18+D18+E18+F18</f>
        <v>147.53892</v>
      </c>
      <c r="H18" s="42" t="str">
        <f>排水管道工程量1!C16</f>
        <v>米</v>
      </c>
      <c r="I18" s="38">
        <f>排水管道工程量1!D16</f>
        <v>496</v>
      </c>
      <c r="J18" s="38">
        <f>J7</f>
        <v>2974.575</v>
      </c>
      <c r="K18" s="39"/>
    </row>
    <row r="19" ht="34.95" customHeight="1" spans="1:11">
      <c r="A19" s="103"/>
      <c r="B19" s="57" t="str">
        <f>排水管道工程量1!B17</f>
        <v>D800 Ⅱ级钢筋混凝土管道</v>
      </c>
      <c r="C19" s="42">
        <f t="shared" si="4"/>
        <v>139.23261282</v>
      </c>
      <c r="D19" s="42"/>
      <c r="E19" s="42"/>
      <c r="F19" s="104"/>
      <c r="G19" s="102">
        <f t="shared" si="5"/>
        <v>139.23261282</v>
      </c>
      <c r="H19" s="42" t="str">
        <f>排水管道工程量1!C17</f>
        <v>米</v>
      </c>
      <c r="I19" s="38">
        <f>排水管道工程量1!D17</f>
        <v>721</v>
      </c>
      <c r="J19" s="38">
        <f>J8</f>
        <v>1931.1042</v>
      </c>
      <c r="K19" s="39"/>
    </row>
    <row r="20" ht="34.95" customHeight="1" spans="1:11">
      <c r="A20" s="103"/>
      <c r="B20" s="57" t="str">
        <f>排水管道工程量1!B18</f>
        <v>D600 Ⅱ级钢筋混凝土管道</v>
      </c>
      <c r="C20" s="42">
        <f t="shared" si="4"/>
        <v>242.34009408</v>
      </c>
      <c r="D20" s="42"/>
      <c r="E20" s="42"/>
      <c r="F20" s="104"/>
      <c r="G20" s="102">
        <f t="shared" si="5"/>
        <v>242.34009408</v>
      </c>
      <c r="H20" s="42" t="str">
        <f>排水管道工程量1!C18</f>
        <v>米</v>
      </c>
      <c r="I20" s="38">
        <f>排水管道工程量1!D18</f>
        <v>1532</v>
      </c>
      <c r="J20" s="38">
        <f>J9</f>
        <v>1581.8544</v>
      </c>
      <c r="K20" s="39"/>
    </row>
    <row r="21" ht="34.95" customHeight="1" spans="1:11">
      <c r="A21" s="103"/>
      <c r="B21" s="57" t="str">
        <f>排水管道工程量1!B19</f>
        <v>D600 Ⅱ级钢筋混凝土管道（预留管）</v>
      </c>
      <c r="C21" s="42">
        <f t="shared" si="4"/>
        <v>136.8304056</v>
      </c>
      <c r="D21" s="42"/>
      <c r="E21" s="42"/>
      <c r="F21" s="104"/>
      <c r="G21" s="102">
        <f t="shared" si="5"/>
        <v>136.8304056</v>
      </c>
      <c r="H21" s="42" t="str">
        <f>排水管道工程量1!C19</f>
        <v>米</v>
      </c>
      <c r="I21" s="38">
        <f>排水管道工程量1!D19</f>
        <v>865</v>
      </c>
      <c r="J21" s="38">
        <f>J20</f>
        <v>1581.8544</v>
      </c>
      <c r="K21" s="39"/>
    </row>
    <row r="22" ht="34.95" customHeight="1" spans="1:11">
      <c r="A22" s="103"/>
      <c r="B22" s="57" t="str">
        <f>排水管道工程量1!B20</f>
        <v>D300 Ⅱ级钢筋混凝土管道</v>
      </c>
      <c r="C22" s="42">
        <f t="shared" si="4"/>
        <v>159.6712044</v>
      </c>
      <c r="D22" s="42"/>
      <c r="E22" s="42"/>
      <c r="F22" s="42"/>
      <c r="G22" s="102">
        <f t="shared" ref="G22:G29" si="6">C22+D22+E22+F22</f>
        <v>159.6712044</v>
      </c>
      <c r="H22" s="42" t="str">
        <f>排水管道工程量1!C20</f>
        <v>米</v>
      </c>
      <c r="I22" s="38">
        <f>排水管道工程量1!D20</f>
        <v>1770</v>
      </c>
      <c r="J22" s="38">
        <f t="shared" ref="J22:J27" si="7">J11</f>
        <v>902.0972</v>
      </c>
      <c r="K22" s="39"/>
    </row>
    <row r="23" ht="34.95" customHeight="1" spans="1:11">
      <c r="A23" s="103"/>
      <c r="B23" s="57" t="str">
        <f>排水管道工程量1!B21</f>
        <v>1400×1100 矩形钢筋混凝土检查井</v>
      </c>
      <c r="C23" s="42">
        <f t="shared" si="4"/>
        <v>8.37</v>
      </c>
      <c r="D23" s="42"/>
      <c r="E23" s="42"/>
      <c r="F23" s="42"/>
      <c r="G23" s="102">
        <f t="shared" si="6"/>
        <v>8.37</v>
      </c>
      <c r="H23" s="42" t="str">
        <f>排水管道工程量1!C21</f>
        <v>座</v>
      </c>
      <c r="I23" s="38">
        <f>排水管道工程量1!D21</f>
        <v>9</v>
      </c>
      <c r="J23" s="38">
        <f t="shared" si="7"/>
        <v>9300</v>
      </c>
      <c r="K23" s="39"/>
    </row>
    <row r="24" ht="34.95" customHeight="1" spans="1:11">
      <c r="A24" s="103"/>
      <c r="B24" s="57" t="str">
        <f>排水管道工程量1!B22</f>
        <v>1200×1100 矩形钢筋混凝土检查井</v>
      </c>
      <c r="C24" s="42">
        <f t="shared" ref="C22:C27" si="8">I24*J24/10000</f>
        <v>39</v>
      </c>
      <c r="D24" s="42"/>
      <c r="E24" s="42"/>
      <c r="F24" s="42"/>
      <c r="G24" s="102">
        <f t="shared" si="6"/>
        <v>39</v>
      </c>
      <c r="H24" s="42" t="str">
        <f>排水管道工程量1!C22</f>
        <v>座</v>
      </c>
      <c r="I24" s="38">
        <f>排水管道工程量1!D22</f>
        <v>50</v>
      </c>
      <c r="J24" s="38">
        <f t="shared" si="7"/>
        <v>7800</v>
      </c>
      <c r="K24" s="39"/>
    </row>
    <row r="25" ht="34.95" customHeight="1" spans="1:11">
      <c r="A25" s="103"/>
      <c r="B25" s="57" t="str">
        <f>排水管道工程量1!B23</f>
        <v>雨水口</v>
      </c>
      <c r="C25" s="42">
        <f t="shared" si="8"/>
        <v>23.6</v>
      </c>
      <c r="D25" s="42"/>
      <c r="E25" s="42"/>
      <c r="F25" s="42"/>
      <c r="G25" s="102">
        <f t="shared" si="6"/>
        <v>23.6</v>
      </c>
      <c r="H25" s="42" t="str">
        <f>排水管道工程量1!C23</f>
        <v>座</v>
      </c>
      <c r="I25" s="38">
        <f>排水管道工程量1!D23</f>
        <v>236</v>
      </c>
      <c r="J25" s="38">
        <f t="shared" si="7"/>
        <v>1000</v>
      </c>
      <c r="K25" s="39"/>
    </row>
    <row r="26" ht="34.95" customHeight="1" spans="1:11">
      <c r="A26" s="103"/>
      <c r="B26" s="57" t="str">
        <f>排水管道工程量1!B24</f>
        <v>降水井</v>
      </c>
      <c r="C26" s="42">
        <f t="shared" si="8"/>
        <v>92</v>
      </c>
      <c r="D26" s="42"/>
      <c r="E26" s="42"/>
      <c r="F26" s="42"/>
      <c r="G26" s="102">
        <f t="shared" si="6"/>
        <v>92</v>
      </c>
      <c r="H26" s="42" t="str">
        <f>排水管道工程量1!C24</f>
        <v>座</v>
      </c>
      <c r="I26" s="38">
        <f>排水管道工程量1!D24</f>
        <v>92</v>
      </c>
      <c r="J26" s="38">
        <f t="shared" si="7"/>
        <v>10000</v>
      </c>
      <c r="K26" s="39"/>
    </row>
    <row r="27" ht="34.95" customHeight="1" spans="1:11">
      <c r="A27" s="103"/>
      <c r="B27" s="57" t="str">
        <f>排水管道工程量1!B25</f>
        <v>管道施工路面恢复</v>
      </c>
      <c r="C27" s="42">
        <f t="shared" si="8"/>
        <v>199.7136</v>
      </c>
      <c r="D27" s="42"/>
      <c r="E27" s="42"/>
      <c r="F27" s="42"/>
      <c r="G27" s="102">
        <f t="shared" si="6"/>
        <v>199.7136</v>
      </c>
      <c r="H27" s="42" t="str">
        <f>排水管道工程量1!C25</f>
        <v>平米</v>
      </c>
      <c r="I27" s="38">
        <f>排水管道工程量1!D25</f>
        <v>18492</v>
      </c>
      <c r="J27" s="38">
        <f t="shared" si="7"/>
        <v>108</v>
      </c>
      <c r="K27" s="39"/>
    </row>
    <row r="28" ht="34.95" customHeight="1" spans="1:11">
      <c r="A28" s="92">
        <v>3</v>
      </c>
      <c r="B28" s="36" t="str">
        <f>排水管道工程量1!B26</f>
        <v>怀远大街（西环路-姚福璐）</v>
      </c>
      <c r="C28" s="100">
        <f>SUM(C29:C44)</f>
        <v>3181.06957374</v>
      </c>
      <c r="D28" s="100">
        <f>SUM(D29:D44)</f>
        <v>0</v>
      </c>
      <c r="E28" s="100">
        <f>SUM(E29:E44)</f>
        <v>0</v>
      </c>
      <c r="F28" s="100">
        <f>SUM(F29:F44)</f>
        <v>0</v>
      </c>
      <c r="G28" s="101">
        <f t="shared" si="6"/>
        <v>3181.06957374</v>
      </c>
      <c r="H28" s="37"/>
      <c r="I28" s="38">
        <f>I29+I30</f>
        <v>1945</v>
      </c>
      <c r="J28" s="111">
        <f>G28/I28*10000</f>
        <v>16355.1134896658</v>
      </c>
      <c r="K28" s="39">
        <f>G28/G249</f>
        <v>0.117044601056183</v>
      </c>
    </row>
    <row r="29" ht="34.95" customHeight="1" spans="1:11">
      <c r="A29" s="103"/>
      <c r="B29" s="57" t="str">
        <f>排水管道工程量1!B27</f>
        <v>D2200 Ⅱ级钢筋混凝土管道</v>
      </c>
      <c r="C29" s="42">
        <f t="shared" ref="C29:C44" si="9">I29*J29/10000</f>
        <v>670.32147238</v>
      </c>
      <c r="D29" s="42"/>
      <c r="E29" s="42"/>
      <c r="F29" s="104"/>
      <c r="G29" s="102">
        <f t="shared" si="6"/>
        <v>670.32147238</v>
      </c>
      <c r="H29" s="42" t="str">
        <f>排水管道工程量1!C27</f>
        <v>米</v>
      </c>
      <c r="I29" s="38">
        <f>排水管道工程量1!D27</f>
        <v>721</v>
      </c>
      <c r="J29" s="38">
        <f>排水管道单价!D4</f>
        <v>9297.1078</v>
      </c>
      <c r="K29" s="39"/>
    </row>
    <row r="30" ht="34.95" customHeight="1" spans="1:11">
      <c r="A30" s="103"/>
      <c r="B30" s="57" t="str">
        <f>排水管道工程量1!B28</f>
        <v>D2000 Ⅱ级钢筋混凝土管道</v>
      </c>
      <c r="C30" s="42">
        <f t="shared" si="9"/>
        <v>1030.5494928</v>
      </c>
      <c r="D30" s="42"/>
      <c r="E30" s="42"/>
      <c r="F30" s="104"/>
      <c r="G30" s="102">
        <f t="shared" ref="G30:G46" si="10">C30+D30+E30+F30</f>
        <v>1030.5494928</v>
      </c>
      <c r="H30" s="42" t="str">
        <f>排水管道工程量1!C28</f>
        <v>米</v>
      </c>
      <c r="I30" s="38">
        <f>排水管道工程量1!D28</f>
        <v>1224</v>
      </c>
      <c r="J30" s="38">
        <f>排水管道单价!D5</f>
        <v>8419.522</v>
      </c>
      <c r="K30" s="39"/>
    </row>
    <row r="31" ht="34.95" customHeight="1" spans="1:11">
      <c r="A31" s="103"/>
      <c r="B31" s="57" t="str">
        <f>排水管道工程量1!B29</f>
        <v>D1800 Ⅱ级钢筋混凝土管道</v>
      </c>
      <c r="C31" s="42">
        <f t="shared" si="9"/>
        <v>316.0444728</v>
      </c>
      <c r="D31" s="42"/>
      <c r="E31" s="42"/>
      <c r="F31" s="104"/>
      <c r="G31" s="102">
        <f t="shared" si="10"/>
        <v>316.0444728</v>
      </c>
      <c r="H31" s="42" t="str">
        <f>排水管道工程量1!C29</f>
        <v>米</v>
      </c>
      <c r="I31" s="38">
        <f>排水管道工程量1!D29</f>
        <v>490</v>
      </c>
      <c r="J31" s="38">
        <f>排水管道单价!D8</f>
        <v>6449.8872</v>
      </c>
      <c r="K31" s="39"/>
    </row>
    <row r="32" ht="34.95" customHeight="1" spans="1:11">
      <c r="A32" s="103"/>
      <c r="B32" s="57" t="str">
        <f>排水管道工程量1!B30</f>
        <v>D1000 Ⅱ级钢筋混凝土管道</v>
      </c>
      <c r="C32" s="42">
        <f t="shared" si="9"/>
        <v>129.3940125</v>
      </c>
      <c r="D32" s="42"/>
      <c r="E32" s="42"/>
      <c r="F32" s="104"/>
      <c r="G32" s="102">
        <f t="shared" si="10"/>
        <v>129.3940125</v>
      </c>
      <c r="H32" s="42" t="str">
        <f>排水管道工程量1!C30</f>
        <v>米</v>
      </c>
      <c r="I32" s="38">
        <f>排水管道工程量1!D30</f>
        <v>435</v>
      </c>
      <c r="J32" s="38">
        <f>J18</f>
        <v>2974.575</v>
      </c>
      <c r="K32" s="39"/>
    </row>
    <row r="33" ht="34.95" customHeight="1" spans="1:11">
      <c r="A33" s="103"/>
      <c r="B33" s="57" t="str">
        <f>排水管道工程量1!B31</f>
        <v>D800 Ⅱ级钢筋混凝土管道</v>
      </c>
      <c r="C33" s="42">
        <f t="shared" si="9"/>
        <v>216.47678082</v>
      </c>
      <c r="D33" s="42"/>
      <c r="E33" s="42"/>
      <c r="F33" s="42"/>
      <c r="G33" s="102">
        <f t="shared" si="10"/>
        <v>216.47678082</v>
      </c>
      <c r="H33" s="42" t="str">
        <f>排水管道工程量1!C31</f>
        <v>米</v>
      </c>
      <c r="I33" s="38">
        <f>排水管道工程量1!D31</f>
        <v>1121</v>
      </c>
      <c r="J33" s="38">
        <f>J19</f>
        <v>1931.1042</v>
      </c>
      <c r="K33" s="39"/>
    </row>
    <row r="34" ht="34.95" customHeight="1" spans="1:11">
      <c r="A34" s="103"/>
      <c r="B34" s="57" t="str">
        <f>排水管道工程量1!B32</f>
        <v>D600 Ⅱ级钢筋混凝土管道</v>
      </c>
      <c r="C34" s="42">
        <f t="shared" si="9"/>
        <v>65.80514304</v>
      </c>
      <c r="D34" s="42"/>
      <c r="E34" s="42"/>
      <c r="F34" s="42"/>
      <c r="G34" s="102">
        <f t="shared" si="10"/>
        <v>65.80514304</v>
      </c>
      <c r="H34" s="42" t="str">
        <f>排水管道工程量1!C32</f>
        <v>米</v>
      </c>
      <c r="I34" s="38">
        <f>排水管道工程量1!D32</f>
        <v>416</v>
      </c>
      <c r="J34" s="38">
        <f>J21</f>
        <v>1581.8544</v>
      </c>
      <c r="K34" s="39"/>
    </row>
    <row r="35" ht="34.95" customHeight="1" spans="1:11">
      <c r="A35" s="103"/>
      <c r="B35" s="57" t="str">
        <f>排水管道工程量1!B33</f>
        <v>D500 Ⅱ级钢筋混凝土管道（预留管）</v>
      </c>
      <c r="C35" s="42">
        <f t="shared" si="9"/>
        <v>79.8120216</v>
      </c>
      <c r="D35" s="42"/>
      <c r="E35" s="42"/>
      <c r="F35" s="42"/>
      <c r="G35" s="102">
        <f t="shared" si="10"/>
        <v>79.8120216</v>
      </c>
      <c r="H35" s="42" t="str">
        <f>排水管道工程量1!C33</f>
        <v>米</v>
      </c>
      <c r="I35" s="38">
        <f>排水管道工程量1!D33</f>
        <v>540</v>
      </c>
      <c r="J35" s="38">
        <f>J10</f>
        <v>1478.0004</v>
      </c>
      <c r="K35" s="39"/>
    </row>
    <row r="36" ht="34.95" customHeight="1" spans="1:11">
      <c r="A36" s="103"/>
      <c r="B36" s="57" t="str">
        <f>排水管道工程量1!B34</f>
        <v>D300 Ⅱ级钢筋混凝土管道</v>
      </c>
      <c r="C36" s="42">
        <f t="shared" si="9"/>
        <v>55.4789778</v>
      </c>
      <c r="D36" s="42"/>
      <c r="E36" s="42"/>
      <c r="F36" s="42"/>
      <c r="G36" s="102">
        <f t="shared" si="10"/>
        <v>55.4789778</v>
      </c>
      <c r="H36" s="42" t="str">
        <f>排水管道工程量1!C34</f>
        <v>米</v>
      </c>
      <c r="I36" s="38">
        <f>排水管道工程量1!D34</f>
        <v>615</v>
      </c>
      <c r="J36" s="38">
        <f>J22</f>
        <v>902.0972</v>
      </c>
      <c r="K36" s="39"/>
    </row>
    <row r="37" ht="34.95" customHeight="1" spans="1:11">
      <c r="A37" s="103"/>
      <c r="B37" s="57" t="str">
        <f>排水管道工程量1!B35</f>
        <v>2900×1100 矩形钢筋混凝土检查井</v>
      </c>
      <c r="C37" s="42">
        <f t="shared" si="9"/>
        <v>27.3</v>
      </c>
      <c r="D37" s="42"/>
      <c r="E37" s="42"/>
      <c r="F37" s="42"/>
      <c r="G37" s="102">
        <f t="shared" si="10"/>
        <v>27.3</v>
      </c>
      <c r="H37" s="42" t="str">
        <f>排水管道工程量1!C35</f>
        <v>座</v>
      </c>
      <c r="I37" s="38">
        <f>排水管道工程量1!D35</f>
        <v>13</v>
      </c>
      <c r="J37" s="38">
        <f>检查井单价!D4</f>
        <v>21000</v>
      </c>
      <c r="K37" s="39"/>
    </row>
    <row r="38" ht="34.95" customHeight="1" spans="1:11">
      <c r="A38" s="103"/>
      <c r="B38" s="57" t="str">
        <f>排水管道工程量1!B36</f>
        <v>2600×1100 矩形钢筋混凝土检查井</v>
      </c>
      <c r="C38" s="42">
        <f t="shared" si="9"/>
        <v>43.7</v>
      </c>
      <c r="D38" s="42"/>
      <c r="E38" s="42"/>
      <c r="F38" s="42"/>
      <c r="G38" s="102">
        <f t="shared" si="10"/>
        <v>43.7</v>
      </c>
      <c r="H38" s="42" t="str">
        <f>排水管道工程量1!C36</f>
        <v>座</v>
      </c>
      <c r="I38" s="38">
        <f>排水管道工程量1!D36</f>
        <v>23</v>
      </c>
      <c r="J38" s="38">
        <f>检查井单价!D5</f>
        <v>19000</v>
      </c>
      <c r="K38" s="39"/>
    </row>
    <row r="39" ht="34.95" customHeight="1" spans="1:11">
      <c r="A39" s="103"/>
      <c r="B39" s="57" t="str">
        <f>排水管道工程量1!B37</f>
        <v>2400×1100 矩形钢筋混凝土检查井</v>
      </c>
      <c r="C39" s="42">
        <f t="shared" si="9"/>
        <v>15.3</v>
      </c>
      <c r="D39" s="42"/>
      <c r="E39" s="42"/>
      <c r="F39" s="42"/>
      <c r="G39" s="102">
        <f t="shared" si="10"/>
        <v>15.3</v>
      </c>
      <c r="H39" s="42" t="str">
        <f>排水管道工程量1!C37</f>
        <v>座</v>
      </c>
      <c r="I39" s="38">
        <f>排水管道工程量1!D37</f>
        <v>9</v>
      </c>
      <c r="J39" s="38">
        <f>检查井单价!D6</f>
        <v>17000</v>
      </c>
      <c r="K39" s="39"/>
    </row>
    <row r="40" ht="34.95" customHeight="1" spans="1:11">
      <c r="A40" s="103"/>
      <c r="B40" s="57" t="str">
        <f>排水管道工程量1!B38</f>
        <v>1400×1100 矩形钢筋混凝土检查井</v>
      </c>
      <c r="C40" s="42">
        <f t="shared" si="9"/>
        <v>7.44</v>
      </c>
      <c r="D40" s="42"/>
      <c r="E40" s="42"/>
      <c r="F40" s="42"/>
      <c r="G40" s="102">
        <f t="shared" si="10"/>
        <v>7.44</v>
      </c>
      <c r="H40" s="42" t="str">
        <f>排水管道工程量1!C38</f>
        <v>座</v>
      </c>
      <c r="I40" s="38">
        <f>排水管道工程量1!D38</f>
        <v>8</v>
      </c>
      <c r="J40" s="38">
        <f>J23</f>
        <v>9300</v>
      </c>
      <c r="K40" s="39"/>
    </row>
    <row r="41" ht="34.95" customHeight="1" spans="1:11">
      <c r="A41" s="103"/>
      <c r="B41" s="57" t="str">
        <f>排水管道工程量1!B39</f>
        <v>1200×1100 矩形钢筋混凝土检查井</v>
      </c>
      <c r="C41" s="42">
        <f t="shared" si="9"/>
        <v>21.84</v>
      </c>
      <c r="D41" s="42"/>
      <c r="E41" s="42"/>
      <c r="F41" s="42"/>
      <c r="G41" s="102">
        <f t="shared" si="10"/>
        <v>21.84</v>
      </c>
      <c r="H41" s="42" t="str">
        <f>排水管道工程量1!C39</f>
        <v>座</v>
      </c>
      <c r="I41" s="38">
        <f>排水管道工程量1!D39</f>
        <v>28</v>
      </c>
      <c r="J41" s="38">
        <f>J24</f>
        <v>7800</v>
      </c>
      <c r="K41" s="39"/>
    </row>
    <row r="42" ht="34.95" customHeight="1" spans="1:11">
      <c r="A42" s="103"/>
      <c r="B42" s="57" t="str">
        <f>排水管道工程量1!B40</f>
        <v>雨水口</v>
      </c>
      <c r="C42" s="42">
        <f t="shared" si="9"/>
        <v>16.2</v>
      </c>
      <c r="D42" s="42"/>
      <c r="E42" s="42"/>
      <c r="F42" s="42"/>
      <c r="G42" s="102">
        <f t="shared" si="10"/>
        <v>16.2</v>
      </c>
      <c r="H42" s="42" t="str">
        <f>排水管道工程量1!C40</f>
        <v>座</v>
      </c>
      <c r="I42" s="38">
        <f>排水管道工程量1!D40</f>
        <v>162</v>
      </c>
      <c r="J42" s="38">
        <f>J25</f>
        <v>1000</v>
      </c>
      <c r="K42" s="39"/>
    </row>
    <row r="43" ht="34.95" customHeight="1" spans="1:11">
      <c r="A43" s="103"/>
      <c r="B43" s="57" t="str">
        <f>排水管道工程量1!B41</f>
        <v>降水井</v>
      </c>
      <c r="C43" s="42">
        <f t="shared" si="9"/>
        <v>147</v>
      </c>
      <c r="D43" s="42"/>
      <c r="E43" s="42"/>
      <c r="F43" s="42"/>
      <c r="G43" s="102">
        <f t="shared" si="10"/>
        <v>147</v>
      </c>
      <c r="H43" s="42" t="str">
        <f>排水管道工程量1!C41</f>
        <v>座</v>
      </c>
      <c r="I43" s="38">
        <f>排水管道工程量1!D41</f>
        <v>147</v>
      </c>
      <c r="J43" s="38">
        <f>J26</f>
        <v>10000</v>
      </c>
      <c r="K43" s="39"/>
    </row>
    <row r="44" ht="34.95" customHeight="1" spans="1:11">
      <c r="A44" s="103"/>
      <c r="B44" s="57" t="str">
        <f>排水管道工程量1!B42</f>
        <v>管道施工路面恢复</v>
      </c>
      <c r="C44" s="42">
        <f t="shared" si="9"/>
        <v>338.4072</v>
      </c>
      <c r="D44" s="42"/>
      <c r="E44" s="42"/>
      <c r="F44" s="42"/>
      <c r="G44" s="102">
        <f t="shared" si="10"/>
        <v>338.4072</v>
      </c>
      <c r="H44" s="42" t="str">
        <f>排水管道工程量1!C42</f>
        <v>平米</v>
      </c>
      <c r="I44" s="38">
        <f>排水管道工程量1!D42</f>
        <v>31334</v>
      </c>
      <c r="J44" s="38">
        <f>J27</f>
        <v>108</v>
      </c>
      <c r="K44" s="39"/>
    </row>
    <row r="45" ht="34.95" customHeight="1" spans="1:11">
      <c r="A45" s="92">
        <v>4</v>
      </c>
      <c r="B45" s="36" t="str">
        <f>排水管道工程量1!B43</f>
        <v>西环路（南环路-山水大道）</v>
      </c>
      <c r="C45" s="100">
        <f>SUM(C46:C57)</f>
        <v>2342.98369544</v>
      </c>
      <c r="D45" s="100">
        <f>SUM(D46:D57)</f>
        <v>0</v>
      </c>
      <c r="E45" s="100">
        <f>SUM(E46:E57)</f>
        <v>0</v>
      </c>
      <c r="F45" s="100">
        <f>SUM(F46:F57)</f>
        <v>0</v>
      </c>
      <c r="G45" s="101">
        <f t="shared" si="10"/>
        <v>2342.98369544</v>
      </c>
      <c r="H45" s="37"/>
      <c r="I45" s="38">
        <f>I46</f>
        <v>974</v>
      </c>
      <c r="J45" s="111">
        <f>G45/I45*10000</f>
        <v>24055.2740804928</v>
      </c>
      <c r="K45" s="39">
        <f>G45/G87</f>
        <v>2.92355524934225</v>
      </c>
    </row>
    <row r="46" ht="34.95" customHeight="1" spans="1:11">
      <c r="A46" s="103"/>
      <c r="B46" s="10" t="str">
        <f>排水管道工程量1!B44</f>
        <v>D1200 Ⅱ级钢筋混凝土管道</v>
      </c>
      <c r="C46" s="42">
        <f t="shared" ref="C46:C57" si="11">I46*J46/10000</f>
        <v>360.17787552</v>
      </c>
      <c r="D46" s="42"/>
      <c r="E46" s="42"/>
      <c r="F46" s="104"/>
      <c r="G46" s="102">
        <f t="shared" si="10"/>
        <v>360.17787552</v>
      </c>
      <c r="H46" s="42" t="str">
        <f>排水管道工程量1!C44</f>
        <v>米</v>
      </c>
      <c r="I46" s="38">
        <f>排水管道工程量1!D44</f>
        <v>974</v>
      </c>
      <c r="J46" s="38">
        <f>排水管道单价!D13</f>
        <v>3697.9248</v>
      </c>
      <c r="K46" s="39"/>
    </row>
    <row r="47" ht="34.95" customHeight="1" spans="1:11">
      <c r="A47" s="103"/>
      <c r="B47" s="10" t="str">
        <f>排水管道工程量1!B45</f>
        <v>D1000 Ⅱ级钢筋混凝土管道</v>
      </c>
      <c r="C47" s="42">
        <f t="shared" si="11"/>
        <v>452.4328575</v>
      </c>
      <c r="D47" s="42"/>
      <c r="E47" s="42"/>
      <c r="F47" s="104"/>
      <c r="G47" s="102">
        <f t="shared" ref="G47:G57" si="12">C47+D47+E47+F47</f>
        <v>452.4328575</v>
      </c>
      <c r="H47" s="42" t="str">
        <f>排水管道工程量1!C45</f>
        <v>米</v>
      </c>
      <c r="I47" s="38">
        <f>排水管道工程量1!D45</f>
        <v>1521</v>
      </c>
      <c r="J47" s="38">
        <f>J32</f>
        <v>2974.575</v>
      </c>
      <c r="K47" s="39"/>
    </row>
    <row r="48" ht="34.95" customHeight="1" spans="1:11">
      <c r="A48" s="103"/>
      <c r="B48" s="10" t="str">
        <f>排水管道工程量1!B46</f>
        <v>D800 Ⅱ级钢筋混凝土管道</v>
      </c>
      <c r="C48" s="42">
        <f t="shared" si="11"/>
        <v>270.54769842</v>
      </c>
      <c r="D48" s="42"/>
      <c r="E48" s="42"/>
      <c r="F48" s="104"/>
      <c r="G48" s="102">
        <f t="shared" si="12"/>
        <v>270.54769842</v>
      </c>
      <c r="H48" s="42" t="str">
        <f>排水管道工程量1!C46</f>
        <v>米</v>
      </c>
      <c r="I48" s="38">
        <f>排水管道工程量1!D46</f>
        <v>1401</v>
      </c>
      <c r="J48" s="38">
        <f>J33</f>
        <v>1931.1042</v>
      </c>
      <c r="K48" s="39"/>
    </row>
    <row r="49" ht="34.95" customHeight="1" spans="1:11">
      <c r="A49" s="103"/>
      <c r="B49" s="10" t="str">
        <f>排水管道工程量1!B47</f>
        <v>D600 Ⅱ级钢筋混凝土管道</v>
      </c>
      <c r="C49" s="42">
        <f t="shared" si="11"/>
        <v>327.4438608</v>
      </c>
      <c r="D49" s="42"/>
      <c r="E49" s="42"/>
      <c r="F49" s="42"/>
      <c r="G49" s="102">
        <f t="shared" si="12"/>
        <v>327.4438608</v>
      </c>
      <c r="H49" s="42" t="str">
        <f>排水管道工程量1!C47</f>
        <v>米</v>
      </c>
      <c r="I49" s="38">
        <f>排水管道工程量1!D47</f>
        <v>2070</v>
      </c>
      <c r="J49" s="38">
        <f>J34</f>
        <v>1581.8544</v>
      </c>
      <c r="K49" s="39"/>
    </row>
    <row r="50" ht="34.95" customHeight="1" spans="1:11">
      <c r="A50" s="103"/>
      <c r="B50" s="10" t="str">
        <f>排水管道工程量1!B48</f>
        <v>D500 Ⅱ级钢筋混凝土管道（预留管）</v>
      </c>
      <c r="C50" s="42">
        <f t="shared" si="11"/>
        <v>108.386696</v>
      </c>
      <c r="D50" s="42"/>
      <c r="E50" s="42"/>
      <c r="F50" s="42"/>
      <c r="G50" s="102">
        <f t="shared" si="12"/>
        <v>108.386696</v>
      </c>
      <c r="H50" s="42" t="str">
        <f>排水管道工程量1!C48</f>
        <v>米</v>
      </c>
      <c r="I50" s="38">
        <f>排水管道工程量1!D48</f>
        <v>733.333333333333</v>
      </c>
      <c r="J50" s="38">
        <f>J35</f>
        <v>1478.0004</v>
      </c>
      <c r="K50" s="39"/>
    </row>
    <row r="51" ht="34.95" customHeight="1" spans="1:11">
      <c r="A51" s="103"/>
      <c r="B51" s="10" t="str">
        <f>排水管道工程量1!B49</f>
        <v>D300 Ⅱ级钢筋混凝土管道</v>
      </c>
      <c r="C51" s="42">
        <f t="shared" si="11"/>
        <v>158.7691072</v>
      </c>
      <c r="D51" s="42"/>
      <c r="E51" s="42"/>
      <c r="F51" s="42"/>
      <c r="G51" s="102">
        <f t="shared" si="12"/>
        <v>158.7691072</v>
      </c>
      <c r="H51" s="42" t="str">
        <f>排水管道工程量1!C49</f>
        <v>米</v>
      </c>
      <c r="I51" s="38">
        <f>排水管道工程量1!D49</f>
        <v>1760</v>
      </c>
      <c r="J51" s="38">
        <f>J36</f>
        <v>902.0972</v>
      </c>
      <c r="K51" s="39"/>
    </row>
    <row r="52" ht="34.95" customHeight="1" spans="1:11">
      <c r="A52" s="103"/>
      <c r="B52" s="10" t="str">
        <f>排水管道工程量1!B50</f>
        <v>1700×1100 矩形钢筋混凝土检查井</v>
      </c>
      <c r="C52" s="42">
        <f t="shared" si="11"/>
        <v>19.8</v>
      </c>
      <c r="D52" s="42"/>
      <c r="E52" s="42"/>
      <c r="F52" s="42"/>
      <c r="G52" s="102">
        <f t="shared" si="12"/>
        <v>19.8</v>
      </c>
      <c r="H52" s="42" t="str">
        <f>排水管道工程量1!C50</f>
        <v>座</v>
      </c>
      <c r="I52" s="38">
        <f>排水管道工程量1!D50</f>
        <v>18</v>
      </c>
      <c r="J52" s="38">
        <f>检查井单价!D9</f>
        <v>11000</v>
      </c>
      <c r="K52" s="39"/>
    </row>
    <row r="53" ht="34.95" customHeight="1" spans="1:11">
      <c r="A53" s="103"/>
      <c r="B53" s="10" t="str">
        <f>排水管道工程量1!B51</f>
        <v>1400×1100 矩形钢筋混凝土检查井</v>
      </c>
      <c r="C53" s="42">
        <f t="shared" si="11"/>
        <v>26.04</v>
      </c>
      <c r="D53" s="42"/>
      <c r="E53" s="42"/>
      <c r="F53" s="42"/>
      <c r="G53" s="102">
        <f t="shared" si="12"/>
        <v>26.04</v>
      </c>
      <c r="H53" s="42" t="str">
        <f>排水管道工程量1!C51</f>
        <v>座</v>
      </c>
      <c r="I53" s="38">
        <f>排水管道工程量1!D51</f>
        <v>28</v>
      </c>
      <c r="J53" s="38">
        <f>J40</f>
        <v>9300</v>
      </c>
      <c r="K53" s="39"/>
    </row>
    <row r="54" ht="34.95" customHeight="1" spans="1:11">
      <c r="A54" s="103"/>
      <c r="B54" s="10" t="str">
        <f>排水管道工程量1!B52</f>
        <v>1200×1100 矩形钢筋混凝土检查井</v>
      </c>
      <c r="C54" s="42">
        <f t="shared" si="11"/>
        <v>49.92</v>
      </c>
      <c r="D54" s="42"/>
      <c r="E54" s="42"/>
      <c r="F54" s="42"/>
      <c r="G54" s="102">
        <f t="shared" si="12"/>
        <v>49.92</v>
      </c>
      <c r="H54" s="42" t="str">
        <f>排水管道工程量1!C52</f>
        <v>座</v>
      </c>
      <c r="I54" s="38">
        <f>排水管道工程量1!D52</f>
        <v>64</v>
      </c>
      <c r="J54" s="38">
        <f>J41</f>
        <v>7800</v>
      </c>
      <c r="K54" s="39"/>
    </row>
    <row r="55" ht="34.95" customHeight="1" spans="1:11">
      <c r="A55" s="103"/>
      <c r="B55" s="10" t="str">
        <f>排水管道工程量1!B53</f>
        <v>雨水口</v>
      </c>
      <c r="C55" s="42">
        <f t="shared" si="11"/>
        <v>22</v>
      </c>
      <c r="D55" s="42"/>
      <c r="E55" s="42"/>
      <c r="F55" s="42"/>
      <c r="G55" s="102">
        <f t="shared" si="12"/>
        <v>22</v>
      </c>
      <c r="H55" s="42" t="str">
        <f>排水管道工程量1!C53</f>
        <v>座</v>
      </c>
      <c r="I55" s="38">
        <f>排水管道工程量1!D53</f>
        <v>220</v>
      </c>
      <c r="J55" s="38">
        <f>J42</f>
        <v>1000</v>
      </c>
      <c r="K55" s="39"/>
    </row>
    <row r="56" ht="34.95" customHeight="1" spans="1:11">
      <c r="A56" s="103"/>
      <c r="B56" s="10" t="str">
        <f>排水管道工程量1!B54</f>
        <v>降水井</v>
      </c>
      <c r="C56" s="42">
        <f t="shared" si="11"/>
        <v>199</v>
      </c>
      <c r="D56" s="42"/>
      <c r="E56" s="42"/>
      <c r="F56" s="42"/>
      <c r="G56" s="102">
        <f t="shared" si="12"/>
        <v>199</v>
      </c>
      <c r="H56" s="42" t="str">
        <f>排水管道工程量1!C54</f>
        <v>座</v>
      </c>
      <c r="I56" s="38">
        <f>排水管道工程量1!D54</f>
        <v>199</v>
      </c>
      <c r="J56" s="38">
        <f>J43</f>
        <v>10000</v>
      </c>
      <c r="K56" s="39"/>
    </row>
    <row r="57" ht="34.95" customHeight="1" spans="1:11">
      <c r="A57" s="103"/>
      <c r="B57" s="10" t="s">
        <v>94</v>
      </c>
      <c r="C57" s="42">
        <f t="shared" si="11"/>
        <v>348.4656</v>
      </c>
      <c r="D57" s="42"/>
      <c r="E57" s="42"/>
      <c r="F57" s="42"/>
      <c r="G57" s="102">
        <f t="shared" si="12"/>
        <v>348.4656</v>
      </c>
      <c r="H57" s="42" t="str">
        <f>排水管道工程量1!C55</f>
        <v>平米</v>
      </c>
      <c r="I57" s="38">
        <f>排水管道工程量1!D55</f>
        <v>32265.3333333333</v>
      </c>
      <c r="J57" s="38">
        <f>J44</f>
        <v>108</v>
      </c>
      <c r="K57" s="39"/>
    </row>
    <row r="58" ht="34.95" customHeight="1" spans="1:11">
      <c r="A58" s="92">
        <v>5</v>
      </c>
      <c r="B58" s="36" t="str">
        <f>排水管道工程量1!B56</f>
        <v>姚福璐（怀远大街-萧公大街）</v>
      </c>
      <c r="C58" s="100">
        <f>SUM(C59:C65)</f>
        <v>417.37237592</v>
      </c>
      <c r="D58" s="100">
        <f>SUM(D59:D65)</f>
        <v>0</v>
      </c>
      <c r="E58" s="100">
        <f>SUM(E59:E65)</f>
        <v>0</v>
      </c>
      <c r="F58" s="100">
        <f>SUM(F59:F65)</f>
        <v>0</v>
      </c>
      <c r="G58" s="101">
        <f t="shared" ref="G56:G59" si="13">C58+D58+E58+F58</f>
        <v>417.37237592</v>
      </c>
      <c r="H58" s="37"/>
      <c r="I58" s="38">
        <f>I59</f>
        <v>1121</v>
      </c>
      <c r="J58" s="111">
        <f>G58/I58*10000</f>
        <v>3723.21477181088</v>
      </c>
      <c r="K58" s="39">
        <f>G58/G249</f>
        <v>0.0153568421246421</v>
      </c>
    </row>
    <row r="59" ht="34.95" customHeight="1" spans="1:11">
      <c r="A59" s="103"/>
      <c r="B59" s="10" t="str">
        <f>排水管道工程量1!B57</f>
        <v>D600 Ⅱ级钢筋混凝土管道</v>
      </c>
      <c r="C59" s="42">
        <f t="shared" ref="C59:C65" si="14">I59*J59/10000</f>
        <v>177.32587824</v>
      </c>
      <c r="D59" s="42"/>
      <c r="E59" s="42"/>
      <c r="F59" s="104"/>
      <c r="G59" s="102">
        <f t="shared" si="13"/>
        <v>177.32587824</v>
      </c>
      <c r="H59" s="42" t="str">
        <f>排水管道工程量1!C57</f>
        <v>米</v>
      </c>
      <c r="I59" s="38">
        <f>排水管道工程量1!D57</f>
        <v>1121</v>
      </c>
      <c r="J59" s="38">
        <f>J49</f>
        <v>1581.8544</v>
      </c>
      <c r="K59" s="39"/>
    </row>
    <row r="60" ht="34.95" customHeight="1" spans="1:11">
      <c r="A60" s="103"/>
      <c r="B60" s="10" t="str">
        <f>排水管道工程量1!B58</f>
        <v>D500 Ⅱ级钢筋混凝土管道（预留管）</v>
      </c>
      <c r="C60" s="42">
        <f t="shared" si="14"/>
        <v>38.5265437600001</v>
      </c>
      <c r="D60" s="42"/>
      <c r="E60" s="42"/>
      <c r="F60" s="104"/>
      <c r="G60" s="102">
        <f t="shared" ref="G60:G67" si="15">C60+D60+E60+F60</f>
        <v>38.5265437600001</v>
      </c>
      <c r="H60" s="42" t="str">
        <f>排水管道工程量1!C58</f>
        <v>米</v>
      </c>
      <c r="I60" s="38">
        <f>排水管道工程量1!D58</f>
        <v>260.666666666667</v>
      </c>
      <c r="J60" s="38">
        <f>J50</f>
        <v>1478.0004</v>
      </c>
      <c r="K60" s="39"/>
    </row>
    <row r="61" ht="34.95" customHeight="1" spans="1:11">
      <c r="A61" s="103"/>
      <c r="B61" s="10" t="str">
        <f>排水管道工程量1!B59</f>
        <v>D300 Ⅱ级钢筋混凝土管道</v>
      </c>
      <c r="C61" s="42">
        <f t="shared" si="14"/>
        <v>66.39435392</v>
      </c>
      <c r="D61" s="42"/>
      <c r="E61" s="42"/>
      <c r="F61" s="104"/>
      <c r="G61" s="102">
        <f t="shared" si="15"/>
        <v>66.39435392</v>
      </c>
      <c r="H61" s="42" t="str">
        <f>排水管道工程量1!C59</f>
        <v>米</v>
      </c>
      <c r="I61" s="38">
        <f>排水管道工程量1!D59</f>
        <v>736</v>
      </c>
      <c r="J61" s="38">
        <f>J51</f>
        <v>902.0972</v>
      </c>
      <c r="K61" s="39"/>
    </row>
    <row r="62" ht="34.95" customHeight="1" spans="1:11">
      <c r="A62" s="103"/>
      <c r="B62" s="10" t="str">
        <f>排水管道工程量1!B60</f>
        <v>1200×1100 矩形钢筋混凝土检查井</v>
      </c>
      <c r="C62" s="42">
        <f t="shared" si="14"/>
        <v>17.94</v>
      </c>
      <c r="D62" s="42"/>
      <c r="E62" s="42"/>
      <c r="F62" s="42"/>
      <c r="G62" s="102">
        <f t="shared" si="15"/>
        <v>17.94</v>
      </c>
      <c r="H62" s="42" t="str">
        <f>排水管道工程量1!C60</f>
        <v>座</v>
      </c>
      <c r="I62" s="38">
        <f>排水管道工程量1!D60</f>
        <v>23</v>
      </c>
      <c r="J62" s="38">
        <f>J54</f>
        <v>7800</v>
      </c>
      <c r="K62" s="39"/>
    </row>
    <row r="63" ht="34.95" customHeight="1" spans="1:11">
      <c r="A63" s="103"/>
      <c r="B63" s="10" t="str">
        <f>排水管道工程量1!B61</f>
        <v>雨水口</v>
      </c>
      <c r="C63" s="42">
        <f t="shared" si="14"/>
        <v>4.6</v>
      </c>
      <c r="D63" s="42"/>
      <c r="E63" s="42"/>
      <c r="F63" s="42"/>
      <c r="G63" s="102">
        <f t="shared" si="15"/>
        <v>4.6</v>
      </c>
      <c r="H63" s="42" t="str">
        <f>排水管道工程量1!C61</f>
        <v>座</v>
      </c>
      <c r="I63" s="38">
        <f>排水管道工程量1!D61</f>
        <v>46</v>
      </c>
      <c r="J63" s="38">
        <f>J55</f>
        <v>1000</v>
      </c>
      <c r="K63" s="39"/>
    </row>
    <row r="64" ht="34.95" customHeight="1" spans="1:11">
      <c r="A64" s="103"/>
      <c r="B64" s="10" t="str">
        <f>排水管道工程量1!B62</f>
        <v>降水井</v>
      </c>
      <c r="C64" s="42">
        <f t="shared" si="14"/>
        <v>37</v>
      </c>
      <c r="D64" s="42"/>
      <c r="E64" s="42"/>
      <c r="F64" s="42"/>
      <c r="G64" s="102">
        <f t="shared" si="15"/>
        <v>37</v>
      </c>
      <c r="H64" s="42" t="str">
        <f>排水管道工程量1!C62</f>
        <v>座</v>
      </c>
      <c r="I64" s="38">
        <f>排水管道工程量1!D62</f>
        <v>37</v>
      </c>
      <c r="J64" s="38">
        <f>J56</f>
        <v>10000</v>
      </c>
      <c r="K64" s="39"/>
    </row>
    <row r="65" ht="34.95" customHeight="1" spans="1:11">
      <c r="A65" s="103"/>
      <c r="B65" s="10" t="s">
        <v>94</v>
      </c>
      <c r="C65" s="42">
        <f t="shared" si="14"/>
        <v>75.5856</v>
      </c>
      <c r="D65" s="42"/>
      <c r="E65" s="42"/>
      <c r="F65" s="42"/>
      <c r="G65" s="102">
        <f t="shared" si="15"/>
        <v>75.5856</v>
      </c>
      <c r="H65" s="42" t="str">
        <f>排水管道工程量1!C63</f>
        <v>平米</v>
      </c>
      <c r="I65" s="38">
        <f>排水管道工程量1!D63</f>
        <v>6998.66666666667</v>
      </c>
      <c r="J65" s="38">
        <f>J57</f>
        <v>108</v>
      </c>
      <c r="K65" s="39"/>
    </row>
    <row r="66" ht="34.95" customHeight="1" spans="1:11">
      <c r="A66" s="92">
        <v>6</v>
      </c>
      <c r="B66" s="36" t="str">
        <f>排水管道工程量1!B64</f>
        <v>新渠路（怀远大街-民族大街）</v>
      </c>
      <c r="C66" s="100">
        <f>SUM(C67:C73)</f>
        <v>207.53414228</v>
      </c>
      <c r="D66" s="100">
        <f>SUM(D67:D73)</f>
        <v>0</v>
      </c>
      <c r="E66" s="100">
        <f>SUM(E67:E73)</f>
        <v>0</v>
      </c>
      <c r="F66" s="100">
        <f>SUM(F67:F73)</f>
        <v>0</v>
      </c>
      <c r="G66" s="101">
        <f t="shared" si="15"/>
        <v>207.53414228</v>
      </c>
      <c r="H66" s="37"/>
      <c r="I66" s="38">
        <f>I67</f>
        <v>594</v>
      </c>
      <c r="J66" s="111">
        <f>G66/I66*10000</f>
        <v>3493.84077912458</v>
      </c>
      <c r="K66" s="39">
        <f>G66/G249</f>
        <v>0.00763603257508796</v>
      </c>
    </row>
    <row r="67" ht="34.95" customHeight="1" spans="1:11">
      <c r="A67" s="103"/>
      <c r="B67" s="10" t="str">
        <f>排水管道工程量1!B65</f>
        <v>D800 Ⅱ级钢筋混凝土管道</v>
      </c>
      <c r="C67" s="42">
        <f t="shared" ref="C67:C73" si="16">I67*J67/10000</f>
        <v>114.70758948</v>
      </c>
      <c r="D67" s="42"/>
      <c r="E67" s="42"/>
      <c r="F67" s="104"/>
      <c r="G67" s="102">
        <f t="shared" si="15"/>
        <v>114.70758948</v>
      </c>
      <c r="H67" s="42" t="str">
        <f>排水管道工程量1!C65</f>
        <v>米</v>
      </c>
      <c r="I67" s="38">
        <f>排水管道工程量1!D65</f>
        <v>594</v>
      </c>
      <c r="J67" s="38">
        <f>J48</f>
        <v>1931.1042</v>
      </c>
      <c r="K67" s="39"/>
    </row>
    <row r="68" ht="34.95" customHeight="1" spans="1:11">
      <c r="A68" s="103"/>
      <c r="B68" s="10" t="str">
        <f>排水管道工程量1!B66</f>
        <v>D500 Ⅱ级钢筋混凝土管道（预留管）</v>
      </c>
      <c r="C68" s="42">
        <f t="shared" si="16"/>
        <v>11.8240032</v>
      </c>
      <c r="D68" s="42"/>
      <c r="E68" s="42"/>
      <c r="F68" s="104"/>
      <c r="G68" s="102">
        <f t="shared" ref="G68:G75" si="17">C68+D68+E68+F68</f>
        <v>11.8240032</v>
      </c>
      <c r="H68" s="42" t="str">
        <f>排水管道工程量1!C66</f>
        <v>米</v>
      </c>
      <c r="I68" s="38">
        <f>排水管道工程量1!D66</f>
        <v>80</v>
      </c>
      <c r="J68" s="38">
        <f t="shared" ref="J68:J73" si="18">J60</f>
        <v>1478.0004</v>
      </c>
      <c r="K68" s="39"/>
    </row>
    <row r="69" ht="34.95" customHeight="1" spans="1:11">
      <c r="A69" s="103"/>
      <c r="B69" s="10" t="str">
        <f>排水管道工程量1!B67</f>
        <v>D300 Ⅱ级钢筋混凝土管道</v>
      </c>
      <c r="C69" s="42">
        <f t="shared" si="16"/>
        <v>16.2377496</v>
      </c>
      <c r="D69" s="42"/>
      <c r="E69" s="42"/>
      <c r="F69" s="104"/>
      <c r="G69" s="102">
        <f t="shared" si="17"/>
        <v>16.2377496</v>
      </c>
      <c r="H69" s="42" t="str">
        <f>排水管道工程量1!C67</f>
        <v>米</v>
      </c>
      <c r="I69" s="38">
        <f>排水管道工程量1!D67</f>
        <v>180</v>
      </c>
      <c r="J69" s="38">
        <f t="shared" si="18"/>
        <v>902.0972</v>
      </c>
      <c r="K69" s="39"/>
    </row>
    <row r="70" ht="34.95" customHeight="1" spans="1:11">
      <c r="A70" s="103"/>
      <c r="B70" s="10" t="str">
        <f>排水管道工程量1!B68</f>
        <v>1200×1100 矩形钢筋混凝土检查井</v>
      </c>
      <c r="C70" s="42">
        <f t="shared" si="16"/>
        <v>9.36</v>
      </c>
      <c r="D70" s="42"/>
      <c r="E70" s="42"/>
      <c r="F70" s="42"/>
      <c r="G70" s="102">
        <f t="shared" si="17"/>
        <v>9.36</v>
      </c>
      <c r="H70" s="42" t="str">
        <f>排水管道工程量1!C68</f>
        <v>座</v>
      </c>
      <c r="I70" s="38">
        <f>排水管道工程量1!D68</f>
        <v>12</v>
      </c>
      <c r="J70" s="38">
        <f t="shared" si="18"/>
        <v>7800</v>
      </c>
      <c r="K70" s="39"/>
    </row>
    <row r="71" ht="34.95" customHeight="1" spans="1:11">
      <c r="A71" s="103"/>
      <c r="B71" s="10" t="str">
        <f>排水管道工程量1!B69</f>
        <v>雨水口</v>
      </c>
      <c r="C71" s="42">
        <f t="shared" si="16"/>
        <v>2.4</v>
      </c>
      <c r="D71" s="42"/>
      <c r="E71" s="42"/>
      <c r="F71" s="42"/>
      <c r="G71" s="102">
        <f t="shared" si="17"/>
        <v>2.4</v>
      </c>
      <c r="H71" s="42" t="str">
        <f>排水管道工程量1!C69</f>
        <v>座</v>
      </c>
      <c r="I71" s="38">
        <f>排水管道工程量1!D69</f>
        <v>24</v>
      </c>
      <c r="J71" s="38">
        <f t="shared" si="18"/>
        <v>1000</v>
      </c>
      <c r="K71" s="39"/>
    </row>
    <row r="72" ht="34.95" customHeight="1" spans="1:11">
      <c r="A72" s="103"/>
      <c r="B72" s="10" t="str">
        <f>排水管道工程量1!B70</f>
        <v>降水井</v>
      </c>
      <c r="C72" s="42">
        <f t="shared" si="16"/>
        <v>20</v>
      </c>
      <c r="D72" s="42"/>
      <c r="E72" s="42"/>
      <c r="F72" s="42"/>
      <c r="G72" s="102">
        <f t="shared" si="17"/>
        <v>20</v>
      </c>
      <c r="H72" s="42" t="str">
        <f>排水管道工程量1!C70</f>
        <v>座</v>
      </c>
      <c r="I72" s="38">
        <f>排水管道工程量1!D70</f>
        <v>20</v>
      </c>
      <c r="J72" s="38">
        <f t="shared" si="18"/>
        <v>10000</v>
      </c>
      <c r="K72" s="39"/>
    </row>
    <row r="73" ht="34.95" customHeight="1" spans="1:11">
      <c r="A73" s="103"/>
      <c r="B73" s="10" t="s">
        <v>94</v>
      </c>
      <c r="C73" s="42">
        <f t="shared" si="16"/>
        <v>33.0048</v>
      </c>
      <c r="D73" s="42"/>
      <c r="E73" s="42"/>
      <c r="F73" s="42"/>
      <c r="G73" s="102">
        <f t="shared" si="17"/>
        <v>33.0048</v>
      </c>
      <c r="H73" s="42" t="str">
        <f>排水管道工程量1!C71</f>
        <v>平米</v>
      </c>
      <c r="I73" s="38">
        <f>排水管道工程量1!D71</f>
        <v>3056</v>
      </c>
      <c r="J73" s="38">
        <f t="shared" si="18"/>
        <v>108</v>
      </c>
      <c r="K73" s="39"/>
    </row>
    <row r="74" ht="34.95" customHeight="1" spans="1:11">
      <c r="A74" s="92">
        <v>7</v>
      </c>
      <c r="B74" s="36" t="str">
        <f>排水管道工程量1!B72</f>
        <v>鼓楼西街（西环路-西苑街）</v>
      </c>
      <c r="C74" s="100">
        <f>SUM(C75:C86)</f>
        <v>2457.05925596</v>
      </c>
      <c r="D74" s="100">
        <f>SUM(D75:D86)</f>
        <v>0</v>
      </c>
      <c r="E74" s="100">
        <f>SUM(E75:E86)</f>
        <v>0</v>
      </c>
      <c r="F74" s="100">
        <f>SUM(F75:F86)</f>
        <v>0</v>
      </c>
      <c r="G74" s="101">
        <f t="shared" si="17"/>
        <v>2457.05925596</v>
      </c>
      <c r="H74" s="37"/>
      <c r="I74" s="38">
        <f>I75+I76</f>
        <v>2063</v>
      </c>
      <c r="J74" s="111">
        <f>G74/I74*10000</f>
        <v>11910.1272707707</v>
      </c>
      <c r="K74" s="39">
        <f>G74/G249</f>
        <v>0.0904052909622864</v>
      </c>
    </row>
    <row r="75" ht="34.95" customHeight="1" spans="1:11">
      <c r="A75" s="103"/>
      <c r="B75" s="10" t="str">
        <f>排水管道工程量1!B73</f>
        <v>D2400 Ⅱ级钢筋混凝土管道</v>
      </c>
      <c r="C75" s="42">
        <f t="shared" ref="C75:C86" si="19">I75*J75/10000</f>
        <v>1503.02559498</v>
      </c>
      <c r="D75" s="42"/>
      <c r="E75" s="42"/>
      <c r="F75" s="104"/>
      <c r="G75" s="102">
        <f t="shared" si="17"/>
        <v>1503.02559498</v>
      </c>
      <c r="H75" s="42" t="str">
        <f>排水管道工程量1!C73</f>
        <v>米</v>
      </c>
      <c r="I75" s="38">
        <f>排水管道工程量1!D73</f>
        <v>1469</v>
      </c>
      <c r="J75" s="38">
        <f>排水管道单价!D3</f>
        <v>10231.6242</v>
      </c>
      <c r="K75" s="39"/>
    </row>
    <row r="76" ht="34.95" customHeight="1" spans="1:11">
      <c r="A76" s="103"/>
      <c r="B76" s="10" t="str">
        <f>排水管道工程量1!B74</f>
        <v>D1000 Ⅱ级钢筋混凝土管道</v>
      </c>
      <c r="C76" s="42">
        <f t="shared" si="19"/>
        <v>176.689755</v>
      </c>
      <c r="D76" s="42"/>
      <c r="E76" s="42"/>
      <c r="F76" s="104"/>
      <c r="G76" s="102">
        <f t="shared" ref="G76:G88" si="20">C76+D76+E76+F76</f>
        <v>176.689755</v>
      </c>
      <c r="H76" s="42" t="str">
        <f>排水管道工程量1!C74</f>
        <v>米</v>
      </c>
      <c r="I76" s="38">
        <f>排水管道工程量1!D74</f>
        <v>594</v>
      </c>
      <c r="J76" s="38">
        <f>J47</f>
        <v>2974.575</v>
      </c>
      <c r="K76" s="39"/>
    </row>
    <row r="77" ht="34.95" customHeight="1" spans="1:11">
      <c r="A77" s="103"/>
      <c r="B77" s="10" t="str">
        <f>排水管道工程量1!B75</f>
        <v>D800 Ⅱ级钢筋混凝土管道</v>
      </c>
      <c r="C77" s="42">
        <f t="shared" si="19"/>
        <v>108.72116646</v>
      </c>
      <c r="D77" s="42"/>
      <c r="E77" s="42"/>
      <c r="F77" s="104"/>
      <c r="G77" s="102">
        <f t="shared" si="20"/>
        <v>108.72116646</v>
      </c>
      <c r="H77" s="42" t="str">
        <f>排水管道工程量1!C75</f>
        <v>米</v>
      </c>
      <c r="I77" s="38">
        <f>排水管道工程量1!D75</f>
        <v>563</v>
      </c>
      <c r="J77" s="38">
        <f>J67</f>
        <v>1931.1042</v>
      </c>
      <c r="K77" s="39"/>
    </row>
    <row r="78" ht="34.95" customHeight="1" spans="1:11">
      <c r="A78" s="103"/>
      <c r="B78" s="10" t="str">
        <f>排水管道工程量1!B76</f>
        <v>D600 Ⅱ级钢筋混凝土管道</v>
      </c>
      <c r="C78" s="42">
        <f t="shared" si="19"/>
        <v>82.88917056</v>
      </c>
      <c r="D78" s="42"/>
      <c r="E78" s="42"/>
      <c r="F78" s="104"/>
      <c r="G78" s="102">
        <f t="shared" si="20"/>
        <v>82.88917056</v>
      </c>
      <c r="H78" s="42" t="str">
        <f>排水管道工程量1!C76</f>
        <v>米</v>
      </c>
      <c r="I78" s="38">
        <f>排水管道工程量1!D76</f>
        <v>524</v>
      </c>
      <c r="J78" s="38">
        <f>J59</f>
        <v>1581.8544</v>
      </c>
      <c r="K78" s="39"/>
    </row>
    <row r="79" ht="34.95" customHeight="1" spans="1:11">
      <c r="A79" s="103"/>
      <c r="B79" s="10" t="str">
        <f>排水管道工程量1!B77</f>
        <v>D500 Ⅱ级钢筋混凝土管道（预留管）</v>
      </c>
      <c r="C79" s="42">
        <f t="shared" si="19"/>
        <v>57.1493488</v>
      </c>
      <c r="D79" s="42"/>
      <c r="E79" s="42"/>
      <c r="F79" s="42"/>
      <c r="G79" s="102">
        <f t="shared" si="20"/>
        <v>57.1493488</v>
      </c>
      <c r="H79" s="42" t="str">
        <f>排水管道工程量1!C77</f>
        <v>米</v>
      </c>
      <c r="I79" s="38">
        <f>排水管道工程量1!D77</f>
        <v>386.666666666667</v>
      </c>
      <c r="J79" s="38">
        <f>J68</f>
        <v>1478.0004</v>
      </c>
      <c r="K79" s="39"/>
    </row>
    <row r="80" ht="34.95" customHeight="1" spans="1:11">
      <c r="A80" s="103"/>
      <c r="B80" s="10" t="str">
        <f>排水管道工程量1!B78</f>
        <v>D300 Ⅱ级钢筋混凝土管道</v>
      </c>
      <c r="C80" s="42">
        <f t="shared" si="19"/>
        <v>83.71462016</v>
      </c>
      <c r="D80" s="42"/>
      <c r="E80" s="42"/>
      <c r="F80" s="42"/>
      <c r="G80" s="102">
        <f t="shared" si="20"/>
        <v>83.71462016</v>
      </c>
      <c r="H80" s="42" t="str">
        <f>排水管道工程量1!C78</f>
        <v>米</v>
      </c>
      <c r="I80" s="38">
        <f>排水管道工程量1!D78</f>
        <v>928</v>
      </c>
      <c r="J80" s="38">
        <f>J69</f>
        <v>902.0972</v>
      </c>
      <c r="K80" s="39"/>
    </row>
    <row r="81" ht="34.95" customHeight="1" spans="1:11">
      <c r="A81" s="103"/>
      <c r="B81" s="10" t="str">
        <f>排水管道工程量1!B79</f>
        <v>3100×1100 矩形钢筋混凝土检查井</v>
      </c>
      <c r="C81" s="42">
        <f t="shared" si="19"/>
        <v>66.15</v>
      </c>
      <c r="D81" s="42"/>
      <c r="E81" s="42"/>
      <c r="F81" s="42"/>
      <c r="G81" s="102">
        <f t="shared" si="20"/>
        <v>66.15</v>
      </c>
      <c r="H81" s="42" t="str">
        <f>排水管道工程量1!C79</f>
        <v>座</v>
      </c>
      <c r="I81" s="38">
        <f>排水管道工程量1!D79</f>
        <v>27</v>
      </c>
      <c r="J81" s="38">
        <f>检查井单价!D3</f>
        <v>24500</v>
      </c>
      <c r="K81" s="39"/>
    </row>
    <row r="82" ht="34.95" customHeight="1" spans="1:11">
      <c r="A82" s="103"/>
      <c r="B82" s="10" t="str">
        <f>排水管道工程量1!B80</f>
        <v>1400×1100 矩形钢筋混凝土检查井</v>
      </c>
      <c r="C82" s="42">
        <f t="shared" si="19"/>
        <v>10.23</v>
      </c>
      <c r="D82" s="42"/>
      <c r="E82" s="42"/>
      <c r="F82" s="42"/>
      <c r="G82" s="102">
        <f t="shared" si="20"/>
        <v>10.23</v>
      </c>
      <c r="H82" s="42" t="str">
        <f>排水管道工程量1!C80</f>
        <v>座</v>
      </c>
      <c r="I82" s="38">
        <f>排水管道工程量1!D80</f>
        <v>11</v>
      </c>
      <c r="J82" s="38">
        <f>J53</f>
        <v>9300</v>
      </c>
      <c r="K82" s="39"/>
    </row>
    <row r="83" ht="34.95" customHeight="1" spans="1:11">
      <c r="A83" s="103"/>
      <c r="B83" s="10" t="str">
        <f>排水管道工程量1!B81</f>
        <v>1200×1100 矩形钢筋混凝土检查井</v>
      </c>
      <c r="C83" s="42">
        <f t="shared" si="19"/>
        <v>15.6</v>
      </c>
      <c r="D83" s="42"/>
      <c r="E83" s="42"/>
      <c r="F83" s="42"/>
      <c r="G83" s="102">
        <f t="shared" si="20"/>
        <v>15.6</v>
      </c>
      <c r="H83" s="42" t="str">
        <f>排水管道工程量1!C81</f>
        <v>座</v>
      </c>
      <c r="I83" s="38">
        <f>排水管道工程量1!D81</f>
        <v>20</v>
      </c>
      <c r="J83" s="38">
        <f>J70</f>
        <v>7800</v>
      </c>
      <c r="K83" s="39"/>
    </row>
    <row r="84" ht="34.95" customHeight="1" spans="1:11">
      <c r="A84" s="103"/>
      <c r="B84" s="10" t="str">
        <f>排水管道工程量1!B82</f>
        <v>雨水口</v>
      </c>
      <c r="C84" s="42">
        <f t="shared" si="19"/>
        <v>11.6</v>
      </c>
      <c r="D84" s="42"/>
      <c r="E84" s="42"/>
      <c r="F84" s="42"/>
      <c r="G84" s="102">
        <f t="shared" si="20"/>
        <v>11.6</v>
      </c>
      <c r="H84" s="42" t="str">
        <f>排水管道工程量1!C82</f>
        <v>座</v>
      </c>
      <c r="I84" s="38">
        <f>排水管道工程量1!D82</f>
        <v>116</v>
      </c>
      <c r="J84" s="38">
        <f>J71</f>
        <v>1000</v>
      </c>
      <c r="K84" s="39"/>
    </row>
    <row r="85" ht="34.95" customHeight="1" spans="1:11">
      <c r="A85" s="103"/>
      <c r="B85" s="10" t="str">
        <f>排水管道工程量1!B83</f>
        <v>降水井</v>
      </c>
      <c r="C85" s="42">
        <f t="shared" si="19"/>
        <v>105</v>
      </c>
      <c r="D85" s="42"/>
      <c r="E85" s="42"/>
      <c r="F85" s="42"/>
      <c r="G85" s="102">
        <f t="shared" si="20"/>
        <v>105</v>
      </c>
      <c r="H85" s="42" t="str">
        <f>排水管道工程量1!C83</f>
        <v>座</v>
      </c>
      <c r="I85" s="38">
        <f>排水管道工程量1!D83</f>
        <v>105</v>
      </c>
      <c r="J85" s="38">
        <f>J72</f>
        <v>10000</v>
      </c>
      <c r="K85" s="39"/>
    </row>
    <row r="86" ht="34.95" customHeight="1" spans="1:11">
      <c r="A86" s="103"/>
      <c r="B86" s="10" t="s">
        <v>94</v>
      </c>
      <c r="C86" s="42">
        <f t="shared" si="19"/>
        <v>236.2896</v>
      </c>
      <c r="D86" s="42"/>
      <c r="E86" s="42"/>
      <c r="F86" s="42"/>
      <c r="G86" s="102">
        <f t="shared" si="20"/>
        <v>236.2896</v>
      </c>
      <c r="H86" s="42" t="str">
        <f>排水管道工程量1!C84</f>
        <v>平米</v>
      </c>
      <c r="I86" s="38">
        <f>排水管道工程量1!D84</f>
        <v>21878.6666666667</v>
      </c>
      <c r="J86" s="38">
        <f>J73</f>
        <v>108</v>
      </c>
      <c r="K86" s="39"/>
    </row>
    <row r="87" ht="34.95" customHeight="1" spans="1:11">
      <c r="A87" s="92">
        <v>8</v>
      </c>
      <c r="B87" s="36" t="str">
        <f>排水管道工程量1!B85</f>
        <v>人民西路（怀远大街-翰林大街）</v>
      </c>
      <c r="C87" s="100">
        <f>C88+C89+C90+C91+C92+C93+C94+C95+C96+C97</f>
        <v>801.41591166</v>
      </c>
      <c r="D87" s="100">
        <f>D88+D89+D90+D91+D92+D93+D94+D95+D96+D97</f>
        <v>0</v>
      </c>
      <c r="E87" s="100">
        <f>E88+E89+E90+E91+E92+E93+E94+E95+E96+E97</f>
        <v>0</v>
      </c>
      <c r="F87" s="100">
        <f>F88+F89+F90+F91+F92+F93+F94+F95+F96+F97</f>
        <v>0</v>
      </c>
      <c r="G87" s="101">
        <f t="shared" si="20"/>
        <v>801.41591166</v>
      </c>
      <c r="H87" s="37"/>
      <c r="I87" s="38">
        <f>I88</f>
        <v>1174</v>
      </c>
      <c r="J87" s="111">
        <f>G87/I87*10000</f>
        <v>6826.3706274276</v>
      </c>
      <c r="K87" s="39">
        <f>G87/G249</f>
        <v>0.0294873794759665</v>
      </c>
    </row>
    <row r="88" ht="34.95" customHeight="1" spans="1:11">
      <c r="A88" s="103"/>
      <c r="B88" s="10" t="str">
        <f>排水管道工程量1!B86</f>
        <v>D1000 Ⅱ级钢筋混凝土管道</v>
      </c>
      <c r="C88" s="42">
        <f t="shared" ref="C88:C97" si="21">I88*J88/10000</f>
        <v>349.215105</v>
      </c>
      <c r="D88" s="42"/>
      <c r="E88" s="42"/>
      <c r="F88" s="104"/>
      <c r="G88" s="102">
        <f t="shared" si="20"/>
        <v>349.215105</v>
      </c>
      <c r="H88" s="42" t="str">
        <f>排水管道工程量1!C86</f>
        <v>米</v>
      </c>
      <c r="I88" s="38">
        <f>排水管道工程量1!D86</f>
        <v>1174</v>
      </c>
      <c r="J88" s="38">
        <f>J76</f>
        <v>2974.575</v>
      </c>
      <c r="K88" s="39"/>
    </row>
    <row r="89" ht="34.95" customHeight="1" spans="1:11">
      <c r="A89" s="103"/>
      <c r="B89" s="10" t="str">
        <f>排水管道工程量1!B87</f>
        <v>D800 Ⅱ级钢筋混凝土管道</v>
      </c>
      <c r="C89" s="42">
        <f t="shared" si="21"/>
        <v>102.54163302</v>
      </c>
      <c r="D89" s="42"/>
      <c r="E89" s="42"/>
      <c r="F89" s="104"/>
      <c r="G89" s="102">
        <f t="shared" ref="G89:G97" si="22">C89+D89+E89+F89</f>
        <v>102.54163302</v>
      </c>
      <c r="H89" s="42" t="str">
        <f>排水管道工程量1!C87</f>
        <v>米</v>
      </c>
      <c r="I89" s="38">
        <f>排水管道工程量1!D87</f>
        <v>531</v>
      </c>
      <c r="J89" s="38">
        <f>J77</f>
        <v>1931.1042</v>
      </c>
      <c r="K89" s="39"/>
    </row>
    <row r="90" ht="34.95" customHeight="1" spans="1:11">
      <c r="A90" s="103"/>
      <c r="B90" s="10" t="str">
        <f>排水管道工程量1!B88</f>
        <v>D600 Ⅱ级钢筋混凝土管道</v>
      </c>
      <c r="C90" s="42">
        <f t="shared" si="21"/>
        <v>45.24103584</v>
      </c>
      <c r="D90" s="42"/>
      <c r="E90" s="42"/>
      <c r="F90" s="104"/>
      <c r="G90" s="102">
        <f t="shared" si="22"/>
        <v>45.24103584</v>
      </c>
      <c r="H90" s="42" t="str">
        <f>排水管道工程量1!C88</f>
        <v>米</v>
      </c>
      <c r="I90" s="38">
        <f>排水管道工程量1!D88</f>
        <v>286</v>
      </c>
      <c r="J90" s="38">
        <f>J78</f>
        <v>1581.8544</v>
      </c>
      <c r="K90" s="39"/>
    </row>
    <row r="91" ht="34.95" customHeight="1" spans="1:11">
      <c r="A91" s="103"/>
      <c r="B91" s="10" t="str">
        <f>排水管道工程量1!B89</f>
        <v>D500 Ⅱ级钢筋混凝土管道（预留管）</v>
      </c>
      <c r="C91" s="42">
        <f t="shared" si="21"/>
        <v>36.4573432</v>
      </c>
      <c r="D91" s="42"/>
      <c r="E91" s="42"/>
      <c r="F91" s="42"/>
      <c r="G91" s="102">
        <f t="shared" si="22"/>
        <v>36.4573432</v>
      </c>
      <c r="H91" s="42" t="str">
        <f>排水管道工程量1!C89</f>
        <v>米</v>
      </c>
      <c r="I91" s="38">
        <f>排水管道工程量1!D89</f>
        <v>246.666666666667</v>
      </c>
      <c r="J91" s="38">
        <f>J79</f>
        <v>1478.0004</v>
      </c>
      <c r="K91" s="39"/>
    </row>
    <row r="92" ht="34.95" customHeight="1" spans="1:11">
      <c r="A92" s="103"/>
      <c r="B92" s="10" t="str">
        <f>排水管道工程量1!B90</f>
        <v>D300 Ⅱ级钢筋混凝土管道</v>
      </c>
      <c r="C92" s="42">
        <f t="shared" si="21"/>
        <v>50.0663946</v>
      </c>
      <c r="D92" s="42"/>
      <c r="E92" s="42"/>
      <c r="F92" s="42"/>
      <c r="G92" s="102">
        <f t="shared" si="22"/>
        <v>50.0663946</v>
      </c>
      <c r="H92" s="42" t="str">
        <f>排水管道工程量1!C90</f>
        <v>米</v>
      </c>
      <c r="I92" s="38">
        <f>排水管道工程量1!D90</f>
        <v>555</v>
      </c>
      <c r="J92" s="38">
        <f>J80</f>
        <v>902.0972</v>
      </c>
      <c r="K92" s="39"/>
    </row>
    <row r="93" ht="34.95" customHeight="1" spans="1:11">
      <c r="A93" s="103"/>
      <c r="B93" s="10" t="str">
        <f>排水管道工程量1!B91</f>
        <v>1400×1100 矩形钢筋混凝土检查井</v>
      </c>
      <c r="C93" s="42">
        <f t="shared" si="21"/>
        <v>20.46</v>
      </c>
      <c r="D93" s="42"/>
      <c r="E93" s="42"/>
      <c r="F93" s="42"/>
      <c r="G93" s="102">
        <f t="shared" si="22"/>
        <v>20.46</v>
      </c>
      <c r="H93" s="42" t="str">
        <f>排水管道工程量1!C91</f>
        <v>座</v>
      </c>
      <c r="I93" s="38">
        <f>排水管道工程量1!D91</f>
        <v>22</v>
      </c>
      <c r="J93" s="38">
        <f>J82</f>
        <v>9300</v>
      </c>
      <c r="K93" s="39"/>
    </row>
    <row r="94" ht="34.95" customHeight="1" spans="1:11">
      <c r="A94" s="103"/>
      <c r="B94" s="10" t="str">
        <f>排水管道工程量1!B92</f>
        <v>1200×1100 矩形钢筋混凝土检查井</v>
      </c>
      <c r="C94" s="42">
        <f t="shared" si="21"/>
        <v>11.7</v>
      </c>
      <c r="D94" s="42"/>
      <c r="E94" s="42"/>
      <c r="F94" s="42"/>
      <c r="G94" s="102">
        <f t="shared" si="22"/>
        <v>11.7</v>
      </c>
      <c r="H94" s="42" t="str">
        <f>排水管道工程量1!C92</f>
        <v>座</v>
      </c>
      <c r="I94" s="38">
        <f>排水管道工程量1!D92</f>
        <v>15</v>
      </c>
      <c r="J94" s="38">
        <f>J83</f>
        <v>7800</v>
      </c>
      <c r="K94" s="39"/>
    </row>
    <row r="95" ht="34.95" customHeight="1" spans="1:11">
      <c r="A95" s="103"/>
      <c r="B95" s="10" t="str">
        <f>排水管道工程量1!B93</f>
        <v>雨水口</v>
      </c>
      <c r="C95" s="42">
        <f t="shared" si="21"/>
        <v>7.4</v>
      </c>
      <c r="D95" s="42"/>
      <c r="E95" s="42"/>
      <c r="F95" s="42"/>
      <c r="G95" s="102">
        <f t="shared" si="22"/>
        <v>7.4</v>
      </c>
      <c r="H95" s="42" t="str">
        <f>排水管道工程量1!C93</f>
        <v>座</v>
      </c>
      <c r="I95" s="38">
        <f>排水管道工程量1!D93</f>
        <v>74</v>
      </c>
      <c r="J95" s="38">
        <f>J84</f>
        <v>1000</v>
      </c>
      <c r="K95" s="39"/>
    </row>
    <row r="96" ht="34.95" customHeight="1" spans="1:11">
      <c r="A96" s="103"/>
      <c r="B96" s="10" t="str">
        <f>排水管道工程量1!B94</f>
        <v>降水井</v>
      </c>
      <c r="C96" s="42">
        <f t="shared" si="21"/>
        <v>57</v>
      </c>
      <c r="D96" s="42"/>
      <c r="E96" s="42"/>
      <c r="F96" s="42"/>
      <c r="G96" s="102">
        <f t="shared" si="22"/>
        <v>57</v>
      </c>
      <c r="H96" s="42" t="str">
        <f>排水管道工程量1!C94</f>
        <v>座</v>
      </c>
      <c r="I96" s="38">
        <f>排水管道工程量1!D94</f>
        <v>57</v>
      </c>
      <c r="J96" s="38">
        <f>J85</f>
        <v>10000</v>
      </c>
      <c r="K96" s="39"/>
    </row>
    <row r="97" ht="34.95" customHeight="1" spans="1:11">
      <c r="A97" s="103"/>
      <c r="B97" s="10" t="str">
        <f>排水管道工程量1!B95</f>
        <v>管道施工路面恢复</v>
      </c>
      <c r="C97" s="42">
        <f t="shared" si="21"/>
        <v>121.3344</v>
      </c>
      <c r="D97" s="42"/>
      <c r="E97" s="42"/>
      <c r="F97" s="42"/>
      <c r="G97" s="102">
        <f t="shared" si="22"/>
        <v>121.3344</v>
      </c>
      <c r="H97" s="42" t="str">
        <f>排水管道工程量1!C95</f>
        <v>平米</v>
      </c>
      <c r="I97" s="38">
        <f>排水管道工程量1!D95</f>
        <v>11234.6666666667</v>
      </c>
      <c r="J97" s="38">
        <f>J86</f>
        <v>108</v>
      </c>
      <c r="K97" s="39"/>
    </row>
    <row r="98" ht="34.95" customHeight="1" spans="1:11">
      <c r="A98" s="92">
        <v>9</v>
      </c>
      <c r="B98" s="112" t="str">
        <f>排水管道工程量1!B96</f>
        <v>团结西路（西环路-西苑街）</v>
      </c>
      <c r="C98" s="104">
        <f>C99+C100+C101+C102+C103+C104+C105+C106+C107</f>
        <v>848.59081784</v>
      </c>
      <c r="D98" s="104">
        <f>D99+D100+D101+D102+D103+D104+D105+D106+D107</f>
        <v>0</v>
      </c>
      <c r="E98" s="104">
        <f>E99+E100+E101+E102+E103+E104+E105+E106+E107</f>
        <v>0</v>
      </c>
      <c r="F98" s="104">
        <f>F99+F100+F101+F102+F103+F104+F105+F106+F107</f>
        <v>0</v>
      </c>
      <c r="G98" s="101">
        <f>F98+E98+D98+C98</f>
        <v>848.59081784</v>
      </c>
      <c r="H98" s="42">
        <f>排水管道工程量1!C96</f>
        <v>0</v>
      </c>
      <c r="I98" s="38">
        <f>排水管道工程量1!D96</f>
        <v>2312</v>
      </c>
      <c r="J98" s="38"/>
      <c r="K98" s="39">
        <f>G98/G249</f>
        <v>0.0312231378256995</v>
      </c>
    </row>
    <row r="99" ht="34.95" customHeight="1" spans="1:11">
      <c r="A99" s="103"/>
      <c r="B99" s="10" t="str">
        <f>排水管道工程量1!B97</f>
        <v>D1000 Ⅱ级钢筋混凝土管道</v>
      </c>
      <c r="C99" s="42">
        <f t="shared" ref="C99:C107" si="23">I99*J99/10000</f>
        <v>176.9872125</v>
      </c>
      <c r="D99" s="42"/>
      <c r="E99" s="42"/>
      <c r="F99" s="42"/>
      <c r="G99" s="102">
        <f>C99+D99+E99+F99</f>
        <v>176.9872125</v>
      </c>
      <c r="H99" s="42" t="str">
        <f>排水管道工程量1!C97</f>
        <v>米</v>
      </c>
      <c r="I99" s="38">
        <f>排水管道工程量1!D97</f>
        <v>595</v>
      </c>
      <c r="J99" s="38">
        <f>J88</f>
        <v>2974.575</v>
      </c>
      <c r="K99" s="39"/>
    </row>
    <row r="100" ht="34.95" customHeight="1" spans="1:11">
      <c r="A100" s="103"/>
      <c r="B100" s="10" t="str">
        <f>排水管道工程量1!B98</f>
        <v>D800 Ⅱ级钢筋混凝土管道</v>
      </c>
      <c r="C100" s="42">
        <f t="shared" si="23"/>
        <v>331.57059114</v>
      </c>
      <c r="D100" s="42"/>
      <c r="E100" s="42"/>
      <c r="F100" s="42"/>
      <c r="G100" s="102">
        <f t="shared" ref="G100:G107" si="24">C100+D100+E100+F100</f>
        <v>331.57059114</v>
      </c>
      <c r="H100" s="42" t="str">
        <f>排水管道工程量1!C98</f>
        <v>米</v>
      </c>
      <c r="I100" s="38">
        <f>排水管道工程量1!D98</f>
        <v>1717</v>
      </c>
      <c r="J100" s="38">
        <f>J89</f>
        <v>1931.1042</v>
      </c>
      <c r="K100" s="39"/>
    </row>
    <row r="101" ht="34.95" customHeight="1" spans="1:11">
      <c r="A101" s="103"/>
      <c r="B101" s="10" t="str">
        <f>排水管道工程量1!B99</f>
        <v>D500 Ⅱ级钢筋混凝土管道（预留管）</v>
      </c>
      <c r="C101" s="42">
        <f t="shared" si="23"/>
        <v>42.3693448000001</v>
      </c>
      <c r="D101" s="42"/>
      <c r="E101" s="42"/>
      <c r="F101" s="42"/>
      <c r="G101" s="102">
        <f t="shared" si="24"/>
        <v>42.3693448000001</v>
      </c>
      <c r="H101" s="42" t="str">
        <f>排水管道工程量1!C99</f>
        <v>米</v>
      </c>
      <c r="I101" s="38">
        <f>排水管道工程量1!D99</f>
        <v>286.666666666667</v>
      </c>
      <c r="J101" s="38">
        <f t="shared" ref="J101:J107" si="25">J91</f>
        <v>1478.0004</v>
      </c>
      <c r="K101" s="39"/>
    </row>
    <row r="102" ht="34.95" customHeight="1" spans="1:11">
      <c r="A102" s="103"/>
      <c r="B102" s="10" t="str">
        <f>排水管道工程量1!B100</f>
        <v>D300 Ⅱ级钢筋混凝土管道</v>
      </c>
      <c r="C102" s="42">
        <f t="shared" si="23"/>
        <v>58.1852694</v>
      </c>
      <c r="D102" s="42"/>
      <c r="E102" s="42"/>
      <c r="F102" s="42"/>
      <c r="G102" s="102">
        <f t="shared" si="24"/>
        <v>58.1852694</v>
      </c>
      <c r="H102" s="42" t="str">
        <f>排水管道工程量1!C100</f>
        <v>米</v>
      </c>
      <c r="I102" s="38">
        <f>排水管道工程量1!D100</f>
        <v>645</v>
      </c>
      <c r="J102" s="38">
        <f t="shared" si="25"/>
        <v>902.0972</v>
      </c>
      <c r="K102" s="39"/>
    </row>
    <row r="103" ht="34.95" customHeight="1" spans="1:11">
      <c r="A103" s="103"/>
      <c r="B103" s="10" t="str">
        <f>排水管道工程量1!B101</f>
        <v>1400×1100 矩形钢筋混凝土检查井</v>
      </c>
      <c r="C103" s="42">
        <f t="shared" si="23"/>
        <v>10.23</v>
      </c>
      <c r="D103" s="42"/>
      <c r="E103" s="42"/>
      <c r="F103" s="42"/>
      <c r="G103" s="102">
        <f t="shared" si="24"/>
        <v>10.23</v>
      </c>
      <c r="H103" s="42" t="str">
        <f>排水管道工程量1!C101</f>
        <v>座</v>
      </c>
      <c r="I103" s="38">
        <f>排水管道工程量1!D101</f>
        <v>11</v>
      </c>
      <c r="J103" s="38">
        <f t="shared" si="25"/>
        <v>9300</v>
      </c>
      <c r="K103" s="39"/>
    </row>
    <row r="104" ht="34.95" customHeight="1" spans="1:11">
      <c r="A104" s="103"/>
      <c r="B104" s="10" t="str">
        <f>排水管道工程量1!B102</f>
        <v>1200×1100 矩形钢筋混凝土检查井</v>
      </c>
      <c r="C104" s="42">
        <f t="shared" si="23"/>
        <v>24.96</v>
      </c>
      <c r="D104" s="42"/>
      <c r="E104" s="42"/>
      <c r="F104" s="42"/>
      <c r="G104" s="102">
        <f t="shared" si="24"/>
        <v>24.96</v>
      </c>
      <c r="H104" s="42" t="str">
        <f>排水管道工程量1!C102</f>
        <v>座</v>
      </c>
      <c r="I104" s="38">
        <f>排水管道工程量1!D102</f>
        <v>32</v>
      </c>
      <c r="J104" s="38">
        <f t="shared" si="25"/>
        <v>7800</v>
      </c>
      <c r="K104" s="39"/>
    </row>
    <row r="105" ht="34.95" customHeight="1" spans="1:11">
      <c r="A105" s="103"/>
      <c r="B105" s="10" t="str">
        <f>排水管道工程量1!B103</f>
        <v>雨水口</v>
      </c>
      <c r="C105" s="42">
        <f t="shared" si="23"/>
        <v>8.6</v>
      </c>
      <c r="D105" s="42"/>
      <c r="E105" s="42"/>
      <c r="F105" s="42"/>
      <c r="G105" s="102">
        <f t="shared" si="24"/>
        <v>8.6</v>
      </c>
      <c r="H105" s="42" t="str">
        <f>排水管道工程量1!C103</f>
        <v>座</v>
      </c>
      <c r="I105" s="38">
        <f>排水管道工程量1!D103</f>
        <v>86</v>
      </c>
      <c r="J105" s="38">
        <f t="shared" si="25"/>
        <v>1000</v>
      </c>
      <c r="K105" s="39"/>
    </row>
    <row r="106" ht="34.95" customHeight="1" spans="1:11">
      <c r="A106" s="103"/>
      <c r="B106" s="10" t="str">
        <f>排水管道工程量1!B104</f>
        <v>降水井</v>
      </c>
      <c r="C106" s="42">
        <f t="shared" si="23"/>
        <v>77</v>
      </c>
      <c r="D106" s="42"/>
      <c r="E106" s="42"/>
      <c r="F106" s="42"/>
      <c r="G106" s="102">
        <f t="shared" si="24"/>
        <v>77</v>
      </c>
      <c r="H106" s="42" t="str">
        <f>排水管道工程量1!C104</f>
        <v>座</v>
      </c>
      <c r="I106" s="38">
        <f>排水管道工程量1!D104</f>
        <v>77</v>
      </c>
      <c r="J106" s="38">
        <f t="shared" si="25"/>
        <v>10000</v>
      </c>
      <c r="K106" s="39"/>
    </row>
    <row r="107" ht="34.95" customHeight="1" spans="1:11">
      <c r="A107" s="103"/>
      <c r="B107" s="10" t="str">
        <f>排水管道工程量1!B105</f>
        <v>管道施工路面恢复</v>
      </c>
      <c r="C107" s="42">
        <f t="shared" si="23"/>
        <v>118.6884</v>
      </c>
      <c r="D107" s="42"/>
      <c r="E107" s="42"/>
      <c r="F107" s="42"/>
      <c r="G107" s="102">
        <f t="shared" si="24"/>
        <v>118.6884</v>
      </c>
      <c r="H107" s="42" t="str">
        <f>排水管道工程量1!C105</f>
        <v>平米</v>
      </c>
      <c r="I107" s="38">
        <f>排水管道工程量1!D105</f>
        <v>10989.6666666667</v>
      </c>
      <c r="J107" s="38">
        <f t="shared" si="25"/>
        <v>108</v>
      </c>
      <c r="K107" s="39"/>
    </row>
    <row r="108" ht="34.95" customHeight="1" spans="1:11">
      <c r="A108" s="92">
        <v>10</v>
      </c>
      <c r="B108" s="112" t="str">
        <f>排水管道工程量1!B106</f>
        <v>玉皇阁大道（西环路-西苑街）</v>
      </c>
      <c r="C108" s="104">
        <f>C109+C110+C111+C112+C113+C114+C115+C116+C117+C118</f>
        <v>1311.91331704</v>
      </c>
      <c r="D108" s="104">
        <f>D109+D110+D111+D112+D113+D114+D115+D116+D117+D118</f>
        <v>0</v>
      </c>
      <c r="E108" s="104">
        <f>E109+E110+E111+E112+E113+E114+E115+E116+E117+E118</f>
        <v>0</v>
      </c>
      <c r="F108" s="104">
        <f>F109+F110+F111+F112+F113+F114+F115+F116+F117+F118</f>
        <v>0</v>
      </c>
      <c r="G108" s="101">
        <f>F108+E108+D108+C108</f>
        <v>1311.91331704</v>
      </c>
      <c r="H108" s="42"/>
      <c r="I108" s="38"/>
      <c r="J108" s="38"/>
      <c r="K108" s="39">
        <f>G108/G249</f>
        <v>0.0482706735120882</v>
      </c>
    </row>
    <row r="109" ht="34.95" customHeight="1" spans="1:11">
      <c r="A109" s="103"/>
      <c r="B109" s="10" t="str">
        <f>排水管道工程量1!B107</f>
        <v>D1200 Ⅱ级钢筋混凝土管道</v>
      </c>
      <c r="C109" s="42">
        <f t="shared" ref="C109:C118" si="26">I109*J109/10000</f>
        <v>220.0265256</v>
      </c>
      <c r="D109" s="42"/>
      <c r="E109" s="42"/>
      <c r="F109" s="42"/>
      <c r="G109" s="102">
        <f>C109+D109+E109+F109</f>
        <v>220.0265256</v>
      </c>
      <c r="H109" s="42" t="str">
        <f>排水管道工程量1!C107</f>
        <v>米</v>
      </c>
      <c r="I109" s="38">
        <f>排水管道工程量1!D107</f>
        <v>595</v>
      </c>
      <c r="J109" s="38">
        <f>J46</f>
        <v>3697.9248</v>
      </c>
      <c r="K109" s="39"/>
    </row>
    <row r="110" ht="34.95" customHeight="1" spans="1:11">
      <c r="A110" s="103"/>
      <c r="B110" s="10" t="str">
        <f>排水管道工程量1!B108</f>
        <v>D800 Ⅱ级钢筋混凝土管道</v>
      </c>
      <c r="C110" s="42">
        <f t="shared" si="26"/>
        <v>247.95377928</v>
      </c>
      <c r="D110" s="42"/>
      <c r="E110" s="42"/>
      <c r="F110" s="42"/>
      <c r="G110" s="102">
        <f t="shared" ref="G110:G118" si="27">C110+D110+E110+F110</f>
        <v>247.95377928</v>
      </c>
      <c r="H110" s="42" t="str">
        <f>排水管道工程量1!C108</f>
        <v>米</v>
      </c>
      <c r="I110" s="38">
        <f>排水管道工程量1!D108</f>
        <v>1284</v>
      </c>
      <c r="J110" s="38">
        <f>J100</f>
        <v>1931.1042</v>
      </c>
      <c r="K110" s="39"/>
    </row>
    <row r="111" ht="34.95" customHeight="1" spans="1:11">
      <c r="A111" s="103"/>
      <c r="B111" s="10" t="str">
        <f>排水管道工程量1!B109</f>
        <v>D600 Ⅱ级钢筋混凝土管道</v>
      </c>
      <c r="C111" s="42">
        <f t="shared" si="26"/>
        <v>150.276168</v>
      </c>
      <c r="D111" s="42"/>
      <c r="E111" s="42"/>
      <c r="F111" s="42"/>
      <c r="G111" s="102">
        <f t="shared" si="27"/>
        <v>150.276168</v>
      </c>
      <c r="H111" s="42" t="str">
        <f>排水管道工程量1!C109</f>
        <v>米</v>
      </c>
      <c r="I111" s="38">
        <f>排水管道工程量1!D109</f>
        <v>950</v>
      </c>
      <c r="J111" s="38">
        <f>J90</f>
        <v>1581.8544</v>
      </c>
      <c r="K111" s="39"/>
    </row>
    <row r="112" ht="34.95" customHeight="1" spans="1:11">
      <c r="A112" s="103"/>
      <c r="B112" s="10" t="str">
        <f>排水管道工程量1!B110</f>
        <v>D500 Ⅱ级钢筋混凝土管道（预留管）</v>
      </c>
      <c r="C112" s="42">
        <f t="shared" si="26"/>
        <v>138.34083744</v>
      </c>
      <c r="D112" s="42"/>
      <c r="E112" s="42"/>
      <c r="F112" s="42"/>
      <c r="G112" s="102">
        <f t="shared" si="27"/>
        <v>138.34083744</v>
      </c>
      <c r="H112" s="42" t="str">
        <f>排水管道工程量1!C110</f>
        <v>米</v>
      </c>
      <c r="I112" s="38">
        <f>排水管道工程量1!D110</f>
        <v>936</v>
      </c>
      <c r="J112" s="38">
        <f>J101</f>
        <v>1478.0004</v>
      </c>
      <c r="K112" s="39"/>
    </row>
    <row r="113" ht="34.95" customHeight="1" spans="1:11">
      <c r="A113" s="103"/>
      <c r="B113" s="10" t="str">
        <f>排水管道工程量1!B111</f>
        <v>D300 Ⅱ级钢筋混凝土管道</v>
      </c>
      <c r="C113" s="42">
        <f t="shared" si="26"/>
        <v>178.25440672</v>
      </c>
      <c r="D113" s="42"/>
      <c r="E113" s="42"/>
      <c r="F113" s="42"/>
      <c r="G113" s="102">
        <f t="shared" si="27"/>
        <v>178.25440672</v>
      </c>
      <c r="H113" s="42" t="str">
        <f>排水管道工程量1!C111</f>
        <v>米</v>
      </c>
      <c r="I113" s="38">
        <f>排水管道工程量1!D111</f>
        <v>1976</v>
      </c>
      <c r="J113" s="38">
        <f>J102</f>
        <v>902.0972</v>
      </c>
      <c r="K113" s="39"/>
    </row>
    <row r="114" ht="34.95" customHeight="1" spans="1:11">
      <c r="A114" s="103"/>
      <c r="B114" s="10" t="str">
        <f>排水管道工程量1!B112</f>
        <v>1700×1100 矩形钢筋混凝土检查井</v>
      </c>
      <c r="C114" s="42">
        <f t="shared" si="26"/>
        <v>12.1</v>
      </c>
      <c r="D114" s="42"/>
      <c r="E114" s="42"/>
      <c r="F114" s="42"/>
      <c r="G114" s="102">
        <f t="shared" si="27"/>
        <v>12.1</v>
      </c>
      <c r="H114" s="42" t="str">
        <f>排水管道工程量1!C112</f>
        <v>座</v>
      </c>
      <c r="I114" s="38">
        <f>排水管道工程量1!D112</f>
        <v>11</v>
      </c>
      <c r="J114" s="38">
        <f>J52</f>
        <v>11000</v>
      </c>
      <c r="K114" s="39"/>
    </row>
    <row r="115" ht="34.95" customHeight="1" spans="1:11">
      <c r="A115" s="103"/>
      <c r="B115" s="10" t="str">
        <f>排水管道工程量1!B113</f>
        <v>1200×1100 矩形钢筋混凝土检查井</v>
      </c>
      <c r="C115" s="42">
        <f t="shared" si="26"/>
        <v>31.98</v>
      </c>
      <c r="D115" s="42"/>
      <c r="E115" s="42"/>
      <c r="F115" s="42"/>
      <c r="G115" s="102">
        <f t="shared" si="27"/>
        <v>31.98</v>
      </c>
      <c r="H115" s="42" t="str">
        <f>排水管道工程量1!C113</f>
        <v>座</v>
      </c>
      <c r="I115" s="38">
        <f>排水管道工程量1!D113</f>
        <v>41</v>
      </c>
      <c r="J115" s="38">
        <f>J104</f>
        <v>7800</v>
      </c>
      <c r="K115" s="39"/>
    </row>
    <row r="116" ht="34.95" customHeight="1" spans="1:11">
      <c r="A116" s="103"/>
      <c r="B116" s="10" t="str">
        <f>排水管道工程量1!B114</f>
        <v>雨水口</v>
      </c>
      <c r="C116" s="42">
        <f t="shared" si="26"/>
        <v>20.8</v>
      </c>
      <c r="D116" s="42"/>
      <c r="E116" s="42"/>
      <c r="F116" s="42"/>
      <c r="G116" s="102">
        <f t="shared" si="27"/>
        <v>20.8</v>
      </c>
      <c r="H116" s="42" t="str">
        <f>排水管道工程量1!C114</f>
        <v>座</v>
      </c>
      <c r="I116" s="38">
        <f>排水管道工程量1!D114</f>
        <v>208</v>
      </c>
      <c r="J116" s="38">
        <f>J105</f>
        <v>1000</v>
      </c>
      <c r="K116" s="39"/>
    </row>
    <row r="117" ht="34.95" customHeight="1" spans="1:11">
      <c r="A117" s="103"/>
      <c r="B117" s="10" t="str">
        <f>排水管道工程量1!B115</f>
        <v>降水井</v>
      </c>
      <c r="C117" s="42">
        <f t="shared" si="26"/>
        <v>94</v>
      </c>
      <c r="D117" s="42"/>
      <c r="E117" s="42"/>
      <c r="F117" s="42"/>
      <c r="G117" s="102">
        <f t="shared" si="27"/>
        <v>94</v>
      </c>
      <c r="H117" s="42" t="str">
        <f>排水管道工程量1!C115</f>
        <v>座</v>
      </c>
      <c r="I117" s="38">
        <f>排水管道工程量1!D115</f>
        <v>94</v>
      </c>
      <c r="J117" s="38">
        <f>J106</f>
        <v>10000</v>
      </c>
      <c r="K117" s="39"/>
    </row>
    <row r="118" ht="34.95" customHeight="1" spans="1:11">
      <c r="A118" s="103"/>
      <c r="B118" s="10" t="str">
        <f>排水管道工程量1!B116</f>
        <v>管道施工路面恢复</v>
      </c>
      <c r="C118" s="42">
        <f t="shared" si="26"/>
        <v>218.1816</v>
      </c>
      <c r="D118" s="42"/>
      <c r="E118" s="42"/>
      <c r="F118" s="42"/>
      <c r="G118" s="102">
        <f t="shared" si="27"/>
        <v>218.1816</v>
      </c>
      <c r="H118" s="42" t="str">
        <f>排水管道工程量1!C116</f>
        <v>平米</v>
      </c>
      <c r="I118" s="38">
        <f>排水管道工程量1!D116</f>
        <v>20202</v>
      </c>
      <c r="J118" s="38">
        <f>J107</f>
        <v>108</v>
      </c>
      <c r="K118" s="39"/>
    </row>
    <row r="119" ht="34.95" customHeight="1" spans="1:11">
      <c r="A119" s="113">
        <v>11</v>
      </c>
      <c r="B119" s="112" t="str">
        <f>排水管道工程量1!B117</f>
        <v>宝丰路（建设路）（西环路-民族大街）</v>
      </c>
      <c r="C119" s="104">
        <f>C120+C121+C122+C123+C124+C125+C126+C127+C128</f>
        <v>595.3699774</v>
      </c>
      <c r="D119" s="104">
        <f>D120+D121+D122+D123+D124+D125+D126+D127+D128</f>
        <v>0</v>
      </c>
      <c r="E119" s="104">
        <f>E120+E121+E122+E123+E124+E125+E126+E127+E128</f>
        <v>0</v>
      </c>
      <c r="F119" s="104">
        <f>F120+F121+F122+F123+F124+F125+F126+F127+F128</f>
        <v>0</v>
      </c>
      <c r="G119" s="101">
        <f>F119+E119+D119+C119</f>
        <v>595.3699774</v>
      </c>
      <c r="H119" s="42"/>
      <c r="I119" s="38"/>
      <c r="J119" s="38"/>
      <c r="K119" s="39">
        <f>G119/G249</f>
        <v>0.0219061041798225</v>
      </c>
    </row>
    <row r="120" ht="34.95" customHeight="1" spans="1:11">
      <c r="A120" s="103"/>
      <c r="B120" s="10" t="str">
        <f>排水管道工程量1!B118</f>
        <v>D1200 Ⅱ级钢筋混凝土管道</v>
      </c>
      <c r="C120" s="42">
        <f t="shared" ref="C120:C128" si="28">I120*J120/10000</f>
        <v>220.0265256</v>
      </c>
      <c r="D120" s="42"/>
      <c r="E120" s="42"/>
      <c r="F120" s="42"/>
      <c r="G120" s="102">
        <f>C120+D120+E120+F120</f>
        <v>220.0265256</v>
      </c>
      <c r="H120" s="42" t="str">
        <f>排水管道工程量1!C118</f>
        <v>米</v>
      </c>
      <c r="I120" s="38">
        <f>排水管道工程量1!D118</f>
        <v>595</v>
      </c>
      <c r="J120" s="38">
        <f>J109</f>
        <v>3697.9248</v>
      </c>
      <c r="K120" s="39"/>
    </row>
    <row r="121" ht="34.95" customHeight="1" spans="1:11">
      <c r="A121" s="103"/>
      <c r="B121" s="10" t="str">
        <f>排水管道工程量1!B119</f>
        <v>D1000 Ⅱ级钢筋混凝土管道</v>
      </c>
      <c r="C121" s="42">
        <f t="shared" si="28"/>
        <v>182.638905</v>
      </c>
      <c r="D121" s="42"/>
      <c r="E121" s="42"/>
      <c r="F121" s="42"/>
      <c r="G121" s="102">
        <f t="shared" ref="G121:G128" si="29">C121+D121+E121+F121</f>
        <v>182.638905</v>
      </c>
      <c r="H121" s="42" t="str">
        <f>排水管道工程量1!C119</f>
        <v>米</v>
      </c>
      <c r="I121" s="38">
        <f>排水管道工程量1!D119</f>
        <v>614</v>
      </c>
      <c r="J121" s="38">
        <f>J99</f>
        <v>2974.575</v>
      </c>
      <c r="K121" s="39"/>
    </row>
    <row r="122" ht="34.95" customHeight="1" spans="1:11">
      <c r="A122" s="103"/>
      <c r="B122" s="10" t="str">
        <f>排水管道工程量1!B120</f>
        <v>D500 Ⅱ级钢筋混凝土管道（预留管）</v>
      </c>
      <c r="C122" s="42">
        <f t="shared" si="28"/>
        <v>21.6773392</v>
      </c>
      <c r="D122" s="42"/>
      <c r="E122" s="42"/>
      <c r="F122" s="42"/>
      <c r="G122" s="102">
        <f t="shared" si="29"/>
        <v>21.6773392</v>
      </c>
      <c r="H122" s="42" t="str">
        <f>排水管道工程量1!C120</f>
        <v>米</v>
      </c>
      <c r="I122" s="38">
        <f>排水管道工程量1!D120</f>
        <v>146.666666666667</v>
      </c>
      <c r="J122" s="38">
        <f>J112</f>
        <v>1478.0004</v>
      </c>
      <c r="K122" s="39"/>
    </row>
    <row r="123" ht="34.95" customHeight="1" spans="1:11">
      <c r="A123" s="103"/>
      <c r="B123" s="10" t="str">
        <f>排水管道工程量1!B121</f>
        <v>D300 Ⅱ级钢筋混凝土管道</v>
      </c>
      <c r="C123" s="42">
        <f t="shared" si="28"/>
        <v>29.7692076</v>
      </c>
      <c r="D123" s="42"/>
      <c r="E123" s="42"/>
      <c r="F123" s="42"/>
      <c r="G123" s="102">
        <f t="shared" si="29"/>
        <v>29.7692076</v>
      </c>
      <c r="H123" s="42" t="str">
        <f>排水管道工程量1!C121</f>
        <v>米</v>
      </c>
      <c r="I123" s="38">
        <f>排水管道工程量1!D121</f>
        <v>330</v>
      </c>
      <c r="J123" s="38">
        <f>J113</f>
        <v>902.0972</v>
      </c>
      <c r="K123" s="39"/>
    </row>
    <row r="124" ht="34.95" customHeight="1" spans="1:11">
      <c r="A124" s="103"/>
      <c r="B124" s="10" t="str">
        <f>排水管道工程量1!B122</f>
        <v>1400×1100 矩形钢筋混凝土检查井</v>
      </c>
      <c r="C124" s="42">
        <f t="shared" si="28"/>
        <v>10.23</v>
      </c>
      <c r="D124" s="42"/>
      <c r="E124" s="42"/>
      <c r="F124" s="42"/>
      <c r="G124" s="102">
        <f t="shared" si="29"/>
        <v>10.23</v>
      </c>
      <c r="H124" s="42" t="str">
        <f>排水管道工程量1!C122</f>
        <v>座</v>
      </c>
      <c r="I124" s="38">
        <f>排水管道工程量1!D122</f>
        <v>11</v>
      </c>
      <c r="J124" s="38">
        <f>J103</f>
        <v>9300</v>
      </c>
      <c r="K124" s="39"/>
    </row>
    <row r="125" ht="34.95" customHeight="1" spans="1:11">
      <c r="A125" s="103"/>
      <c r="B125" s="10" t="str">
        <f>排水管道工程量1!B123</f>
        <v>1200×1100 矩形钢筋混凝土检查井</v>
      </c>
      <c r="C125" s="42">
        <f t="shared" si="28"/>
        <v>8.58</v>
      </c>
      <c r="D125" s="42"/>
      <c r="E125" s="42"/>
      <c r="F125" s="42"/>
      <c r="G125" s="102">
        <f t="shared" si="29"/>
        <v>8.58</v>
      </c>
      <c r="H125" s="42" t="str">
        <f>排水管道工程量1!C123</f>
        <v>座</v>
      </c>
      <c r="I125" s="38">
        <f>排水管道工程量1!D123</f>
        <v>11</v>
      </c>
      <c r="J125" s="38">
        <f>J115</f>
        <v>7800</v>
      </c>
      <c r="K125" s="39"/>
    </row>
    <row r="126" ht="34.95" customHeight="1" spans="1:11">
      <c r="A126" s="103"/>
      <c r="B126" s="10" t="str">
        <f>排水管道工程量1!B124</f>
        <v>雨水口</v>
      </c>
      <c r="C126" s="42">
        <f t="shared" si="28"/>
        <v>4.4</v>
      </c>
      <c r="D126" s="42"/>
      <c r="E126" s="42"/>
      <c r="F126" s="42"/>
      <c r="G126" s="102">
        <f t="shared" si="29"/>
        <v>4.4</v>
      </c>
      <c r="H126" s="42" t="str">
        <f>排水管道工程量1!C124</f>
        <v>座</v>
      </c>
      <c r="I126" s="38">
        <f>排水管道工程量1!D124</f>
        <v>44</v>
      </c>
      <c r="J126" s="38">
        <f>J116</f>
        <v>1000</v>
      </c>
      <c r="K126" s="39"/>
    </row>
    <row r="127" ht="34.95" customHeight="1" spans="1:11">
      <c r="A127" s="103"/>
      <c r="B127" s="10" t="str">
        <f>排水管道工程量1!B125</f>
        <v>降水井</v>
      </c>
      <c r="C127" s="42">
        <f t="shared" si="28"/>
        <v>40</v>
      </c>
      <c r="D127" s="42"/>
      <c r="E127" s="42"/>
      <c r="F127" s="42"/>
      <c r="G127" s="102">
        <f t="shared" si="29"/>
        <v>40</v>
      </c>
      <c r="H127" s="42" t="str">
        <f>排水管道工程量1!C125</f>
        <v>座</v>
      </c>
      <c r="I127" s="38">
        <f>排水管道工程量1!D125</f>
        <v>40</v>
      </c>
      <c r="J127" s="38">
        <f>J117</f>
        <v>10000</v>
      </c>
      <c r="K127" s="39"/>
    </row>
    <row r="128" ht="34.95" customHeight="1" spans="1:11">
      <c r="A128" s="103"/>
      <c r="B128" s="10" t="str">
        <f>排水管道工程量1!B126</f>
        <v>管道施工路面恢复</v>
      </c>
      <c r="C128" s="42">
        <f t="shared" si="28"/>
        <v>78.048</v>
      </c>
      <c r="D128" s="42"/>
      <c r="E128" s="42"/>
      <c r="F128" s="42"/>
      <c r="G128" s="102">
        <f t="shared" si="29"/>
        <v>78.048</v>
      </c>
      <c r="H128" s="42" t="str">
        <f>排水管道工程量1!C126</f>
        <v>平米</v>
      </c>
      <c r="I128" s="38">
        <f>排水管道工程量1!D126</f>
        <v>7226.66666666667</v>
      </c>
      <c r="J128" s="38">
        <f>J118</f>
        <v>108</v>
      </c>
      <c r="K128" s="39"/>
    </row>
    <row r="129" ht="34.95" customHeight="1" spans="1:11">
      <c r="A129" s="113">
        <v>12</v>
      </c>
      <c r="B129" s="112" t="str">
        <f>排水管道工程量1!B127</f>
        <v>翰林大街（山水大道-鼓楼西街）</v>
      </c>
      <c r="C129" s="104">
        <f>C130+C131+C132+C133+C134+C135+C136</f>
        <v>1301.0149747</v>
      </c>
      <c r="D129" s="104">
        <f>D130+D131+D132+D133+D134+D135+D136</f>
        <v>0</v>
      </c>
      <c r="E129" s="104">
        <f>E130+E131+E132+E133+E134+E135+E136</f>
        <v>0</v>
      </c>
      <c r="F129" s="104">
        <f>F130+F131+F132+F133+F134+F135+F136</f>
        <v>0</v>
      </c>
      <c r="G129" s="101">
        <f>F129+E129+D129+C129</f>
        <v>1301.0149747</v>
      </c>
      <c r="H129" s="42"/>
      <c r="I129" s="38"/>
      <c r="J129" s="38"/>
      <c r="K129" s="39">
        <f>G129/G249</f>
        <v>0.0478696787831803</v>
      </c>
    </row>
    <row r="130" ht="34.95" customHeight="1" spans="1:11">
      <c r="A130" s="103"/>
      <c r="B130" s="10" t="str">
        <f>排水管道工程量1!B128</f>
        <v>D1800 Ⅱ级钢筋混凝土管道</v>
      </c>
      <c r="C130" s="42">
        <f t="shared" ref="C130:C136" si="30">I130*J130/10000</f>
        <v>993.28010496</v>
      </c>
      <c r="D130" s="42"/>
      <c r="E130" s="42"/>
      <c r="F130" s="42"/>
      <c r="G130" s="102">
        <f>C130+D130+E130+F130</f>
        <v>993.28010496</v>
      </c>
      <c r="H130" s="42" t="str">
        <f>排水管道工程量1!C128</f>
        <v>米</v>
      </c>
      <c r="I130" s="38">
        <f>排水管道工程量1!D128</f>
        <v>1248</v>
      </c>
      <c r="J130" s="38">
        <f>排水管道单价!D7</f>
        <v>7958.9752</v>
      </c>
      <c r="K130" s="39"/>
    </row>
    <row r="131" ht="34.95" customHeight="1" spans="1:11">
      <c r="A131" s="103"/>
      <c r="B131" s="10" t="str">
        <f>排水管道工程量1!B129</f>
        <v>D800 Ⅱ级钢筋混凝土管道（预留管）</v>
      </c>
      <c r="C131" s="42">
        <f t="shared" si="30"/>
        <v>44.99472786</v>
      </c>
      <c r="D131" s="42"/>
      <c r="E131" s="42"/>
      <c r="F131" s="42"/>
      <c r="G131" s="102">
        <f>C131+D131+E131+F131</f>
        <v>44.99472786</v>
      </c>
      <c r="H131" s="42" t="str">
        <f>排水管道工程量1!C129</f>
        <v>米</v>
      </c>
      <c r="I131" s="38">
        <f>排水管道工程量1!D129</f>
        <v>233</v>
      </c>
      <c r="J131" s="38">
        <f>J110</f>
        <v>1931.1042</v>
      </c>
      <c r="K131" s="39"/>
    </row>
    <row r="132" ht="34.95" customHeight="1" spans="1:11">
      <c r="A132" s="103"/>
      <c r="B132" s="10" t="str">
        <f>排水管道工程量1!B130</f>
        <v>D300 Ⅱ级钢筋混凝土管道</v>
      </c>
      <c r="C132" s="42">
        <f t="shared" si="30"/>
        <v>47.72094188</v>
      </c>
      <c r="D132" s="42"/>
      <c r="E132" s="42"/>
      <c r="F132" s="42"/>
      <c r="G132" s="102">
        <f>C132+D132+E132+F132</f>
        <v>47.72094188</v>
      </c>
      <c r="H132" s="42" t="str">
        <f>排水管道工程量1!C130</f>
        <v>米</v>
      </c>
      <c r="I132" s="38">
        <f>排水管道工程量1!D130</f>
        <v>529</v>
      </c>
      <c r="J132" s="38">
        <f>J123</f>
        <v>902.0972</v>
      </c>
      <c r="K132" s="39"/>
    </row>
    <row r="133" ht="34.95" customHeight="1" spans="1:11">
      <c r="A133" s="103"/>
      <c r="B133" s="10" t="str">
        <f>排水管道工程量1!B131</f>
        <v>2400×1100 矩形钢筋混凝土检查井</v>
      </c>
      <c r="C133" s="42">
        <f t="shared" si="30"/>
        <v>39.1</v>
      </c>
      <c r="D133" s="42"/>
      <c r="E133" s="42"/>
      <c r="F133" s="42"/>
      <c r="G133" s="102">
        <f t="shared" ref="G133:G138" si="31">C133+D133+E133+F133</f>
        <v>39.1</v>
      </c>
      <c r="H133" s="42" t="str">
        <f>排水管道工程量1!C131</f>
        <v>座</v>
      </c>
      <c r="I133" s="38">
        <f>排水管道工程量1!D131</f>
        <v>23</v>
      </c>
      <c r="J133" s="38">
        <f>J39</f>
        <v>17000</v>
      </c>
      <c r="K133" s="39"/>
    </row>
    <row r="134" ht="34.95" customHeight="1" spans="1:11">
      <c r="A134" s="103"/>
      <c r="B134" s="10" t="str">
        <f>排水管道工程量1!B132</f>
        <v>雨水口</v>
      </c>
      <c r="C134" s="42">
        <f t="shared" si="30"/>
        <v>4.6</v>
      </c>
      <c r="D134" s="42"/>
      <c r="E134" s="42"/>
      <c r="F134" s="42"/>
      <c r="G134" s="102">
        <f t="shared" si="31"/>
        <v>4.6</v>
      </c>
      <c r="H134" s="42" t="str">
        <f>排水管道工程量1!C132</f>
        <v>座</v>
      </c>
      <c r="I134" s="38">
        <f>排水管道工程量1!D132</f>
        <v>46</v>
      </c>
      <c r="J134" s="38">
        <f>J126</f>
        <v>1000</v>
      </c>
      <c r="K134" s="39"/>
    </row>
    <row r="135" ht="34.95" customHeight="1" spans="1:11">
      <c r="A135" s="103"/>
      <c r="B135" s="10" t="str">
        <f>排水管道工程量1!B133</f>
        <v>降水井</v>
      </c>
      <c r="C135" s="42">
        <f t="shared" si="30"/>
        <v>42</v>
      </c>
      <c r="D135" s="42"/>
      <c r="E135" s="42"/>
      <c r="F135" s="42"/>
      <c r="G135" s="102">
        <f t="shared" si="31"/>
        <v>42</v>
      </c>
      <c r="H135" s="42" t="str">
        <f>排水管道工程量1!C133</f>
        <v>座</v>
      </c>
      <c r="I135" s="38">
        <f>排水管道工程量1!D133</f>
        <v>42</v>
      </c>
      <c r="J135" s="38">
        <f>J127</f>
        <v>10000</v>
      </c>
      <c r="K135" s="39"/>
    </row>
    <row r="136" ht="34.95" customHeight="1" spans="1:11">
      <c r="A136" s="103"/>
      <c r="B136" s="10" t="str">
        <f>排水管道工程量1!B134</f>
        <v>管道施工路面恢复</v>
      </c>
      <c r="C136" s="42">
        <f t="shared" si="30"/>
        <v>129.3192</v>
      </c>
      <c r="D136" s="42"/>
      <c r="E136" s="42"/>
      <c r="F136" s="42"/>
      <c r="G136" s="102">
        <f t="shared" si="31"/>
        <v>129.3192</v>
      </c>
      <c r="H136" s="42" t="str">
        <f>排水管道工程量1!C134</f>
        <v>平米</v>
      </c>
      <c r="I136" s="38">
        <f>排水管道工程量1!D134</f>
        <v>11974</v>
      </c>
      <c r="J136" s="38">
        <f>J128</f>
        <v>108</v>
      </c>
      <c r="K136" s="39"/>
    </row>
    <row r="137" ht="34.95" customHeight="1" spans="1:11">
      <c r="A137" s="113">
        <v>13</v>
      </c>
      <c r="B137" s="112" t="str">
        <f>排水管道工程量1!B135</f>
        <v>玉龚路（翰林大街-109国道）</v>
      </c>
      <c r="C137" s="104">
        <f>C138+C139+C140+C141+C143+C142+C144+C145+C146+C147</f>
        <v>462.17417042</v>
      </c>
      <c r="D137" s="104">
        <f>D138+D139+D140+D141+D143+D142+D144+D145+D146+D147</f>
        <v>0</v>
      </c>
      <c r="E137" s="104">
        <f>E138+E139+E140+E141+E143+E142+E144+E145+E146+E147</f>
        <v>0</v>
      </c>
      <c r="F137" s="104">
        <f>F138+F139+F140+F141+F143+F142+F144+F145+F146+F147</f>
        <v>0</v>
      </c>
      <c r="G137" s="101">
        <f>F137+E137+D137+C137</f>
        <v>462.17417042</v>
      </c>
      <c r="H137" s="104"/>
      <c r="I137" s="114"/>
      <c r="J137" s="114"/>
      <c r="K137" s="39">
        <f>G137/G249</f>
        <v>0.0170052839591564</v>
      </c>
    </row>
    <row r="138" ht="34.95" customHeight="1" spans="1:11">
      <c r="A138" s="103"/>
      <c r="B138" s="10" t="str">
        <f>排水管道工程量1!B136</f>
        <v>D1000 Ⅱ级钢筋混凝土管道</v>
      </c>
      <c r="C138" s="42">
        <f t="shared" ref="C138:C147" si="32">I138*J138/10000</f>
        <v>127.31181</v>
      </c>
      <c r="D138" s="42"/>
      <c r="E138" s="42"/>
      <c r="F138" s="42"/>
      <c r="G138" s="102">
        <f t="shared" si="31"/>
        <v>127.31181</v>
      </c>
      <c r="H138" s="42" t="str">
        <f>排水管道工程量1!C136</f>
        <v>米</v>
      </c>
      <c r="I138" s="38">
        <f>排水管道工程量1!D136</f>
        <v>428</v>
      </c>
      <c r="J138" s="38">
        <f>J121</f>
        <v>2974.575</v>
      </c>
      <c r="K138" s="39"/>
    </row>
    <row r="139" ht="34.95" customHeight="1" spans="1:11">
      <c r="A139" s="103"/>
      <c r="B139" s="10" t="str">
        <f>排水管道工程量1!B137</f>
        <v>D800 Ⅱ级钢筋混凝土管道</v>
      </c>
      <c r="C139" s="42">
        <f t="shared" si="32"/>
        <v>51.94670298</v>
      </c>
      <c r="D139" s="42"/>
      <c r="E139" s="42"/>
      <c r="F139" s="42"/>
      <c r="G139" s="102">
        <f t="shared" ref="G139:G147" si="33">C139+D139+E139+F139</f>
        <v>51.94670298</v>
      </c>
      <c r="H139" s="42" t="str">
        <f>排水管道工程量1!C137</f>
        <v>米</v>
      </c>
      <c r="I139" s="38">
        <f>排水管道工程量1!D137</f>
        <v>269</v>
      </c>
      <c r="J139" s="38">
        <f>J131</f>
        <v>1931.1042</v>
      </c>
      <c r="K139" s="39"/>
    </row>
    <row r="140" ht="34.95" customHeight="1" spans="1:11">
      <c r="A140" s="103"/>
      <c r="B140" s="10" t="str">
        <f>排水管道工程量1!B138</f>
        <v>D600 Ⅱ级钢筋混凝土管道</v>
      </c>
      <c r="C140" s="42">
        <f t="shared" si="32"/>
        <v>43.500996</v>
      </c>
      <c r="D140" s="42"/>
      <c r="E140" s="42"/>
      <c r="F140" s="42"/>
      <c r="G140" s="102">
        <f t="shared" si="33"/>
        <v>43.500996</v>
      </c>
      <c r="H140" s="42" t="str">
        <f>排水管道工程量1!C138</f>
        <v>米</v>
      </c>
      <c r="I140" s="38">
        <f>排水管道工程量1!D138</f>
        <v>275</v>
      </c>
      <c r="J140" s="38">
        <f>J111</f>
        <v>1581.8544</v>
      </c>
      <c r="K140" s="39"/>
    </row>
    <row r="141" ht="34.95" customHeight="1" spans="1:11">
      <c r="A141" s="103"/>
      <c r="B141" s="10" t="str">
        <f>排水管道工程量1!B139</f>
        <v>D500 Ⅱ级钢筋混凝土管道（预留管）</v>
      </c>
      <c r="C141" s="42">
        <f t="shared" si="32"/>
        <v>47.88721296</v>
      </c>
      <c r="D141" s="42"/>
      <c r="E141" s="42"/>
      <c r="F141" s="42"/>
      <c r="G141" s="102">
        <f t="shared" si="33"/>
        <v>47.88721296</v>
      </c>
      <c r="H141" s="42" t="str">
        <f>排水管道工程量1!C139</f>
        <v>米</v>
      </c>
      <c r="I141" s="38">
        <f>排水管道工程量1!D139</f>
        <v>324</v>
      </c>
      <c r="J141" s="38">
        <f>J122</f>
        <v>1478.0004</v>
      </c>
      <c r="K141" s="39"/>
    </row>
    <row r="142" ht="34.95" customHeight="1" spans="1:11">
      <c r="A142" s="103"/>
      <c r="B142" s="10" t="str">
        <f>排水管道工程量1!B140</f>
        <v>D300 Ⅱ级钢筋混凝土管道</v>
      </c>
      <c r="C142" s="42">
        <f t="shared" si="32"/>
        <v>61.70344848</v>
      </c>
      <c r="D142" s="42"/>
      <c r="E142" s="42"/>
      <c r="F142" s="42"/>
      <c r="G142" s="102">
        <f t="shared" si="33"/>
        <v>61.70344848</v>
      </c>
      <c r="H142" s="42" t="str">
        <f>排水管道工程量1!C140</f>
        <v>米</v>
      </c>
      <c r="I142" s="38">
        <f>排水管道工程量1!D140</f>
        <v>684</v>
      </c>
      <c r="J142" s="38">
        <f>J132</f>
        <v>902.0972</v>
      </c>
      <c r="K142" s="39"/>
    </row>
    <row r="143" ht="34.95" customHeight="1" spans="1:11">
      <c r="A143" s="103"/>
      <c r="B143" s="10" t="str">
        <f>排水管道工程量1!B141</f>
        <v>1400×1100 矩形钢筋混凝土检查井</v>
      </c>
      <c r="C143" s="42">
        <f t="shared" si="32"/>
        <v>7.44</v>
      </c>
      <c r="D143" s="42"/>
      <c r="E143" s="42"/>
      <c r="F143" s="42"/>
      <c r="G143" s="102">
        <f t="shared" si="33"/>
        <v>7.44</v>
      </c>
      <c r="H143" s="42" t="str">
        <f>排水管道工程量1!C141</f>
        <v>座</v>
      </c>
      <c r="I143" s="38">
        <f>排水管道工程量1!D141</f>
        <v>8</v>
      </c>
      <c r="J143" s="38">
        <f>J124</f>
        <v>9300</v>
      </c>
      <c r="K143" s="39"/>
    </row>
    <row r="144" ht="34.95" customHeight="1" spans="1:11">
      <c r="A144" s="103"/>
      <c r="B144" s="10" t="str">
        <f>排水管道工程量1!B142</f>
        <v>1200×1100 矩形钢筋混凝土检查井</v>
      </c>
      <c r="C144" s="42">
        <f t="shared" si="32"/>
        <v>7.8</v>
      </c>
      <c r="D144" s="42"/>
      <c r="E144" s="42"/>
      <c r="F144" s="42"/>
      <c r="G144" s="102">
        <f t="shared" si="33"/>
        <v>7.8</v>
      </c>
      <c r="H144" s="42" t="str">
        <f>排水管道工程量1!C142</f>
        <v>座</v>
      </c>
      <c r="I144" s="38">
        <f>排水管道工程量1!D142</f>
        <v>10</v>
      </c>
      <c r="J144" s="38">
        <f>J125</f>
        <v>7800</v>
      </c>
      <c r="K144" s="39"/>
    </row>
    <row r="145" ht="34.95" customHeight="1" spans="1:11">
      <c r="A145" s="103"/>
      <c r="B145" s="10" t="str">
        <f>排水管道工程量1!B143</f>
        <v>雨水口</v>
      </c>
      <c r="C145" s="42">
        <f t="shared" si="32"/>
        <v>7.2</v>
      </c>
      <c r="D145" s="42"/>
      <c r="E145" s="42"/>
      <c r="F145" s="42"/>
      <c r="G145" s="102">
        <f t="shared" si="33"/>
        <v>7.2</v>
      </c>
      <c r="H145" s="42" t="str">
        <f>排水管道工程量1!C143</f>
        <v>座</v>
      </c>
      <c r="I145" s="38">
        <f>排水管道工程量1!D143</f>
        <v>72</v>
      </c>
      <c r="J145" s="38">
        <f>J134</f>
        <v>1000</v>
      </c>
      <c r="K145" s="39"/>
    </row>
    <row r="146" ht="34.95" customHeight="1" spans="1:11">
      <c r="A146" s="103"/>
      <c r="B146" s="10" t="str">
        <f>排水管道工程量1!B144</f>
        <v>降水井</v>
      </c>
      <c r="C146" s="42">
        <f t="shared" si="32"/>
        <v>32</v>
      </c>
      <c r="D146" s="42"/>
      <c r="E146" s="42"/>
      <c r="F146" s="42"/>
      <c r="G146" s="102">
        <f t="shared" si="33"/>
        <v>32</v>
      </c>
      <c r="H146" s="42" t="str">
        <f>排水管道工程量1!C144</f>
        <v>座</v>
      </c>
      <c r="I146" s="38">
        <f>排水管道工程量1!D144</f>
        <v>32</v>
      </c>
      <c r="J146" s="38">
        <f>J135</f>
        <v>10000</v>
      </c>
      <c r="K146" s="39"/>
    </row>
    <row r="147" ht="34.95" customHeight="1" spans="1:11">
      <c r="A147" s="103"/>
      <c r="B147" s="10" t="str">
        <f>排水管道工程量1!B145</f>
        <v>管道施工路面恢复</v>
      </c>
      <c r="C147" s="42">
        <f t="shared" si="32"/>
        <v>75.384</v>
      </c>
      <c r="D147" s="42"/>
      <c r="E147" s="42"/>
      <c r="F147" s="42"/>
      <c r="G147" s="102">
        <f t="shared" si="33"/>
        <v>75.384</v>
      </c>
      <c r="H147" s="42" t="str">
        <f>排水管道工程量1!C145</f>
        <v>平米</v>
      </c>
      <c r="I147" s="38">
        <f>排水管道工程量1!D145</f>
        <v>6980</v>
      </c>
      <c r="J147" s="38">
        <f>J136</f>
        <v>108</v>
      </c>
      <c r="K147" s="39"/>
    </row>
    <row r="148" ht="34.95" customHeight="1" spans="1:11">
      <c r="A148" s="113">
        <v>14</v>
      </c>
      <c r="B148" s="112" t="str">
        <f>排水管道工程量1!B147</f>
        <v>利民路（西环路-怀远大街路）</v>
      </c>
      <c r="C148" s="104">
        <f>C149+C150+C151+C152+C153+C154+C155</f>
        <v>227.86167088</v>
      </c>
      <c r="D148" s="104">
        <f>D149+D150+D151+D152+D153+D154+D155</f>
        <v>0</v>
      </c>
      <c r="E148" s="104">
        <f>E149+E150+E151+E152+E153+E154+E155</f>
        <v>0</v>
      </c>
      <c r="F148" s="104">
        <f>F149+F150+F151+F152+F153+F154+F155</f>
        <v>0</v>
      </c>
      <c r="G148" s="102">
        <f t="shared" ref="G148:G172" si="34">C148+D148+E148+F148</f>
        <v>227.86167088</v>
      </c>
      <c r="H148" s="104"/>
      <c r="I148" s="114"/>
      <c r="J148" s="114"/>
      <c r="K148" s="39"/>
    </row>
    <row r="149" ht="34.95" customHeight="1" spans="1:11">
      <c r="A149" s="103"/>
      <c r="B149" s="10" t="str">
        <f>排水管道工程量1!B148</f>
        <v>D600 Ⅱ级钢筋混凝土管道</v>
      </c>
      <c r="C149" s="42">
        <f>I149*J149/10000</f>
        <v>96.17674752</v>
      </c>
      <c r="D149" s="42"/>
      <c r="E149" s="42"/>
      <c r="F149" s="42"/>
      <c r="G149" s="102">
        <f t="shared" si="34"/>
        <v>96.17674752</v>
      </c>
      <c r="H149" s="42" t="str">
        <f>排水管道工程量1!C148</f>
        <v>米</v>
      </c>
      <c r="I149" s="38">
        <f>排水管道工程量1!D148</f>
        <v>608</v>
      </c>
      <c r="J149" s="38">
        <f>J140</f>
        <v>1581.8544</v>
      </c>
      <c r="K149" s="39"/>
    </row>
    <row r="150" ht="34.95" customHeight="1" spans="1:11">
      <c r="A150" s="103"/>
      <c r="B150" s="10" t="str">
        <f>排水管道工程量1!B149</f>
        <v>D500 Ⅱ级钢筋混凝土管道（预留管）</v>
      </c>
      <c r="C150" s="42">
        <f t="shared" ref="C150:C155" si="35">I150*J150/10000</f>
        <v>21.2175168533334</v>
      </c>
      <c r="D150" s="42"/>
      <c r="E150" s="42"/>
      <c r="F150" s="42"/>
      <c r="G150" s="102">
        <f t="shared" si="34"/>
        <v>21.2175168533334</v>
      </c>
      <c r="H150" s="42" t="str">
        <f>排水管道工程量1!C149</f>
        <v>米</v>
      </c>
      <c r="I150" s="38">
        <f>排水管道工程量1!D149</f>
        <v>143.555555555556</v>
      </c>
      <c r="J150" s="38">
        <f>J141</f>
        <v>1478.0004</v>
      </c>
      <c r="K150" s="39"/>
    </row>
    <row r="151" ht="34.95" customHeight="1" spans="1:11">
      <c r="A151" s="103"/>
      <c r="B151" s="10" t="str">
        <f>排水管道工程量1!B150</f>
        <v>D300 Ⅱ级钢筋混凝土管道</v>
      </c>
      <c r="C151" s="42">
        <f t="shared" si="35"/>
        <v>36.5650065066666</v>
      </c>
      <c r="D151" s="42"/>
      <c r="E151" s="42"/>
      <c r="F151" s="42"/>
      <c r="G151" s="102">
        <f t="shared" si="34"/>
        <v>36.5650065066666</v>
      </c>
      <c r="H151" s="42" t="str">
        <f>排水管道工程量1!C150</f>
        <v>米</v>
      </c>
      <c r="I151" s="38">
        <f>排水管道工程量1!D150</f>
        <v>405.333333333333</v>
      </c>
      <c r="J151" s="38">
        <f>J142</f>
        <v>902.0972</v>
      </c>
      <c r="K151" s="39"/>
    </row>
    <row r="152" ht="34.95" customHeight="1" spans="1:11">
      <c r="A152" s="103"/>
      <c r="B152" s="10" t="str">
        <f>排水管道工程量1!B151</f>
        <v>1200×1100 矩形钢筋混凝土检查井</v>
      </c>
      <c r="C152" s="42">
        <f t="shared" si="35"/>
        <v>9.88000000000003</v>
      </c>
      <c r="D152" s="42"/>
      <c r="E152" s="42"/>
      <c r="F152" s="42"/>
      <c r="G152" s="102">
        <f t="shared" si="34"/>
        <v>9.88000000000003</v>
      </c>
      <c r="H152" s="42" t="str">
        <f>排水管道工程量1!C151</f>
        <v>座</v>
      </c>
      <c r="I152" s="38">
        <f>排水管道工程量1!D151</f>
        <v>12.6666666666667</v>
      </c>
      <c r="J152" s="38">
        <f>J144</f>
        <v>7800</v>
      </c>
      <c r="K152" s="39"/>
    </row>
    <row r="153" ht="34.95" customHeight="1" spans="1:11">
      <c r="A153" s="103"/>
      <c r="B153" s="10" t="str">
        <f>排水管道工程量1!B152</f>
        <v>雨水口</v>
      </c>
      <c r="C153" s="42">
        <f t="shared" si="35"/>
        <v>2.53333333333333</v>
      </c>
      <c r="D153" s="42"/>
      <c r="E153" s="42"/>
      <c r="F153" s="42"/>
      <c r="G153" s="102">
        <f t="shared" si="34"/>
        <v>2.53333333333333</v>
      </c>
      <c r="H153" s="42" t="str">
        <f>排水管道工程量1!C152</f>
        <v>座</v>
      </c>
      <c r="I153" s="38">
        <f>排水管道工程量1!D152</f>
        <v>25.3333333333333</v>
      </c>
      <c r="J153" s="38">
        <f>J145</f>
        <v>1000</v>
      </c>
      <c r="K153" s="39"/>
    </row>
    <row r="154" ht="34.95" customHeight="1" spans="1:11">
      <c r="A154" s="103"/>
      <c r="B154" s="10" t="str">
        <f>排水管道工程量1!B153</f>
        <v>降水井</v>
      </c>
      <c r="C154" s="42">
        <f t="shared" si="35"/>
        <v>20.2666666666667</v>
      </c>
      <c r="D154" s="42"/>
      <c r="E154" s="42"/>
      <c r="F154" s="42"/>
      <c r="G154" s="102">
        <f t="shared" si="34"/>
        <v>20.2666666666667</v>
      </c>
      <c r="H154" s="42" t="str">
        <f>排水管道工程量1!C153</f>
        <v>座</v>
      </c>
      <c r="I154" s="38">
        <f>排水管道工程量1!D153</f>
        <v>20.2666666666667</v>
      </c>
      <c r="J154" s="38">
        <f>J146</f>
        <v>10000</v>
      </c>
      <c r="K154" s="39"/>
    </row>
    <row r="155" ht="34.95" customHeight="1" spans="1:11">
      <c r="A155" s="103"/>
      <c r="B155" s="10" t="str">
        <f>排水管道工程量1!B154</f>
        <v>管道施工路面恢复</v>
      </c>
      <c r="C155" s="42">
        <f t="shared" si="35"/>
        <v>41.2224</v>
      </c>
      <c r="D155" s="42"/>
      <c r="E155" s="42"/>
      <c r="F155" s="42"/>
      <c r="G155" s="102">
        <f t="shared" si="34"/>
        <v>41.2224</v>
      </c>
      <c r="H155" s="42" t="str">
        <f>排水管道工程量1!C154</f>
        <v>平米</v>
      </c>
      <c r="I155" s="38">
        <f>排水管道工程量1!D154</f>
        <v>3816.88888888889</v>
      </c>
      <c r="J155" s="38">
        <f>J147</f>
        <v>108</v>
      </c>
      <c r="K155" s="39"/>
    </row>
    <row r="156" ht="34.95" customHeight="1" spans="1:11">
      <c r="A156" s="113" t="s">
        <v>162</v>
      </c>
      <c r="B156" s="112" t="str">
        <f>排水管道工程量1!B155</f>
        <v>金桥路（西环路-民族大街）</v>
      </c>
      <c r="C156" s="104">
        <f>C157+C158+C159+C160+C161+C162+C163</f>
        <v>448.22789206</v>
      </c>
      <c r="D156" s="104">
        <f>D157+D158+D159+D160+D161+D162+D163</f>
        <v>0</v>
      </c>
      <c r="E156" s="104">
        <f>E157+E158+E159+E160+E161+E162+E163</f>
        <v>0</v>
      </c>
      <c r="F156" s="104">
        <f>F157+F158+F159+F160+F161+F162+F163</f>
        <v>0</v>
      </c>
      <c r="G156" s="102">
        <f t="shared" si="34"/>
        <v>448.22789206</v>
      </c>
      <c r="H156" s="42"/>
      <c r="I156" s="38"/>
      <c r="J156" s="114"/>
      <c r="K156" s="39"/>
    </row>
    <row r="157" ht="34.95" customHeight="1" spans="1:11">
      <c r="A157" s="103"/>
      <c r="B157" s="10" t="str">
        <f>排水管道工程量1!B156</f>
        <v>D600 Ⅱ级钢筋混凝土管道</v>
      </c>
      <c r="C157" s="42">
        <f>I157*J157/10000</f>
        <v>189.18978624</v>
      </c>
      <c r="D157" s="42"/>
      <c r="E157" s="42"/>
      <c r="F157" s="42"/>
      <c r="G157" s="102">
        <f t="shared" si="34"/>
        <v>189.18978624</v>
      </c>
      <c r="H157" s="42" t="str">
        <f>排水管道工程量1!C156</f>
        <v>米</v>
      </c>
      <c r="I157" s="38">
        <f>排水管道工程量1!D156</f>
        <v>1196</v>
      </c>
      <c r="J157" s="38">
        <f t="shared" ref="J157:J163" si="36">J149</f>
        <v>1581.8544</v>
      </c>
      <c r="K157" s="39"/>
    </row>
    <row r="158" ht="34.95" customHeight="1" spans="1:11">
      <c r="A158" s="103"/>
      <c r="B158" s="10" t="str">
        <f>排水管道工程量1!B157</f>
        <v>D500 Ⅱ级钢筋混凝土管道（预留管）</v>
      </c>
      <c r="C158" s="42">
        <f t="shared" ref="C158:C163" si="37">I158*J158/10000</f>
        <v>41.7370890733334</v>
      </c>
      <c r="D158" s="42"/>
      <c r="E158" s="42"/>
      <c r="F158" s="42"/>
      <c r="G158" s="102">
        <f t="shared" si="34"/>
        <v>41.7370890733334</v>
      </c>
      <c r="H158" s="42" t="str">
        <f>排水管道工程量1!C157</f>
        <v>米</v>
      </c>
      <c r="I158" s="38">
        <f>排水管道工程量1!D157</f>
        <v>282.388888888889</v>
      </c>
      <c r="J158" s="38">
        <f t="shared" si="36"/>
        <v>1478.0004</v>
      </c>
      <c r="K158" s="39"/>
    </row>
    <row r="159" ht="34.95" customHeight="1" spans="1:11">
      <c r="A159" s="103"/>
      <c r="B159" s="10" t="str">
        <f>排水管道工程量1!B158</f>
        <v>D300 Ⅱ级钢筋混凝土管道</v>
      </c>
      <c r="C159" s="42">
        <f t="shared" si="37"/>
        <v>71.9272167466666</v>
      </c>
      <c r="D159" s="42"/>
      <c r="E159" s="42"/>
      <c r="F159" s="42"/>
      <c r="G159" s="102">
        <f t="shared" si="34"/>
        <v>71.9272167466666</v>
      </c>
      <c r="H159" s="42" t="str">
        <f>排水管道工程量1!C158</f>
        <v>米</v>
      </c>
      <c r="I159" s="38">
        <f>排水管道工程量1!D158</f>
        <v>797.333333333333</v>
      </c>
      <c r="J159" s="38">
        <f t="shared" si="36"/>
        <v>902.0972</v>
      </c>
      <c r="K159" s="39"/>
    </row>
    <row r="160" ht="34.95" customHeight="1" spans="1:11">
      <c r="A160" s="103"/>
      <c r="B160" s="10" t="str">
        <f>排水管道工程量1!B159</f>
        <v>1200×1100 矩形钢筋混凝土检查井</v>
      </c>
      <c r="C160" s="42">
        <f t="shared" si="37"/>
        <v>19.435</v>
      </c>
      <c r="D160" s="42"/>
      <c r="E160" s="42"/>
      <c r="F160" s="42"/>
      <c r="G160" s="102">
        <f t="shared" si="34"/>
        <v>19.435</v>
      </c>
      <c r="H160" s="42" t="str">
        <f>排水管道工程量1!C159</f>
        <v>座</v>
      </c>
      <c r="I160" s="38">
        <f>排水管道工程量1!D159</f>
        <v>24.9166666666667</v>
      </c>
      <c r="J160" s="38">
        <f t="shared" si="36"/>
        <v>7800</v>
      </c>
      <c r="K160" s="39"/>
    </row>
    <row r="161" ht="34.95" customHeight="1" spans="1:11">
      <c r="A161" s="103"/>
      <c r="B161" s="10" t="str">
        <f>排水管道工程量1!B160</f>
        <v>雨水口</v>
      </c>
      <c r="C161" s="42">
        <f t="shared" si="37"/>
        <v>4.98333333333333</v>
      </c>
      <c r="D161" s="42"/>
      <c r="E161" s="42"/>
      <c r="F161" s="42"/>
      <c r="G161" s="102">
        <f t="shared" si="34"/>
        <v>4.98333333333333</v>
      </c>
      <c r="H161" s="42" t="str">
        <f>排水管道工程量1!C160</f>
        <v>座</v>
      </c>
      <c r="I161" s="38">
        <f>排水管道工程量1!D160</f>
        <v>49.8333333333333</v>
      </c>
      <c r="J161" s="38">
        <f t="shared" si="36"/>
        <v>1000</v>
      </c>
      <c r="K161" s="39"/>
    </row>
    <row r="162" ht="34.95" customHeight="1" spans="1:11">
      <c r="A162" s="103"/>
      <c r="B162" s="10" t="str">
        <f>排水管道工程量1!B161</f>
        <v>降水井</v>
      </c>
      <c r="C162" s="42">
        <f t="shared" si="37"/>
        <v>39.8666666666667</v>
      </c>
      <c r="D162" s="42"/>
      <c r="E162" s="42"/>
      <c r="F162" s="42"/>
      <c r="G162" s="102">
        <f t="shared" si="34"/>
        <v>39.8666666666667</v>
      </c>
      <c r="H162" s="42" t="str">
        <f>排水管道工程量1!C161</f>
        <v>座</v>
      </c>
      <c r="I162" s="38">
        <f>排水管道工程量1!D161</f>
        <v>39.8666666666667</v>
      </c>
      <c r="J162" s="38">
        <f t="shared" si="36"/>
        <v>10000</v>
      </c>
      <c r="K162" s="39"/>
    </row>
    <row r="163" ht="34.95" customHeight="1" spans="1:11">
      <c r="A163" s="103"/>
      <c r="B163" s="10" t="str">
        <f>排水管道工程量1!B162</f>
        <v>管道施工路面恢复</v>
      </c>
      <c r="C163" s="42">
        <f t="shared" si="37"/>
        <v>81.0888</v>
      </c>
      <c r="D163" s="42"/>
      <c r="E163" s="42"/>
      <c r="F163" s="42"/>
      <c r="G163" s="102">
        <f t="shared" si="34"/>
        <v>81.0888</v>
      </c>
      <c r="H163" s="42" t="str">
        <f>排水管道工程量1!C162</f>
        <v>平米</v>
      </c>
      <c r="I163" s="38">
        <f>排水管道工程量1!D162</f>
        <v>7508.22222222222</v>
      </c>
      <c r="J163" s="38">
        <f t="shared" si="36"/>
        <v>108</v>
      </c>
      <c r="K163" s="39"/>
    </row>
    <row r="164" ht="34.95" customHeight="1" spans="1:11">
      <c r="A164" s="113" t="s">
        <v>163</v>
      </c>
      <c r="B164" s="112" t="str">
        <f>排水管道工程量1!B163</f>
        <v>永安西街（翰林大街-109国道）</v>
      </c>
      <c r="C164" s="104">
        <f>C165+C166+C167+C168+C169+C170+C171+C172</f>
        <v>742.083477277778</v>
      </c>
      <c r="D164" s="104">
        <f>D165+D166+D167+D168+D169+D170+D171+D172</f>
        <v>0</v>
      </c>
      <c r="E164" s="104">
        <f>E165+E166+E167+E168+E169+E170+E171+E172</f>
        <v>0</v>
      </c>
      <c r="F164" s="104">
        <f>F165+F166+F167+F168+F169+F170+F171+F172</f>
        <v>0</v>
      </c>
      <c r="G164" s="101">
        <f t="shared" si="34"/>
        <v>742.083477277778</v>
      </c>
      <c r="H164" s="104"/>
      <c r="I164" s="114"/>
      <c r="J164" s="114"/>
      <c r="K164" s="39"/>
    </row>
    <row r="165" ht="34.95" customHeight="1" spans="1:11">
      <c r="A165" s="103"/>
      <c r="B165" s="10" t="str">
        <f>排水管道工程量1!B164</f>
        <v>D800 Ⅱ级钢筋混凝土管道</v>
      </c>
      <c r="C165" s="42">
        <f>I165*J165/10000</f>
        <v>106.40384142</v>
      </c>
      <c r="D165" s="42"/>
      <c r="E165" s="42"/>
      <c r="F165" s="42"/>
      <c r="G165" s="102">
        <f t="shared" si="34"/>
        <v>106.40384142</v>
      </c>
      <c r="H165" s="42" t="str">
        <f>排水管道工程量1!C164</f>
        <v>米</v>
      </c>
      <c r="I165" s="38">
        <f>排水管道工程量1!D164</f>
        <v>551</v>
      </c>
      <c r="J165" s="38">
        <f>J139</f>
        <v>1931.1042</v>
      </c>
      <c r="K165" s="39"/>
    </row>
    <row r="166" ht="34.95" customHeight="1" spans="1:11">
      <c r="A166" s="103"/>
      <c r="B166" s="10" t="str">
        <f>排水管道工程量1!B165</f>
        <v>D600 Ⅱ级钢筋混凝土管道</v>
      </c>
      <c r="C166" s="42">
        <f t="shared" ref="C166:C172" si="38">I166*J166/10000</f>
        <v>199.47183984</v>
      </c>
      <c r="D166" s="42"/>
      <c r="E166" s="42"/>
      <c r="F166" s="42"/>
      <c r="G166" s="102">
        <f t="shared" si="34"/>
        <v>199.47183984</v>
      </c>
      <c r="H166" s="42" t="str">
        <f>排水管道工程量1!C165</f>
        <v>米</v>
      </c>
      <c r="I166" s="38">
        <f>排水管道工程量1!D165</f>
        <v>1261</v>
      </c>
      <c r="J166" s="38">
        <f t="shared" ref="J166:J172" si="39">J157</f>
        <v>1581.8544</v>
      </c>
      <c r="K166" s="39"/>
    </row>
    <row r="167" ht="34.95" customHeight="1" spans="1:11">
      <c r="A167" s="103"/>
      <c r="B167" s="10" t="str">
        <f>排水管道工程量1!B166</f>
        <v>D500 Ⅱ级钢筋混凝土管道（预留管）</v>
      </c>
      <c r="C167" s="42">
        <f t="shared" si="38"/>
        <v>89.27122416</v>
      </c>
      <c r="D167" s="42"/>
      <c r="E167" s="42"/>
      <c r="F167" s="42"/>
      <c r="G167" s="102">
        <f t="shared" si="34"/>
        <v>89.27122416</v>
      </c>
      <c r="H167" s="42" t="str">
        <f>排水管道工程量1!C166</f>
        <v>米</v>
      </c>
      <c r="I167" s="38">
        <f>排水管道工程量1!D166</f>
        <v>604</v>
      </c>
      <c r="J167" s="38">
        <f t="shared" si="39"/>
        <v>1478.0004</v>
      </c>
      <c r="K167" s="39"/>
    </row>
    <row r="168" ht="34.95" customHeight="1" spans="1:11">
      <c r="A168" s="103"/>
      <c r="B168" s="10" t="str">
        <f>排水管道工程量1!B167</f>
        <v>D300 Ⅱ级钢筋混凝土管道</v>
      </c>
      <c r="C168" s="42">
        <f t="shared" si="38"/>
        <v>115.027416302222</v>
      </c>
      <c r="D168" s="42"/>
      <c r="E168" s="42"/>
      <c r="F168" s="42"/>
      <c r="G168" s="102">
        <f t="shared" si="34"/>
        <v>115.027416302222</v>
      </c>
      <c r="H168" s="42" t="str">
        <f>排水管道工程量1!C167</f>
        <v>米</v>
      </c>
      <c r="I168" s="38">
        <f>排水管道工程量1!D167</f>
        <v>1275.11111111111</v>
      </c>
      <c r="J168" s="38">
        <f t="shared" si="39"/>
        <v>902.0972</v>
      </c>
      <c r="K168" s="39"/>
    </row>
    <row r="169" ht="34.95" customHeight="1" spans="1:11">
      <c r="A169" s="103"/>
      <c r="B169" s="10" t="str">
        <f>排水管道工程量1!B168</f>
        <v>1200×1100 矩形钢筋混凝土检查井</v>
      </c>
      <c r="C169" s="42">
        <f t="shared" si="38"/>
        <v>26.1733333333334</v>
      </c>
      <c r="D169" s="42"/>
      <c r="E169" s="42"/>
      <c r="F169" s="42"/>
      <c r="G169" s="102">
        <f t="shared" si="34"/>
        <v>26.1733333333334</v>
      </c>
      <c r="H169" s="42" t="str">
        <f>排水管道工程量1!C168</f>
        <v>座</v>
      </c>
      <c r="I169" s="38">
        <f>排水管道工程量1!D168</f>
        <v>33.5555555555556</v>
      </c>
      <c r="J169" s="38">
        <f t="shared" si="39"/>
        <v>7800</v>
      </c>
      <c r="K169" s="39"/>
    </row>
    <row r="170" ht="34.95" customHeight="1" spans="1:11">
      <c r="A170" s="103"/>
      <c r="B170" s="10" t="str">
        <f>排水管道工程量1!B169</f>
        <v>雨水口</v>
      </c>
      <c r="C170" s="42">
        <f t="shared" si="38"/>
        <v>13.4222222222222</v>
      </c>
      <c r="D170" s="42"/>
      <c r="E170" s="42"/>
      <c r="F170" s="42"/>
      <c r="G170" s="102">
        <f t="shared" si="34"/>
        <v>13.4222222222222</v>
      </c>
      <c r="H170" s="42" t="str">
        <f>排水管道工程量1!C169</f>
        <v>座</v>
      </c>
      <c r="I170" s="38">
        <f>排水管道工程量1!D169</f>
        <v>134.222222222222</v>
      </c>
      <c r="J170" s="38">
        <f t="shared" si="39"/>
        <v>1000</v>
      </c>
      <c r="K170" s="39"/>
    </row>
    <row r="171" ht="34.95" customHeight="1" spans="1:11">
      <c r="A171" s="103"/>
      <c r="B171" s="10" t="str">
        <f>排水管道工程量1!B170</f>
        <v>降水井</v>
      </c>
      <c r="C171" s="42">
        <f t="shared" si="38"/>
        <v>60.4</v>
      </c>
      <c r="D171" s="42"/>
      <c r="E171" s="42"/>
      <c r="F171" s="42"/>
      <c r="G171" s="102">
        <f t="shared" si="34"/>
        <v>60.4</v>
      </c>
      <c r="H171" s="42" t="str">
        <f>排水管道工程量1!C170</f>
        <v>座</v>
      </c>
      <c r="I171" s="38">
        <f>排水管道工程量1!D170</f>
        <v>60.4</v>
      </c>
      <c r="J171" s="38">
        <f t="shared" si="39"/>
        <v>10000</v>
      </c>
      <c r="K171" s="39"/>
    </row>
    <row r="172" ht="34.95" customHeight="1" spans="1:11">
      <c r="A172" s="103"/>
      <c r="B172" s="10" t="str">
        <f>排水管道工程量1!B171</f>
        <v>管道施工路面恢复</v>
      </c>
      <c r="C172" s="42">
        <f t="shared" si="38"/>
        <v>131.9136</v>
      </c>
      <c r="D172" s="42"/>
      <c r="E172" s="42"/>
      <c r="F172" s="42"/>
      <c r="G172" s="102">
        <f t="shared" si="34"/>
        <v>131.9136</v>
      </c>
      <c r="H172" s="42" t="str">
        <f>排水管道工程量1!C171</f>
        <v>平米</v>
      </c>
      <c r="I172" s="38">
        <f>排水管道工程量1!D171</f>
        <v>12214.2222222222</v>
      </c>
      <c r="J172" s="38">
        <f t="shared" si="39"/>
        <v>108</v>
      </c>
      <c r="K172" s="39"/>
    </row>
    <row r="173" ht="34.95" customHeight="1" spans="1:11">
      <c r="A173" s="103"/>
      <c r="B173" s="10"/>
      <c r="C173" s="42"/>
      <c r="D173" s="42"/>
      <c r="E173" s="42"/>
      <c r="F173" s="42"/>
      <c r="G173" s="102"/>
      <c r="H173" s="42"/>
      <c r="I173" s="38"/>
      <c r="J173" s="38"/>
      <c r="K173" s="39"/>
    </row>
    <row r="174" ht="34.95" customHeight="1" spans="1:11">
      <c r="A174" s="103"/>
      <c r="B174" s="10"/>
      <c r="C174" s="42"/>
      <c r="D174" s="42"/>
      <c r="E174" s="42"/>
      <c r="F174" s="42"/>
      <c r="G174" s="102"/>
      <c r="H174" s="42"/>
      <c r="I174" s="38"/>
      <c r="J174" s="38"/>
      <c r="K174" s="39"/>
    </row>
    <row r="175" ht="34.95" customHeight="1" spans="1:12">
      <c r="A175" s="113" t="s">
        <v>18</v>
      </c>
      <c r="B175" s="112" t="str">
        <f>排水管道工程量1!B173</f>
        <v>泵站改造</v>
      </c>
      <c r="C175" s="104">
        <f>C176+C178+C192</f>
        <v>283.99</v>
      </c>
      <c r="D175" s="104">
        <f>D176+D178+D192</f>
        <v>44.85</v>
      </c>
      <c r="E175" s="104">
        <f>E176+E178+E192</f>
        <v>268.4</v>
      </c>
      <c r="F175" s="104">
        <f>F176+F178+F192</f>
        <v>0</v>
      </c>
      <c r="G175" s="104">
        <f>G176+G178+G192</f>
        <v>597.24</v>
      </c>
      <c r="H175" s="104"/>
      <c r="I175" s="101"/>
      <c r="J175" s="104"/>
      <c r="K175" s="39">
        <f>G175/G249</f>
        <v>0.0219749099836911</v>
      </c>
      <c r="L175" s="40"/>
    </row>
    <row r="176" ht="34.95" customHeight="1" spans="1:11">
      <c r="A176" s="113">
        <v>1</v>
      </c>
      <c r="B176" s="112" t="str">
        <f>排水管道工程量1!B174</f>
        <v>1#泵站</v>
      </c>
      <c r="C176" s="104">
        <f>E177</f>
        <v>5</v>
      </c>
      <c r="D176" s="104">
        <f>D177</f>
        <v>0</v>
      </c>
      <c r="E176" s="104">
        <f>E177</f>
        <v>5</v>
      </c>
      <c r="F176" s="104">
        <f>F177</f>
        <v>0</v>
      </c>
      <c r="G176" s="101">
        <f>F176+E176+D176+C176</f>
        <v>10</v>
      </c>
      <c r="H176" s="42"/>
      <c r="I176" s="38"/>
      <c r="J176" s="38"/>
      <c r="K176" s="39"/>
    </row>
    <row r="177" ht="34.95" customHeight="1" spans="1:11">
      <c r="A177" s="103"/>
      <c r="B177" s="10" t="str">
        <f>排水管道工程量1!B175</f>
        <v>增加气体检测仪</v>
      </c>
      <c r="D177" s="42"/>
      <c r="E177" s="42">
        <f>I177*J177/10000</f>
        <v>5</v>
      </c>
      <c r="F177" s="42"/>
      <c r="G177" s="102">
        <f>C177+D177+E177+F177</f>
        <v>5</v>
      </c>
      <c r="H177" s="42" t="str">
        <f>排水管道工程量1!C175</f>
        <v>套</v>
      </c>
      <c r="I177" s="38">
        <f>排水管道工程量1!D175</f>
        <v>1</v>
      </c>
      <c r="J177" s="38">
        <v>50000</v>
      </c>
      <c r="K177" s="39"/>
    </row>
    <row r="178" ht="34.95" customHeight="1" spans="1:11">
      <c r="A178" s="113">
        <v>2</v>
      </c>
      <c r="B178" s="112" t="str">
        <f>排水管道工程量1!B176</f>
        <v>2#泵站</v>
      </c>
      <c r="C178" s="104">
        <f>C179+C180+C181+C182+C183+C184+C185+C186+C187+C188+C189+C190+C191</f>
        <v>197.39</v>
      </c>
      <c r="D178" s="104">
        <f>D179+D180+D181+D182+D183+D184+D185+D186+D187+D188+D189+D190+D191</f>
        <v>21.85</v>
      </c>
      <c r="E178" s="104">
        <f>E179+E180+E181+E182+E183+E184+E185+E186+E187+E188+E189+E190+E191</f>
        <v>225</v>
      </c>
      <c r="F178" s="104">
        <f>F179+F180+F181+F182+F183+F184+F185+F186+F187+F188+F189+F190+F191</f>
        <v>0</v>
      </c>
      <c r="G178" s="101">
        <f>F178+E178+D178+C178</f>
        <v>444.24</v>
      </c>
      <c r="H178" s="104"/>
      <c r="I178" s="114"/>
      <c r="J178" s="114"/>
      <c r="K178" s="39"/>
    </row>
    <row r="179" ht="34.95" customHeight="1" spans="1:11">
      <c r="A179" s="103"/>
      <c r="B179" s="10" t="str">
        <f>排水管道工程量1!B177</f>
        <v>围墙维修</v>
      </c>
      <c r="C179" s="42">
        <v>1.47</v>
      </c>
      <c r="D179" s="42">
        <v>0.37</v>
      </c>
      <c r="E179" s="42"/>
      <c r="F179" s="42"/>
      <c r="G179" s="102">
        <f>C179+D179+E179+F179</f>
        <v>1.84</v>
      </c>
      <c r="H179" s="42" t="str">
        <f>排水管道工程量1!C177</f>
        <v>米</v>
      </c>
      <c r="I179" s="38">
        <f>排水管道工程量1!D177</f>
        <v>46</v>
      </c>
      <c r="J179" s="38">
        <f t="shared" ref="J179:J185" si="40">(C179+D179)*10000/I179</f>
        <v>400</v>
      </c>
      <c r="K179" s="39"/>
    </row>
    <row r="180" ht="34.95" customHeight="1" spans="1:11">
      <c r="A180" s="103"/>
      <c r="B180" s="10" t="str">
        <f>排水管道工程量1!B178</f>
        <v>走道护栏更换</v>
      </c>
      <c r="C180" s="42">
        <v>1.12</v>
      </c>
      <c r="D180" s="42">
        <v>0.28</v>
      </c>
      <c r="E180" s="42"/>
      <c r="F180" s="42"/>
      <c r="G180" s="102">
        <f t="shared" ref="G180:G191" si="41">C180+D180+E180+F180</f>
        <v>1.4</v>
      </c>
      <c r="H180" s="42" t="str">
        <f>排水管道工程量1!C178</f>
        <v>米</v>
      </c>
      <c r="I180" s="38">
        <f>排水管道工程量1!D178</f>
        <v>70</v>
      </c>
      <c r="J180" s="38">
        <f t="shared" si="40"/>
        <v>200</v>
      </c>
      <c r="K180" s="39"/>
    </row>
    <row r="181" ht="34.95" customHeight="1" spans="1:11">
      <c r="A181" s="103"/>
      <c r="B181" s="10" t="str">
        <f>排水管道工程量1!B179</f>
        <v>配电室周围地面硬化</v>
      </c>
      <c r="C181" s="42">
        <v>16.8</v>
      </c>
      <c r="D181" s="42">
        <v>4.2</v>
      </c>
      <c r="E181" s="42"/>
      <c r="F181" s="42"/>
      <c r="G181" s="102">
        <f t="shared" si="41"/>
        <v>21</v>
      </c>
      <c r="H181" s="42" t="str">
        <f>排水管道工程量1!C179</f>
        <v>平米</v>
      </c>
      <c r="I181" s="38">
        <f>排水管道工程量1!D179</f>
        <v>600</v>
      </c>
      <c r="J181" s="38">
        <f t="shared" si="40"/>
        <v>350</v>
      </c>
      <c r="K181" s="39"/>
    </row>
    <row r="182" ht="34.95" customHeight="1" spans="1:11">
      <c r="A182" s="103"/>
      <c r="B182" s="10" t="str">
        <f>排水管道工程量1!B180</f>
        <v>辅助用房室内外粉刷</v>
      </c>
      <c r="C182" s="42">
        <v>14.4</v>
      </c>
      <c r="D182" s="42">
        <v>3.6</v>
      </c>
      <c r="E182" s="42"/>
      <c r="F182" s="42"/>
      <c r="G182" s="102">
        <f t="shared" si="41"/>
        <v>18</v>
      </c>
      <c r="H182" s="42" t="str">
        <f>排水管道工程量1!C180</f>
        <v>平米</v>
      </c>
      <c r="I182" s="38">
        <f>排水管道工程量1!D180</f>
        <v>600</v>
      </c>
      <c r="J182" s="38">
        <f t="shared" si="40"/>
        <v>300</v>
      </c>
      <c r="K182" s="39"/>
    </row>
    <row r="183" ht="34.95" customHeight="1" spans="1:11">
      <c r="A183" s="103"/>
      <c r="B183" s="10" t="str">
        <f>排水管道工程量1!B181</f>
        <v>暖气管网改造（DN80热镀锌钢管）</v>
      </c>
      <c r="C183" s="42">
        <v>16</v>
      </c>
      <c r="D183" s="42">
        <v>4</v>
      </c>
      <c r="E183" s="42"/>
      <c r="F183" s="42"/>
      <c r="G183" s="102">
        <f t="shared" si="41"/>
        <v>20</v>
      </c>
      <c r="H183" s="42" t="str">
        <f>排水管道工程量1!C181</f>
        <v>米</v>
      </c>
      <c r="I183" s="38">
        <f>排水管道工程量1!D181</f>
        <v>1000</v>
      </c>
      <c r="J183" s="38">
        <f t="shared" si="40"/>
        <v>200</v>
      </c>
      <c r="K183" s="39"/>
    </row>
    <row r="184" ht="34.95" customHeight="1" spans="1:11">
      <c r="A184" s="103"/>
      <c r="B184" s="10" t="str">
        <f>排水管道工程量1!B182</f>
        <v>卫生间维修改造面积</v>
      </c>
      <c r="C184" s="42">
        <v>1.6</v>
      </c>
      <c r="D184" s="42">
        <v>0.4</v>
      </c>
      <c r="E184" s="42"/>
      <c r="F184" s="42"/>
      <c r="G184" s="102">
        <f t="shared" si="41"/>
        <v>2</v>
      </c>
      <c r="H184" s="42" t="str">
        <f>排水管道工程量1!C182</f>
        <v>平米</v>
      </c>
      <c r="I184" s="38">
        <f>排水管道工程量1!D182</f>
        <v>4</v>
      </c>
      <c r="J184" s="38">
        <f t="shared" si="40"/>
        <v>5000</v>
      </c>
      <c r="K184" s="39"/>
    </row>
    <row r="185" ht="34.95" customHeight="1" spans="1:11">
      <c r="A185" s="103"/>
      <c r="B185" s="10" t="str">
        <f>排水管道工程量1!B183</f>
        <v>150Kw发电线路改造</v>
      </c>
      <c r="C185" s="42">
        <v>20</v>
      </c>
      <c r="D185" s="42">
        <v>5</v>
      </c>
      <c r="E185" s="42"/>
      <c r="F185" s="42"/>
      <c r="G185" s="102">
        <f t="shared" si="41"/>
        <v>25</v>
      </c>
      <c r="H185" s="42" t="str">
        <f>排水管道工程量1!C183</f>
        <v>米</v>
      </c>
      <c r="I185" s="38">
        <f>排水管道工程量1!D183</f>
        <v>50</v>
      </c>
      <c r="J185" s="38">
        <f t="shared" si="40"/>
        <v>5000</v>
      </c>
      <c r="K185" s="39"/>
    </row>
    <row r="186" ht="34.95" customHeight="1" spans="1:11">
      <c r="A186" s="103"/>
      <c r="B186" s="10" t="str">
        <f>排水管道工程量1!B184</f>
        <v>防汛物资</v>
      </c>
      <c r="C186" s="42"/>
      <c r="D186" s="42"/>
      <c r="E186" s="42">
        <v>15</v>
      </c>
      <c r="F186" s="42"/>
      <c r="G186" s="102">
        <f t="shared" si="41"/>
        <v>15</v>
      </c>
      <c r="H186" s="42" t="str">
        <f>排水管道工程量1!C184</f>
        <v>批</v>
      </c>
      <c r="I186" s="38">
        <f>排水管道工程量1!D184</f>
        <v>1</v>
      </c>
      <c r="J186" s="38">
        <f>E186*10000/I186</f>
        <v>150000</v>
      </c>
      <c r="K186" s="39"/>
    </row>
    <row r="187" ht="34.95" customHeight="1" spans="1:11">
      <c r="A187" s="103"/>
      <c r="B187" s="10" t="str">
        <f>排水管道工程量1!B185</f>
        <v>安全应急防护物资</v>
      </c>
      <c r="C187" s="42"/>
      <c r="D187" s="42"/>
      <c r="E187" s="42">
        <v>10</v>
      </c>
      <c r="F187" s="42"/>
      <c r="G187" s="102">
        <f t="shared" si="41"/>
        <v>10</v>
      </c>
      <c r="H187" s="42" t="str">
        <f>排水管道工程量1!C185</f>
        <v>批</v>
      </c>
      <c r="I187" s="38">
        <f>排水管道工程量1!D185</f>
        <v>1</v>
      </c>
      <c r="J187" s="38">
        <f>E187*10000/I187</f>
        <v>100000</v>
      </c>
      <c r="K187" s="39"/>
    </row>
    <row r="188" ht="34.95" customHeight="1" spans="1:11">
      <c r="A188" s="103"/>
      <c r="B188" s="10" t="str">
        <f>排水管道工程量1!B186</f>
        <v>防汛室装修及办公用具</v>
      </c>
      <c r="C188" s="42">
        <v>16</v>
      </c>
      <c r="D188" s="42">
        <v>4</v>
      </c>
      <c r="E188" s="42"/>
      <c r="F188" s="42"/>
      <c r="G188" s="102">
        <f t="shared" si="41"/>
        <v>20</v>
      </c>
      <c r="H188" s="42" t="str">
        <f>排水管道工程量1!C186</f>
        <v>项</v>
      </c>
      <c r="I188" s="38">
        <f>排水管道工程量1!D186</f>
        <v>1</v>
      </c>
      <c r="J188" s="38">
        <v>200000</v>
      </c>
      <c r="K188" s="39"/>
    </row>
    <row r="189" ht="34.95" customHeight="1" spans="1:11">
      <c r="A189" s="103"/>
      <c r="B189" s="10" t="str">
        <f>排水管道工程量1!B187</f>
        <v>防汛期清淤</v>
      </c>
      <c r="C189" s="42">
        <f>I189*J189/10000</f>
        <v>20</v>
      </c>
      <c r="D189" s="42"/>
      <c r="E189" s="42"/>
      <c r="F189" s="42"/>
      <c r="G189" s="102">
        <f t="shared" si="41"/>
        <v>20</v>
      </c>
      <c r="H189" s="42" t="str">
        <f>排水管道工程量1!C187</f>
        <v>次</v>
      </c>
      <c r="I189" s="38">
        <f>排水管道工程量1!D187</f>
        <v>2</v>
      </c>
      <c r="J189" s="38">
        <v>100000</v>
      </c>
      <c r="K189" s="39"/>
    </row>
    <row r="190" ht="34.95" customHeight="1" spans="1:11">
      <c r="A190" s="103"/>
      <c r="B190" s="10" t="str">
        <f>排水管道工程量1!B188</f>
        <v>泵房室内池体加固</v>
      </c>
      <c r="C190" s="42">
        <f>I190*J190/10000</f>
        <v>90</v>
      </c>
      <c r="D190" s="42"/>
      <c r="E190" s="42"/>
      <c r="F190" s="42"/>
      <c r="G190" s="102">
        <f t="shared" si="41"/>
        <v>90</v>
      </c>
      <c r="H190" s="42" t="str">
        <f>排水管道工程量1!C188</f>
        <v>m³</v>
      </c>
      <c r="I190" s="38">
        <f>排水管道工程量1!D188</f>
        <v>300</v>
      </c>
      <c r="J190" s="38">
        <v>3000</v>
      </c>
      <c r="K190" s="39"/>
    </row>
    <row r="191" ht="34.95" customHeight="1" spans="1:11">
      <c r="A191" s="103"/>
      <c r="B191" s="10" t="str">
        <f>排水管道工程量1!B189</f>
        <v>防汛抢险车辆及配套设备</v>
      </c>
      <c r="C191" s="42"/>
      <c r="D191" s="42"/>
      <c r="E191" s="42">
        <f>J191*I191/10000</f>
        <v>200</v>
      </c>
      <c r="F191" s="42"/>
      <c r="G191" s="102">
        <f t="shared" si="41"/>
        <v>200</v>
      </c>
      <c r="H191" s="42" t="str">
        <f>排水管道工程量1!C189</f>
        <v>套</v>
      </c>
      <c r="I191" s="38">
        <f>排水管道工程量1!D189</f>
        <v>1</v>
      </c>
      <c r="J191" s="38">
        <v>2000000</v>
      </c>
      <c r="K191" s="39"/>
    </row>
    <row r="192" ht="34.95" customHeight="1" spans="1:11">
      <c r="A192" s="113">
        <v>3</v>
      </c>
      <c r="B192" s="112" t="str">
        <f>排水管道工程量1!B190</f>
        <v>3#泵站</v>
      </c>
      <c r="C192" s="104">
        <f>C193+C194+C195+C196+C197+C198+C199+C200+C201+C202+C203+C204</f>
        <v>81.6</v>
      </c>
      <c r="D192" s="104">
        <f>D193+D194+D195+D196+D197+D198+D199+D200+D201+D202+D203+D204</f>
        <v>23</v>
      </c>
      <c r="E192" s="104">
        <f>E193+E194+E195+E196+E197+E198+E199+E200+E201+E202+E203+E204</f>
        <v>38.4</v>
      </c>
      <c r="F192" s="104">
        <f>F193+F194+F195+F196+F197+F198+F199+F200+F201+F202+F203+F204</f>
        <v>0</v>
      </c>
      <c r="G192" s="101">
        <f>F192+E192+D192+C192</f>
        <v>143</v>
      </c>
      <c r="H192" s="104"/>
      <c r="I192" s="114"/>
      <c r="J192" s="114"/>
      <c r="K192" s="39"/>
    </row>
    <row r="193" ht="34.95" customHeight="1" spans="1:11">
      <c r="A193" s="103"/>
      <c r="B193" s="10" t="str">
        <f>排水管道工程量1!B191</f>
        <v>更换机械格栅</v>
      </c>
      <c r="C193" s="42"/>
      <c r="D193" s="42">
        <v>4</v>
      </c>
      <c r="E193" s="42">
        <v>16</v>
      </c>
      <c r="F193" s="42"/>
      <c r="G193" s="102">
        <f>C193+D193+E193+F193</f>
        <v>20</v>
      </c>
      <c r="H193" s="42" t="str">
        <f>排水管道工程量1!C191</f>
        <v>套</v>
      </c>
      <c r="I193" s="38">
        <f>排水管道工程量1!D191</f>
        <v>2</v>
      </c>
      <c r="J193" s="38">
        <f>(D193+E193)*10000/I193</f>
        <v>100000</v>
      </c>
      <c r="K193" s="39"/>
    </row>
    <row r="194" ht="34.95" customHeight="1" spans="1:11">
      <c r="A194" s="103"/>
      <c r="B194" s="10" t="str">
        <f>排水管道工程量1!B192</f>
        <v>进水启闭机</v>
      </c>
      <c r="C194" s="42"/>
      <c r="D194" s="42">
        <v>0.6</v>
      </c>
      <c r="E194" s="42">
        <v>2.4</v>
      </c>
      <c r="F194" s="42"/>
      <c r="G194" s="102">
        <f t="shared" ref="G194:G204" si="42">C194+D194+E194+F194</f>
        <v>3</v>
      </c>
      <c r="H194" s="42" t="str">
        <f>排水管道工程量1!C192</f>
        <v>套</v>
      </c>
      <c r="I194" s="38">
        <f>排水管道工程量1!D192</f>
        <v>3</v>
      </c>
      <c r="J194" s="38">
        <f>(D194+E194)*10000/I194</f>
        <v>10000</v>
      </c>
      <c r="K194" s="39"/>
    </row>
    <row r="195" ht="34.95" customHeight="1" spans="1:11">
      <c r="A195" s="103"/>
      <c r="B195" s="10" t="str">
        <f>排水管道工程量1!B193</f>
        <v>维修围墙</v>
      </c>
      <c r="C195" s="42">
        <v>19</v>
      </c>
      <c r="D195" s="42"/>
      <c r="E195" s="42"/>
      <c r="F195" s="42"/>
      <c r="G195" s="102">
        <f t="shared" si="42"/>
        <v>19</v>
      </c>
      <c r="H195" s="42" t="str">
        <f>排水管道工程量1!C193</f>
        <v>米</v>
      </c>
      <c r="I195" s="38">
        <f>排水管道工程量1!D193</f>
        <v>400</v>
      </c>
      <c r="J195" s="38">
        <f>C195*10000/I195</f>
        <v>475</v>
      </c>
      <c r="K195" s="39"/>
    </row>
    <row r="196" ht="34.95" customHeight="1" spans="1:11">
      <c r="A196" s="103"/>
      <c r="B196" s="10" t="str">
        <f>排水管道工程量1!B194</f>
        <v>大门</v>
      </c>
      <c r="C196" s="42"/>
      <c r="D196" s="42">
        <v>1</v>
      </c>
      <c r="E196" s="42"/>
      <c r="F196" s="42"/>
      <c r="G196" s="102">
        <f t="shared" si="42"/>
        <v>1</v>
      </c>
      <c r="H196" s="42" t="str">
        <f>排水管道工程量1!C194</f>
        <v>樘</v>
      </c>
      <c r="I196" s="38">
        <f>排水管道工程量1!D194</f>
        <v>1</v>
      </c>
      <c r="J196" s="38">
        <v>10000</v>
      </c>
      <c r="K196" s="39"/>
    </row>
    <row r="197" ht="34.95" customHeight="1" spans="1:11">
      <c r="A197" s="103"/>
      <c r="B197" s="10" t="str">
        <f>排水管道工程量1!B195</f>
        <v>泵房室内外粉刷</v>
      </c>
      <c r="C197" s="42">
        <v>14.4</v>
      </c>
      <c r="D197" s="42">
        <v>3.6</v>
      </c>
      <c r="E197" s="42"/>
      <c r="F197" s="42"/>
      <c r="G197" s="102">
        <f t="shared" si="42"/>
        <v>18</v>
      </c>
      <c r="H197" s="42" t="str">
        <f>排水管道工程量1!C195</f>
        <v>平米</v>
      </c>
      <c r="I197" s="38">
        <f>排水管道工程量1!D195</f>
        <v>600</v>
      </c>
      <c r="J197" s="38">
        <f>(C197+D197)*10000/I197</f>
        <v>300</v>
      </c>
      <c r="K197" s="39"/>
    </row>
    <row r="198" ht="34.95" customHeight="1" spans="1:11">
      <c r="A198" s="103"/>
      <c r="B198" s="10" t="str">
        <f>排水管道工程量1!B196</f>
        <v>行车维修保养</v>
      </c>
      <c r="C198" s="42">
        <v>1.6</v>
      </c>
      <c r="D198" s="42">
        <v>0.4</v>
      </c>
      <c r="E198" s="42"/>
      <c r="F198" s="42"/>
      <c r="G198" s="102">
        <f t="shared" si="42"/>
        <v>2</v>
      </c>
      <c r="H198" s="42" t="str">
        <f>排水管道工程量1!C196</f>
        <v>项</v>
      </c>
      <c r="I198" s="38">
        <f>排水管道工程量1!D196</f>
        <v>1</v>
      </c>
      <c r="J198" s="38">
        <f t="shared" ref="J198:J204" si="43">(C198+D198)*10000/I198</f>
        <v>20000</v>
      </c>
      <c r="K198" s="39"/>
    </row>
    <row r="199" ht="34.95" customHeight="1" spans="1:11">
      <c r="A199" s="103"/>
      <c r="B199" s="10" t="str">
        <f>排水管道工程量1!B197</f>
        <v>加装轴流风机</v>
      </c>
      <c r="C199" s="42">
        <v>8</v>
      </c>
      <c r="D199" s="42">
        <v>2</v>
      </c>
      <c r="E199" s="42"/>
      <c r="F199" s="42"/>
      <c r="G199" s="102">
        <f t="shared" si="42"/>
        <v>10</v>
      </c>
      <c r="H199" s="42" t="str">
        <f>排水管道工程量1!C197</f>
        <v>台</v>
      </c>
      <c r="I199" s="38">
        <f>排水管道工程量1!D197</f>
        <v>2</v>
      </c>
      <c r="J199" s="38">
        <f t="shared" si="43"/>
        <v>50000</v>
      </c>
      <c r="K199" s="39"/>
    </row>
    <row r="200" ht="34.95" customHeight="1" spans="1:11">
      <c r="A200" s="103"/>
      <c r="B200" s="10" t="str">
        <f>排水管道工程量1!B198</f>
        <v>150Kw发电线路改造</v>
      </c>
      <c r="C200" s="42">
        <v>20</v>
      </c>
      <c r="D200" s="42">
        <v>5</v>
      </c>
      <c r="E200" s="42"/>
      <c r="F200" s="42"/>
      <c r="G200" s="102">
        <f t="shared" si="42"/>
        <v>25</v>
      </c>
      <c r="H200" s="42" t="str">
        <f>排水管道工程量1!C198</f>
        <v>米</v>
      </c>
      <c r="I200" s="38">
        <f>排水管道工程量1!D198</f>
        <v>50</v>
      </c>
      <c r="J200" s="38">
        <f t="shared" si="43"/>
        <v>5000</v>
      </c>
      <c r="K200" s="39"/>
    </row>
    <row r="201" ht="34.95" customHeight="1" spans="1:11">
      <c r="A201" s="103"/>
      <c r="B201" s="10" t="str">
        <f>排水管道工程量1!B199</f>
        <v>防汛室装修及办公用具</v>
      </c>
      <c r="C201" s="42">
        <v>16</v>
      </c>
      <c r="D201" s="42">
        <v>4</v>
      </c>
      <c r="E201" s="42"/>
      <c r="F201" s="42"/>
      <c r="G201" s="102">
        <f t="shared" si="42"/>
        <v>20</v>
      </c>
      <c r="H201" s="42" t="str">
        <f>排水管道工程量1!C199</f>
        <v>项</v>
      </c>
      <c r="I201" s="38">
        <f>排水管道工程量1!D199</f>
        <v>1</v>
      </c>
      <c r="J201" s="38">
        <f t="shared" si="43"/>
        <v>200000</v>
      </c>
      <c r="K201" s="39"/>
    </row>
    <row r="202" ht="34.95" customHeight="1" spans="1:11">
      <c r="A202" s="103"/>
      <c r="B202" s="10" t="str">
        <f>排水管道工程量1!B200</f>
        <v>备用污水提升泵</v>
      </c>
      <c r="C202" s="42"/>
      <c r="D202" s="42"/>
      <c r="E202" s="42">
        <v>20</v>
      </c>
      <c r="F202" s="42"/>
      <c r="G202" s="102">
        <f t="shared" si="42"/>
        <v>20</v>
      </c>
      <c r="H202" s="42" t="str">
        <f>排水管道工程量1!C200</f>
        <v>台</v>
      </c>
      <c r="I202" s="38">
        <f>排水管道工程量1!D200</f>
        <v>2</v>
      </c>
      <c r="J202" s="38">
        <f>E202*10000/I202</f>
        <v>100000</v>
      </c>
      <c r="K202" s="39"/>
    </row>
    <row r="203" ht="34.95" customHeight="1" spans="1:11">
      <c r="A203" s="103"/>
      <c r="B203" s="10" t="str">
        <f>排水管道工程量1!B201</f>
        <v>卫生间维修改造面积</v>
      </c>
      <c r="C203" s="42">
        <v>1.6</v>
      </c>
      <c r="D203" s="42">
        <v>0.4</v>
      </c>
      <c r="E203" s="42"/>
      <c r="F203" s="42"/>
      <c r="G203" s="102">
        <f t="shared" si="42"/>
        <v>2</v>
      </c>
      <c r="H203" s="42" t="str">
        <f>排水管道工程量1!C201</f>
        <v>平米</v>
      </c>
      <c r="I203" s="38">
        <f>排水管道工程量1!D201</f>
        <v>4</v>
      </c>
      <c r="J203" s="38">
        <f t="shared" si="43"/>
        <v>5000</v>
      </c>
      <c r="K203" s="39"/>
    </row>
    <row r="204" ht="34.95" customHeight="1" spans="1:11">
      <c r="A204" s="103"/>
      <c r="B204" s="10" t="str">
        <f>排水管道工程量1!B202</f>
        <v>站内路灯修复</v>
      </c>
      <c r="C204" s="42">
        <v>1</v>
      </c>
      <c r="D204" s="42">
        <v>2</v>
      </c>
      <c r="E204" s="42"/>
      <c r="F204" s="42"/>
      <c r="G204" s="102">
        <f t="shared" si="42"/>
        <v>3</v>
      </c>
      <c r="H204" s="42" t="str">
        <f>排水管道工程量1!C202</f>
        <v>座</v>
      </c>
      <c r="I204" s="38">
        <f>排水管道工程量1!D202</f>
        <v>10</v>
      </c>
      <c r="J204" s="38">
        <f t="shared" si="43"/>
        <v>3000</v>
      </c>
      <c r="K204" s="39"/>
    </row>
    <row r="205" ht="34.95" customHeight="1" spans="1:11">
      <c r="A205" s="113" t="s">
        <v>30</v>
      </c>
      <c r="B205" s="112" t="str">
        <f>排水管道工程量1!B203</f>
        <v>防洪排涝渠</v>
      </c>
      <c r="C205" s="104">
        <f>C206+C207+C208</f>
        <v>493.7</v>
      </c>
      <c r="D205" s="104">
        <f>D206+D207+D208</f>
        <v>0</v>
      </c>
      <c r="E205" s="104">
        <f>E206+E207+E208</f>
        <v>0</v>
      </c>
      <c r="F205" s="104">
        <f>F206+F207+F208</f>
        <v>0</v>
      </c>
      <c r="G205" s="101">
        <f>F205+E205+D205+C205</f>
        <v>493.7</v>
      </c>
      <c r="H205" s="104"/>
      <c r="I205" s="114"/>
      <c r="J205" s="114"/>
      <c r="K205" s="39"/>
    </row>
    <row r="206" ht="34.95" customHeight="1" spans="1:11">
      <c r="A206" s="103"/>
      <c r="B206" s="10" t="str">
        <f>排水管道工程量1!B204</f>
        <v>渠道维修改造（长840m，宽4m）</v>
      </c>
      <c r="C206" s="42">
        <f>J206*I206/10000</f>
        <v>487.2</v>
      </c>
      <c r="D206" s="42"/>
      <c r="E206" s="42"/>
      <c r="F206" s="42"/>
      <c r="G206" s="102">
        <f t="shared" ref="G206:G210" si="44">C206+D206+E206+F206</f>
        <v>487.2</v>
      </c>
      <c r="H206" s="42" t="str">
        <f>排水管道工程量1!C204</f>
        <v>米</v>
      </c>
      <c r="I206" s="38">
        <f>排水管道工程量1!D204</f>
        <v>840</v>
      </c>
      <c r="J206" s="38">
        <v>5800</v>
      </c>
      <c r="K206" s="39"/>
    </row>
    <row r="207" ht="34.95" customHeight="1" spans="1:11">
      <c r="A207" s="103"/>
      <c r="B207" s="10" t="str">
        <f>排水管道工程量1!B205</f>
        <v>电动闸门3台（宽度2m）</v>
      </c>
      <c r="C207" s="42">
        <v>1.5</v>
      </c>
      <c r="D207" s="42"/>
      <c r="E207" s="42"/>
      <c r="F207" s="42"/>
      <c r="G207" s="102">
        <f t="shared" si="44"/>
        <v>1.5</v>
      </c>
      <c r="H207" s="42" t="str">
        <f>排水管道工程量1!C205</f>
        <v>台</v>
      </c>
      <c r="I207" s="38">
        <f>排水管道工程量1!D205</f>
        <v>3</v>
      </c>
      <c r="J207" s="38">
        <f>C207*10000/I207</f>
        <v>5000</v>
      </c>
      <c r="K207" s="39"/>
    </row>
    <row r="208" ht="34.95" customHeight="1" spans="1:11">
      <c r="A208" s="103"/>
      <c r="B208" s="10" t="str">
        <f>排水管道工程量1!B206</f>
        <v>接电线路</v>
      </c>
      <c r="C208" s="42">
        <v>5</v>
      </c>
      <c r="D208" s="42"/>
      <c r="E208" s="42"/>
      <c r="F208" s="42"/>
      <c r="G208" s="102">
        <f t="shared" si="44"/>
        <v>5</v>
      </c>
      <c r="H208" s="42" t="str">
        <f>排水管道工程量1!C206</f>
        <v>米</v>
      </c>
      <c r="I208" s="38">
        <f>排水管道工程量1!D206</f>
        <v>100</v>
      </c>
      <c r="J208" s="38">
        <f>C208*10000/I208</f>
        <v>500</v>
      </c>
      <c r="K208" s="39"/>
    </row>
    <row r="209" ht="34.95" customHeight="1" spans="1:11">
      <c r="A209" s="113" t="s">
        <v>32</v>
      </c>
      <c r="B209" s="112" t="str">
        <f>排水管道工程量1!B208</f>
        <v>8 万立方应急水池</v>
      </c>
      <c r="C209" s="104">
        <f>C210+C211+C212+C213+C214+C215+C216+C217+C218+C219+C220+C221+C222</f>
        <v>1466.95</v>
      </c>
      <c r="D209" s="104">
        <f>D210+D211+D212+D213+D214+D215+D216+D217+D218+D219+D220+D221+D222</f>
        <v>112.6</v>
      </c>
      <c r="E209" s="104">
        <f>E210+E211+E212+E213+E214+E215+E216+E217+E218+E219+E220+E221+E222</f>
        <v>374.4</v>
      </c>
      <c r="F209" s="104">
        <f>F210+F211+F212+F213+F214+F215+F216+F217+F218+F219+F220+F221+F222</f>
        <v>0</v>
      </c>
      <c r="G209" s="101">
        <f>F209+E209+D209+C209</f>
        <v>1953.95</v>
      </c>
      <c r="H209" s="104" t="str">
        <f>排水管道工程量1!C208</f>
        <v>座</v>
      </c>
      <c r="I209" s="114">
        <f>排水管道工程量1!D208</f>
        <v>1</v>
      </c>
      <c r="J209" s="114"/>
      <c r="K209" s="39"/>
    </row>
    <row r="210" ht="34.95" customHeight="1" spans="1:11">
      <c r="A210" s="103"/>
      <c r="B210" s="10" t="str">
        <f>排水管道工程量1!B209</f>
        <v>土方开挖</v>
      </c>
      <c r="C210" s="42">
        <v>600</v>
      </c>
      <c r="D210" s="42"/>
      <c r="E210" s="42"/>
      <c r="F210" s="42"/>
      <c r="G210" s="102">
        <f t="shared" si="44"/>
        <v>600</v>
      </c>
      <c r="H210" s="42" t="str">
        <f>排水管道工程量1!C209</f>
        <v>立方</v>
      </c>
      <c r="I210" s="38">
        <f>排水管道工程量1!D209</f>
        <v>150000</v>
      </c>
      <c r="J210" s="38">
        <f t="shared" ref="J210:J216" si="45">C210*10000/I210</f>
        <v>40</v>
      </c>
      <c r="K210" s="39"/>
    </row>
    <row r="211" ht="34.95" customHeight="1" spans="1:11">
      <c r="A211" s="103"/>
      <c r="B211" s="10" t="str">
        <f>排水管道工程量1!B210</f>
        <v>土方回填 </v>
      </c>
      <c r="C211" s="42">
        <v>180</v>
      </c>
      <c r="D211" s="42"/>
      <c r="E211" s="42"/>
      <c r="F211" s="42"/>
      <c r="G211" s="102">
        <f t="shared" ref="G211:G222" si="46">C211+D211+E211+F211</f>
        <v>180</v>
      </c>
      <c r="H211" s="42" t="str">
        <f>排水管道工程量1!C210</f>
        <v>立方</v>
      </c>
      <c r="I211" s="38">
        <f>排水管道工程量1!D210</f>
        <v>30000</v>
      </c>
      <c r="J211" s="38">
        <f t="shared" si="45"/>
        <v>60</v>
      </c>
      <c r="K211" s="39"/>
    </row>
    <row r="212" ht="34.95" customHeight="1" spans="1:11">
      <c r="A212" s="103"/>
      <c r="B212" s="10" t="str">
        <f>排水管道工程量1!B211</f>
        <v>粘土层</v>
      </c>
      <c r="C212" s="42">
        <v>120</v>
      </c>
      <c r="D212" s="42"/>
      <c r="E212" s="42"/>
      <c r="F212" s="42"/>
      <c r="G212" s="102">
        <f t="shared" si="46"/>
        <v>120</v>
      </c>
      <c r="H212" s="42" t="str">
        <f>排水管道工程量1!C211</f>
        <v>立方</v>
      </c>
      <c r="I212" s="38">
        <f>排水管道工程量1!D211</f>
        <v>8000</v>
      </c>
      <c r="J212" s="38">
        <f t="shared" si="45"/>
        <v>150</v>
      </c>
      <c r="K212" s="39"/>
    </row>
    <row r="213" ht="34.95" customHeight="1" spans="1:11">
      <c r="A213" s="103"/>
      <c r="B213" s="10" t="str">
        <f>排水管道工程量1!B212</f>
        <v>HDPE土工膜（1.5mm）</v>
      </c>
      <c r="C213" s="42"/>
      <c r="D213" s="42">
        <v>51.2</v>
      </c>
      <c r="E213" s="42">
        <v>204.8</v>
      </c>
      <c r="F213" s="42"/>
      <c r="G213" s="102">
        <f t="shared" si="46"/>
        <v>256</v>
      </c>
      <c r="H213" s="42" t="str">
        <f>排水管道工程量1!C212</f>
        <v>平米</v>
      </c>
      <c r="I213" s="38">
        <f>排水管道工程量1!D212</f>
        <v>32000</v>
      </c>
      <c r="J213" s="38">
        <f>(D213+E213)*10000/I213</f>
        <v>80</v>
      </c>
      <c r="K213" s="39"/>
    </row>
    <row r="214" ht="34.95" customHeight="1" spans="1:11">
      <c r="A214" s="103"/>
      <c r="B214" s="10" t="str">
        <f>排水管道工程量1!B213</f>
        <v>土工布（600g/m2）</v>
      </c>
      <c r="C214" s="42"/>
      <c r="D214" s="42">
        <v>38.4</v>
      </c>
      <c r="E214" s="42">
        <v>153.6</v>
      </c>
      <c r="F214" s="42"/>
      <c r="G214" s="102">
        <f t="shared" si="46"/>
        <v>192</v>
      </c>
      <c r="H214" s="42" t="str">
        <f>排水管道工程量1!C213</f>
        <v>立方</v>
      </c>
      <c r="I214" s="38">
        <f>排水管道工程量1!D213</f>
        <v>32000</v>
      </c>
      <c r="J214" s="38">
        <f>(D214+E214)*10000/I214</f>
        <v>60</v>
      </c>
      <c r="K214" s="39"/>
    </row>
    <row r="215" ht="34.95" customHeight="1" spans="1:11">
      <c r="A215" s="103"/>
      <c r="B215" s="10" t="str">
        <f>排水管道工程量1!B214</f>
        <v>卵石层</v>
      </c>
      <c r="C215" s="42">
        <v>294.45</v>
      </c>
      <c r="D215" s="42"/>
      <c r="E215" s="42"/>
      <c r="F215" s="42"/>
      <c r="G215" s="102">
        <f t="shared" si="46"/>
        <v>294.45</v>
      </c>
      <c r="H215" s="42" t="str">
        <f>排水管道工程量1!C214</f>
        <v>立方</v>
      </c>
      <c r="I215" s="38">
        <f>排水管道工程量1!D214</f>
        <v>6500</v>
      </c>
      <c r="J215" s="38">
        <f t="shared" si="45"/>
        <v>453</v>
      </c>
      <c r="K215" s="39"/>
    </row>
    <row r="216" ht="34.95" customHeight="1" spans="1:11">
      <c r="A216" s="103"/>
      <c r="B216" s="10" t="str">
        <f>排水管道工程量1!B215</f>
        <v>浆砌石层（内边坡）</v>
      </c>
      <c r="C216" s="42">
        <v>55</v>
      </c>
      <c r="D216" s="42"/>
      <c r="E216" s="42"/>
      <c r="F216" s="42"/>
      <c r="G216" s="102">
        <f t="shared" si="46"/>
        <v>55</v>
      </c>
      <c r="H216" s="42" t="str">
        <f>排水管道工程量1!C215</f>
        <v>平米</v>
      </c>
      <c r="I216" s="38">
        <f>排水管道工程量1!D215</f>
        <v>1000</v>
      </c>
      <c r="J216" s="38">
        <f t="shared" si="45"/>
        <v>550</v>
      </c>
      <c r="K216" s="39"/>
    </row>
    <row r="217" ht="34.95" customHeight="1" spans="1:11">
      <c r="A217" s="103"/>
      <c r="B217" s="10" t="str">
        <f>排水管道工程量1!B216</f>
        <v>池子护栏 </v>
      </c>
      <c r="C217" s="42">
        <v>17.5</v>
      </c>
      <c r="D217" s="42"/>
      <c r="E217" s="42"/>
      <c r="F217" s="42"/>
      <c r="G217" s="102">
        <f t="shared" si="46"/>
        <v>17.5</v>
      </c>
      <c r="H217" s="42" t="str">
        <f>排水管道工程量1!C216</f>
        <v>米</v>
      </c>
      <c r="I217" s="38">
        <f>排水管道工程量1!D216</f>
        <v>700</v>
      </c>
      <c r="J217" s="38">
        <f t="shared" ref="J217:J222" si="47">C217*10000/I217</f>
        <v>250</v>
      </c>
      <c r="K217" s="39"/>
    </row>
    <row r="218" ht="34.95" customHeight="1" spans="1:11">
      <c r="A218" s="103"/>
      <c r="B218" s="10" t="str">
        <f>排水管道工程量1!B217</f>
        <v>池体开挖支护</v>
      </c>
      <c r="C218" s="42">
        <v>50</v>
      </c>
      <c r="D218" s="42"/>
      <c r="E218" s="42"/>
      <c r="F218" s="42"/>
      <c r="G218" s="102">
        <f t="shared" si="46"/>
        <v>50</v>
      </c>
      <c r="H218" s="42" t="str">
        <f>排水管道工程量1!C217</f>
        <v>项</v>
      </c>
      <c r="I218" s="38">
        <f>排水管道工程量1!D217</f>
        <v>1</v>
      </c>
      <c r="J218" s="38">
        <f t="shared" si="47"/>
        <v>500000</v>
      </c>
      <c r="K218" s="39"/>
    </row>
    <row r="219" ht="34.95" customHeight="1" spans="1:11">
      <c r="A219" s="103"/>
      <c r="B219" s="10" t="str">
        <f>排水管道工程量1!B218</f>
        <v>混凝土路（进应急水池道路4m宽）</v>
      </c>
      <c r="C219" s="42">
        <v>24</v>
      </c>
      <c r="D219" s="42"/>
      <c r="E219" s="42"/>
      <c r="F219" s="42"/>
      <c r="G219" s="102">
        <f t="shared" si="46"/>
        <v>24</v>
      </c>
      <c r="H219" s="42" t="str">
        <f>排水管道工程量1!C218</f>
        <v>平米</v>
      </c>
      <c r="I219" s="38">
        <f>排水管道工程量1!D218</f>
        <v>800</v>
      </c>
      <c r="J219" s="38">
        <f t="shared" si="47"/>
        <v>300</v>
      </c>
      <c r="K219" s="39"/>
    </row>
    <row r="220" ht="34.95" customHeight="1" spans="1:11">
      <c r="A220" s="103"/>
      <c r="B220" s="10" t="str">
        <f>排水管道工程量1!B219</f>
        <v>PE压力排水管道(De800mm) </v>
      </c>
      <c r="C220" s="42">
        <v>76</v>
      </c>
      <c r="D220" s="42">
        <v>19</v>
      </c>
      <c r="E220" s="42"/>
      <c r="F220" s="42"/>
      <c r="G220" s="102">
        <f t="shared" si="46"/>
        <v>95</v>
      </c>
      <c r="H220" s="42" t="str">
        <f>排水管道工程量1!C219</f>
        <v>米</v>
      </c>
      <c r="I220" s="38">
        <f>排水管道工程量1!D219</f>
        <v>500</v>
      </c>
      <c r="J220" s="38">
        <f>(C220+D220)*10000/I220</f>
        <v>1900</v>
      </c>
      <c r="K220" s="39"/>
    </row>
    <row r="221" ht="34.95" customHeight="1" spans="1:11">
      <c r="A221" s="103"/>
      <c r="B221" s="10" t="str">
        <f>排水管道工程量1!B220</f>
        <v>雨水提升泵（1000m3/h）</v>
      </c>
      <c r="C221" s="42"/>
      <c r="D221" s="42">
        <v>4</v>
      </c>
      <c r="E221" s="42">
        <v>16</v>
      </c>
      <c r="F221" s="42"/>
      <c r="G221" s="102">
        <f t="shared" si="46"/>
        <v>20</v>
      </c>
      <c r="H221" s="42" t="str">
        <f>排水管道工程量1!C220</f>
        <v>台</v>
      </c>
      <c r="I221" s="38">
        <f>排水管道工程量1!D220</f>
        <v>2</v>
      </c>
      <c r="J221" s="38">
        <f>(D221+E221)*10000/I221</f>
        <v>100000</v>
      </c>
      <c r="K221" s="39"/>
    </row>
    <row r="222" ht="34.95" customHeight="1" spans="1:11">
      <c r="A222" s="103"/>
      <c r="B222" s="10" t="str">
        <f>排水管道工程量1!B221</f>
        <v>施工降水 </v>
      </c>
      <c r="C222" s="42">
        <v>50</v>
      </c>
      <c r="D222" s="42"/>
      <c r="E222" s="42"/>
      <c r="F222" s="42"/>
      <c r="G222" s="102">
        <f t="shared" si="46"/>
        <v>50</v>
      </c>
      <c r="H222" s="42" t="str">
        <f>排水管道工程量1!C221</f>
        <v>项</v>
      </c>
      <c r="I222" s="38">
        <f>排水管道工程量1!D221</f>
        <v>1</v>
      </c>
      <c r="J222" s="38">
        <f t="shared" si="47"/>
        <v>500000</v>
      </c>
      <c r="K222" s="39"/>
    </row>
    <row r="223" ht="34.95" customHeight="1" spans="1:11">
      <c r="A223" s="113" t="s">
        <v>34</v>
      </c>
      <c r="B223" s="112" t="str">
        <f>排水管道工程量1!B222</f>
        <v>防洪排涝设备</v>
      </c>
      <c r="C223" s="104">
        <f>C224+C225</f>
        <v>0</v>
      </c>
      <c r="D223" s="104">
        <f>D224+D225</f>
        <v>0</v>
      </c>
      <c r="E223" s="104">
        <f>E224+E225</f>
        <v>180</v>
      </c>
      <c r="F223" s="104">
        <f>F224+F225</f>
        <v>0</v>
      </c>
      <c r="G223" s="101">
        <f>F223+E223+D223+C223</f>
        <v>180</v>
      </c>
      <c r="H223" s="104"/>
      <c r="I223" s="114"/>
      <c r="J223" s="114"/>
      <c r="K223" s="39"/>
    </row>
    <row r="224" ht="34.95" customHeight="1" spans="1:11">
      <c r="A224" s="103"/>
      <c r="B224" s="10" t="str">
        <f>排水管道工程量1!B223</f>
        <v>应急排水抢险车（30KW，600m³/H，8M）</v>
      </c>
      <c r="C224" s="42"/>
      <c r="D224" s="42"/>
      <c r="E224" s="42">
        <f>J224*I224/10000</f>
        <v>50</v>
      </c>
      <c r="F224" s="42"/>
      <c r="G224" s="102">
        <f>C224+D224+E224+F224</f>
        <v>50</v>
      </c>
      <c r="H224" s="42" t="str">
        <f>排水管道工程量1!C223</f>
        <v>辆</v>
      </c>
      <c r="I224" s="38">
        <f>排水管道工程量1!D223</f>
        <v>1</v>
      </c>
      <c r="J224" s="38">
        <v>500000</v>
      </c>
      <c r="K224" s="39"/>
    </row>
    <row r="225" ht="34.95" customHeight="1" spans="1:11">
      <c r="A225" s="103"/>
      <c r="B225" s="10" t="str">
        <f>排水管道工程量1!B224</f>
        <v>大流量排水抢险车（60KW，1000m³/H，10M）</v>
      </c>
      <c r="C225" s="42"/>
      <c r="D225" s="42"/>
      <c r="E225" s="42">
        <f>J225*I225/10000</f>
        <v>130</v>
      </c>
      <c r="F225" s="42"/>
      <c r="G225" s="102">
        <f>C225+D225+E225+F225</f>
        <v>130</v>
      </c>
      <c r="H225" s="42" t="str">
        <f>排水管道工程量1!C224</f>
        <v>辆</v>
      </c>
      <c r="I225" s="38">
        <f>排水管道工程量1!D224</f>
        <v>1</v>
      </c>
      <c r="J225" s="38">
        <v>1300000</v>
      </c>
      <c r="K225" s="39"/>
    </row>
    <row r="226" ht="34.95" customHeight="1" spans="1:11">
      <c r="A226" s="113" t="s">
        <v>164</v>
      </c>
      <c r="B226" s="112" t="s">
        <v>165</v>
      </c>
      <c r="C226" s="104">
        <f>C227+C228+C229+C230+C231</f>
        <v>390</v>
      </c>
      <c r="D226" s="104">
        <f>D227+D228+D229+D230+D231</f>
        <v>660</v>
      </c>
      <c r="E226" s="104">
        <f>E227+E228+E229+E230+E231</f>
        <v>1650</v>
      </c>
      <c r="F226" s="104">
        <f>F227+F228+F229+F230+F231</f>
        <v>0</v>
      </c>
      <c r="G226" s="101">
        <f>F226+E226+D226+C226</f>
        <v>2700</v>
      </c>
      <c r="H226" s="42"/>
      <c r="I226" s="38"/>
      <c r="J226" s="38"/>
      <c r="K226" s="39">
        <f>G226/G249</f>
        <v>0.099344077683956</v>
      </c>
    </row>
    <row r="227" ht="34.95" customHeight="1" spans="1:11">
      <c r="A227" s="103"/>
      <c r="B227" s="10" t="s">
        <v>166</v>
      </c>
      <c r="C227" s="42">
        <f t="shared" ref="C227:C231" si="48">J227*I227/10000</f>
        <v>270</v>
      </c>
      <c r="D227" s="42"/>
      <c r="E227" s="42"/>
      <c r="F227" s="42"/>
      <c r="G227" s="102"/>
      <c r="H227" s="42" t="s">
        <v>86</v>
      </c>
      <c r="I227" s="38">
        <v>3</v>
      </c>
      <c r="J227" s="38">
        <v>900000</v>
      </c>
      <c r="K227" s="39"/>
    </row>
    <row r="228" ht="34.95" customHeight="1" spans="1:11">
      <c r="A228" s="103"/>
      <c r="B228" s="10" t="s">
        <v>167</v>
      </c>
      <c r="C228" s="42">
        <f t="shared" si="48"/>
        <v>105</v>
      </c>
      <c r="D228" s="42"/>
      <c r="E228" s="42"/>
      <c r="F228" s="42"/>
      <c r="G228" s="102"/>
      <c r="H228" s="42" t="s">
        <v>86</v>
      </c>
      <c r="I228" s="38">
        <v>3</v>
      </c>
      <c r="J228" s="38">
        <v>350000</v>
      </c>
      <c r="K228" s="39"/>
    </row>
    <row r="229" ht="34.95" customHeight="1" spans="1:11">
      <c r="A229" s="103"/>
      <c r="B229" s="10" t="s">
        <v>168</v>
      </c>
      <c r="C229" s="42"/>
      <c r="D229" s="42">
        <f>J229*I229/10000</f>
        <v>660</v>
      </c>
      <c r="E229" s="42"/>
      <c r="F229" s="42"/>
      <c r="G229" s="102"/>
      <c r="H229" s="42" t="s">
        <v>1</v>
      </c>
      <c r="I229" s="38">
        <v>3</v>
      </c>
      <c r="J229" s="38">
        <v>2200000</v>
      </c>
      <c r="K229" s="39"/>
    </row>
    <row r="230" ht="34.95" customHeight="1" spans="1:11">
      <c r="A230" s="103"/>
      <c r="B230" s="10" t="s">
        <v>169</v>
      </c>
      <c r="C230" s="42"/>
      <c r="D230" s="42"/>
      <c r="E230" s="42">
        <f>J230*I230/10000</f>
        <v>1650</v>
      </c>
      <c r="F230" s="42"/>
      <c r="G230" s="102"/>
      <c r="H230" s="42" t="s">
        <v>170</v>
      </c>
      <c r="I230" s="38">
        <v>3</v>
      </c>
      <c r="J230" s="38">
        <v>5500000</v>
      </c>
      <c r="K230" s="39"/>
    </row>
    <row r="231" ht="34.95" customHeight="1" spans="1:11">
      <c r="A231" s="103"/>
      <c r="B231" s="10" t="s">
        <v>171</v>
      </c>
      <c r="C231" s="42">
        <f t="shared" si="48"/>
        <v>15</v>
      </c>
      <c r="D231" s="42"/>
      <c r="E231" s="42"/>
      <c r="F231" s="42"/>
      <c r="G231" s="102"/>
      <c r="H231" s="42" t="s">
        <v>86</v>
      </c>
      <c r="I231" s="38">
        <v>3</v>
      </c>
      <c r="J231" s="38">
        <v>50000</v>
      </c>
      <c r="K231" s="39"/>
    </row>
    <row r="232" ht="34.95" customHeight="1" spans="1:11">
      <c r="A232" s="103"/>
      <c r="B232" s="10"/>
      <c r="C232" s="42"/>
      <c r="D232" s="42"/>
      <c r="E232" s="42"/>
      <c r="F232" s="42"/>
      <c r="G232" s="102"/>
      <c r="H232" s="42"/>
      <c r="I232" s="38"/>
      <c r="J232" s="38"/>
      <c r="K232" s="39"/>
    </row>
    <row r="233" ht="34.95" customHeight="1" spans="1:11">
      <c r="A233" s="113" t="s">
        <v>143</v>
      </c>
      <c r="B233" s="36" t="s">
        <v>66</v>
      </c>
      <c r="C233" s="115"/>
      <c r="D233" s="115"/>
      <c r="E233" s="115"/>
      <c r="F233" s="116">
        <f>SUM(F234:F247)</f>
        <v>1831.67127154924</v>
      </c>
      <c r="G233" s="116">
        <f>C233+F233</f>
        <v>1831.67127154924</v>
      </c>
      <c r="H233" s="37"/>
      <c r="I233" s="38"/>
      <c r="J233" s="127"/>
      <c r="K233" s="39">
        <f>G233/G249</f>
        <v>0.0673947011452806</v>
      </c>
    </row>
    <row r="234" ht="34.95" customHeight="1" spans="1:11">
      <c r="A234" s="117">
        <v>1</v>
      </c>
      <c r="B234" s="118" t="s">
        <v>144</v>
      </c>
      <c r="C234" s="119"/>
      <c r="D234" s="119"/>
      <c r="E234" s="119"/>
      <c r="F234" s="120">
        <f>G4*1/100</f>
        <v>233.333919942578</v>
      </c>
      <c r="G234" s="115">
        <f t="shared" ref="G234:G239" si="49">C234+F234</f>
        <v>233.333919942578</v>
      </c>
      <c r="H234" s="121" t="s">
        <v>172</v>
      </c>
      <c r="I234" s="121"/>
      <c r="J234" s="121"/>
      <c r="K234" s="128"/>
    </row>
    <row r="235" ht="34.95" customHeight="1" spans="1:11">
      <c r="A235" s="117">
        <v>2</v>
      </c>
      <c r="B235" s="118" t="s">
        <v>145</v>
      </c>
      <c r="C235" s="119"/>
      <c r="D235" s="119"/>
      <c r="E235" s="119"/>
      <c r="F235" s="120">
        <f>G4*0.15/100</f>
        <v>35.0000879913867</v>
      </c>
      <c r="G235" s="115">
        <f t="shared" si="49"/>
        <v>35.0000879913867</v>
      </c>
      <c r="H235" s="121" t="s">
        <v>173</v>
      </c>
      <c r="I235" s="121"/>
      <c r="J235" s="121"/>
      <c r="K235" s="128"/>
    </row>
    <row r="236" ht="34.95" customHeight="1" spans="1:11">
      <c r="A236" s="117">
        <v>3</v>
      </c>
      <c r="B236" s="118" t="s">
        <v>23</v>
      </c>
      <c r="C236" s="119"/>
      <c r="D236" s="119"/>
      <c r="E236" s="119"/>
      <c r="F236" s="120">
        <f>G4*2.5/100</f>
        <v>583.334799856445</v>
      </c>
      <c r="G236" s="115">
        <f t="shared" si="49"/>
        <v>583.334799856445</v>
      </c>
      <c r="H236" s="121" t="s">
        <v>146</v>
      </c>
      <c r="I236" s="121"/>
      <c r="J236" s="121"/>
      <c r="K236" s="128"/>
    </row>
    <row r="237" ht="34.95" customHeight="1" spans="1:11">
      <c r="A237" s="117">
        <v>4</v>
      </c>
      <c r="B237" s="118" t="s">
        <v>148</v>
      </c>
      <c r="C237" s="119"/>
      <c r="D237" s="119"/>
      <c r="E237" s="119"/>
      <c r="F237" s="120">
        <f>G4*0.2/100</f>
        <v>46.6667839885156</v>
      </c>
      <c r="G237" s="115">
        <f t="shared" si="49"/>
        <v>46.6667839885156</v>
      </c>
      <c r="H237" s="121" t="s">
        <v>53</v>
      </c>
      <c r="I237" s="121"/>
      <c r="J237" s="129"/>
      <c r="K237" s="128"/>
    </row>
    <row r="238" ht="34.95" customHeight="1" spans="1:11">
      <c r="A238" s="117">
        <v>5</v>
      </c>
      <c r="B238" s="118" t="s">
        <v>27</v>
      </c>
      <c r="C238" s="122"/>
      <c r="D238" s="122"/>
      <c r="E238" s="122"/>
      <c r="F238" s="120">
        <f>G4*1.5/100</f>
        <v>350.000879913867</v>
      </c>
      <c r="G238" s="115">
        <f t="shared" si="49"/>
        <v>350.000879913867</v>
      </c>
      <c r="H238" s="121" t="s">
        <v>149</v>
      </c>
      <c r="I238" s="121"/>
      <c r="J238" s="129"/>
      <c r="K238" s="39"/>
    </row>
    <row r="239" ht="34.95" customHeight="1" spans="1:11">
      <c r="A239" s="117">
        <v>6</v>
      </c>
      <c r="B239" s="118" t="s">
        <v>150</v>
      </c>
      <c r="C239" s="122"/>
      <c r="D239" s="122"/>
      <c r="E239" s="122"/>
      <c r="F239" s="120">
        <f>G4*0.25/100</f>
        <v>58.3334799856445</v>
      </c>
      <c r="G239" s="115">
        <f t="shared" si="49"/>
        <v>58.3334799856445</v>
      </c>
      <c r="H239" s="121" t="s">
        <v>174</v>
      </c>
      <c r="I239" s="121"/>
      <c r="J239" s="129"/>
      <c r="K239" s="39"/>
    </row>
    <row r="240" ht="34.95" customHeight="1" spans="1:11">
      <c r="A240" s="117">
        <v>7</v>
      </c>
      <c r="B240" s="118" t="s">
        <v>28</v>
      </c>
      <c r="C240" s="122"/>
      <c r="D240" s="122"/>
      <c r="E240" s="122"/>
      <c r="F240" s="120">
        <f>G4*0.1/100</f>
        <v>23.3333919942578</v>
      </c>
      <c r="G240" s="115">
        <f t="shared" ref="G240:G248" si="50">C240+F240</f>
        <v>23.3333919942578</v>
      </c>
      <c r="H240" s="121" t="s">
        <v>175</v>
      </c>
      <c r="I240" s="121"/>
      <c r="J240" s="129"/>
      <c r="K240" s="39"/>
    </row>
    <row r="241" ht="34.95" customHeight="1" spans="1:11">
      <c r="A241" s="117">
        <v>8</v>
      </c>
      <c r="B241" s="118" t="s">
        <v>25</v>
      </c>
      <c r="C241" s="122"/>
      <c r="D241" s="122"/>
      <c r="E241" s="122"/>
      <c r="F241" s="120">
        <f>G4*0.15/100</f>
        <v>35.0000879913867</v>
      </c>
      <c r="G241" s="115">
        <f t="shared" si="50"/>
        <v>35.0000879913867</v>
      </c>
      <c r="H241" s="121" t="s">
        <v>57</v>
      </c>
      <c r="I241" s="121"/>
      <c r="J241" s="129"/>
      <c r="K241" s="128"/>
    </row>
    <row r="242" ht="34.95" customHeight="1" spans="1:11">
      <c r="A242" s="117">
        <v>9</v>
      </c>
      <c r="B242" s="118" t="s">
        <v>151</v>
      </c>
      <c r="C242" s="122"/>
      <c r="D242" s="122"/>
      <c r="E242" s="122"/>
      <c r="F242" s="120">
        <f>G4*0.5/100</f>
        <v>116.666959971289</v>
      </c>
      <c r="G242" s="115">
        <f t="shared" si="50"/>
        <v>116.666959971289</v>
      </c>
      <c r="H242" s="121" t="s">
        <v>152</v>
      </c>
      <c r="I242" s="121"/>
      <c r="J242" s="129"/>
      <c r="K242" s="128"/>
    </row>
    <row r="243" ht="34.95" customHeight="1" spans="1:11">
      <c r="A243" s="117">
        <v>10</v>
      </c>
      <c r="B243" s="118" t="s">
        <v>153</v>
      </c>
      <c r="C243" s="122"/>
      <c r="D243" s="122"/>
      <c r="E243" s="122"/>
      <c r="F243" s="120">
        <f>G4*0.6/100</f>
        <v>140.000351965547</v>
      </c>
      <c r="G243" s="115">
        <f t="shared" si="50"/>
        <v>140.000351965547</v>
      </c>
      <c r="H243" s="121" t="s">
        <v>54</v>
      </c>
      <c r="I243" s="121"/>
      <c r="J243" s="129"/>
      <c r="K243" s="130"/>
    </row>
    <row r="244" ht="34.95" customHeight="1" spans="1:11">
      <c r="A244" s="117">
        <v>11</v>
      </c>
      <c r="B244" s="118" t="s">
        <v>176</v>
      </c>
      <c r="C244" s="122"/>
      <c r="D244" s="122"/>
      <c r="E244" s="122"/>
      <c r="F244" s="120">
        <f>G4*0.4/100</f>
        <v>93.3335679770311</v>
      </c>
      <c r="G244" s="115">
        <f t="shared" si="50"/>
        <v>93.3335679770311</v>
      </c>
      <c r="H244" s="121" t="s">
        <v>177</v>
      </c>
      <c r="I244" s="121"/>
      <c r="J244" s="129"/>
      <c r="K244" s="130"/>
    </row>
    <row r="245" ht="34.95" customHeight="1" spans="1:11">
      <c r="A245" s="117">
        <v>12</v>
      </c>
      <c r="B245" s="118" t="s">
        <v>178</v>
      </c>
      <c r="C245" s="122"/>
      <c r="D245" s="122"/>
      <c r="E245" s="122"/>
      <c r="F245" s="120">
        <f>G4*0.2/100</f>
        <v>46.6667839885156</v>
      </c>
      <c r="G245" s="115">
        <f t="shared" si="50"/>
        <v>46.6667839885156</v>
      </c>
      <c r="H245" s="121" t="s">
        <v>53</v>
      </c>
      <c r="I245" s="121"/>
      <c r="J245" s="129"/>
      <c r="K245" s="128"/>
    </row>
    <row r="246" ht="34.95" customHeight="1" spans="1:11">
      <c r="A246" s="117">
        <v>13</v>
      </c>
      <c r="B246" s="118" t="s">
        <v>154</v>
      </c>
      <c r="C246" s="122"/>
      <c r="D246" s="122"/>
      <c r="E246" s="122"/>
      <c r="F246" s="120">
        <f>G4*0.1/100</f>
        <v>23.3333919942578</v>
      </c>
      <c r="G246" s="115">
        <f t="shared" si="50"/>
        <v>23.3333919942578</v>
      </c>
      <c r="H246" s="121" t="s">
        <v>175</v>
      </c>
      <c r="I246" s="121"/>
      <c r="J246" s="129"/>
      <c r="K246" s="128"/>
    </row>
    <row r="247" ht="34.95" customHeight="1" spans="1:11">
      <c r="A247" s="117">
        <v>14</v>
      </c>
      <c r="B247" s="118" t="s">
        <v>155</v>
      </c>
      <c r="C247" s="122"/>
      <c r="D247" s="122"/>
      <c r="E247" s="122"/>
      <c r="F247" s="120">
        <f>G4*0.2/100</f>
        <v>46.6667839885156</v>
      </c>
      <c r="G247" s="115">
        <f t="shared" si="50"/>
        <v>46.6667839885156</v>
      </c>
      <c r="H247" s="121" t="s">
        <v>53</v>
      </c>
      <c r="I247" s="121"/>
      <c r="J247" s="129"/>
      <c r="K247" s="130"/>
    </row>
    <row r="248" ht="34.95" customHeight="1" spans="1:11">
      <c r="A248" s="113" t="s">
        <v>156</v>
      </c>
      <c r="B248" s="36" t="s">
        <v>31</v>
      </c>
      <c r="C248" s="122"/>
      <c r="D248" s="122"/>
      <c r="E248" s="122"/>
      <c r="F248" s="123">
        <f>(G4+F233)*8/100</f>
        <v>2013.20506126456</v>
      </c>
      <c r="G248" s="116">
        <f t="shared" si="50"/>
        <v>2013.20506126456</v>
      </c>
      <c r="H248" s="124" t="s">
        <v>179</v>
      </c>
      <c r="I248" s="124"/>
      <c r="J248" s="131"/>
      <c r="K248" s="39">
        <f>G248/G249</f>
        <v>0.0740740740740741</v>
      </c>
    </row>
    <row r="249" ht="34.95" customHeight="1" spans="1:11">
      <c r="A249" s="113" t="s">
        <v>159</v>
      </c>
      <c r="B249" s="36" t="s">
        <v>36</v>
      </c>
      <c r="C249" s="123">
        <f>C4</f>
        <v>20043.1419942578</v>
      </c>
      <c r="D249" s="123"/>
      <c r="E249" s="123"/>
      <c r="F249" s="125">
        <f>F233+F248</f>
        <v>3844.8763328138</v>
      </c>
      <c r="G249" s="123">
        <f>SUM(G248+G233+G4)</f>
        <v>27178.2683270716</v>
      </c>
      <c r="H249" s="126"/>
      <c r="I249" s="126"/>
      <c r="J249" s="132"/>
      <c r="K249" s="133"/>
    </row>
  </sheetData>
  <autoFilter ref="A1:K249">
    <extLst/>
  </autoFilter>
  <mergeCells count="21">
    <mergeCell ref="A1:K1"/>
    <mergeCell ref="C2:G2"/>
    <mergeCell ref="H2:J2"/>
    <mergeCell ref="H234:J234"/>
    <mergeCell ref="H235:J235"/>
    <mergeCell ref="H236:J236"/>
    <mergeCell ref="H237:J237"/>
    <mergeCell ref="H238:J238"/>
    <mergeCell ref="H239:J239"/>
    <mergeCell ref="H240:J240"/>
    <mergeCell ref="H241:J241"/>
    <mergeCell ref="H242:J242"/>
    <mergeCell ref="H243:J243"/>
    <mergeCell ref="H244:J244"/>
    <mergeCell ref="H245:J245"/>
    <mergeCell ref="H246:J246"/>
    <mergeCell ref="H247:J247"/>
    <mergeCell ref="H248:J248"/>
    <mergeCell ref="H249:J249"/>
    <mergeCell ref="A2:A3"/>
    <mergeCell ref="B2:B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zoomScale="70" zoomScaleNormal="70" workbookViewId="0">
      <selection activeCell="K17" sqref="K17"/>
    </sheetView>
  </sheetViews>
  <sheetFormatPr defaultColWidth="9" defaultRowHeight="13.5"/>
  <cols>
    <col min="1" max="1" width="8.63333333333333" customWidth="1"/>
    <col min="2" max="2" width="38.525" style="24" customWidth="1"/>
    <col min="3" max="3" width="6" customWidth="1"/>
    <col min="4" max="4" width="9.10833333333333" style="25" customWidth="1"/>
    <col min="5" max="5" width="12" hidden="1" customWidth="1"/>
    <col min="6" max="6" width="12.5" style="22" customWidth="1"/>
    <col min="7" max="7" width="9.10833333333333" style="45" hidden="1" customWidth="1"/>
    <col min="8" max="8" width="16.225" style="45" customWidth="1"/>
    <col min="9" max="9" width="9.10833333333333" style="45" customWidth="1"/>
    <col min="10" max="10" width="9.10833333333333" style="25" customWidth="1"/>
    <col min="11" max="11" width="12.5583333333333" style="25" customWidth="1"/>
    <col min="12" max="13" width="9.10833333333333" style="25" customWidth="1"/>
    <col min="14" max="14" width="12.6333333333333"/>
    <col min="15" max="15" width="12.2" customWidth="1"/>
  </cols>
  <sheetData>
    <row r="1" customFormat="1" ht="38.4" customHeight="1" spans="1:13">
      <c r="A1" s="59" t="s">
        <v>37</v>
      </c>
      <c r="B1" s="59"/>
      <c r="C1" s="59"/>
      <c r="D1" s="59"/>
      <c r="E1" s="59"/>
      <c r="F1" s="59"/>
      <c r="G1" s="59"/>
      <c r="H1" s="59"/>
      <c r="I1" s="59"/>
      <c r="J1" s="81"/>
      <c r="K1" s="81"/>
      <c r="L1" s="81"/>
      <c r="M1" s="81"/>
    </row>
    <row r="2" customFormat="1" ht="30" customHeight="1" spans="1:13">
      <c r="A2" s="60" t="s">
        <v>38</v>
      </c>
      <c r="B2" s="59" t="s">
        <v>180</v>
      </c>
      <c r="C2" s="60" t="s">
        <v>4</v>
      </c>
      <c r="D2" s="61" t="s">
        <v>67</v>
      </c>
      <c r="E2" s="62" t="s">
        <v>69</v>
      </c>
      <c r="F2" s="62" t="s">
        <v>181</v>
      </c>
      <c r="G2" s="62" t="s">
        <v>67</v>
      </c>
      <c r="H2" s="62" t="s">
        <v>182</v>
      </c>
      <c r="I2" s="62"/>
      <c r="J2" s="82"/>
      <c r="K2" s="82" t="s">
        <v>183</v>
      </c>
      <c r="L2" s="32" t="s">
        <v>67</v>
      </c>
      <c r="M2" s="83"/>
    </row>
    <row r="3" customFormat="1" ht="30" customHeight="1" spans="1:13">
      <c r="A3" s="60" t="s">
        <v>8</v>
      </c>
      <c r="B3" s="59" t="s">
        <v>72</v>
      </c>
      <c r="C3" s="60"/>
      <c r="D3" s="61">
        <f>D4+D15</f>
        <v>3603</v>
      </c>
      <c r="E3" s="62"/>
      <c r="F3" s="63"/>
      <c r="G3" s="61"/>
      <c r="H3" s="61">
        <f>H4+H15</f>
        <v>2301.06462296</v>
      </c>
      <c r="I3" s="61"/>
      <c r="J3" s="83"/>
      <c r="K3" s="84">
        <v>0.03</v>
      </c>
      <c r="L3" s="32"/>
      <c r="M3" s="83"/>
    </row>
    <row r="4" customFormat="1" ht="34.95" customHeight="1" spans="1:13">
      <c r="A4" s="64">
        <v>1</v>
      </c>
      <c r="B4" s="65" t="s">
        <v>184</v>
      </c>
      <c r="C4" s="66"/>
      <c r="D4" s="67">
        <f>D5+D6+D7</f>
        <v>2292</v>
      </c>
      <c r="E4" s="68"/>
      <c r="F4" s="69"/>
      <c r="G4" s="67"/>
      <c r="H4" s="70">
        <f>SUM(H5:H14)</f>
        <v>1558.33090199</v>
      </c>
      <c r="I4" s="67"/>
      <c r="J4" s="85"/>
      <c r="K4" s="85">
        <f>D5+D6+D7+D8+D9+D16+D17+D18+D19+D20</f>
        <v>6817.5</v>
      </c>
      <c r="L4" s="38">
        <f>L5+L6</f>
        <v>1658</v>
      </c>
      <c r="M4" s="85"/>
    </row>
    <row r="5" customFormat="1" ht="34.95" customHeight="1" spans="1:13">
      <c r="A5" s="64"/>
      <c r="B5" s="71" t="s">
        <v>75</v>
      </c>
      <c r="C5" s="72" t="s">
        <v>15</v>
      </c>
      <c r="D5" s="67">
        <f>ROUND(L5*(1+K$3),0)</f>
        <v>1212</v>
      </c>
      <c r="E5" s="68"/>
      <c r="F5" s="73">
        <f>ROUND(排水管道单价!D8,0)</f>
        <v>6450</v>
      </c>
      <c r="G5" s="67"/>
      <c r="H5" s="67">
        <f t="shared" ref="H5:H10" si="0">F5*D5/10000</f>
        <v>781.74</v>
      </c>
      <c r="I5" s="67"/>
      <c r="J5" s="85"/>
      <c r="K5" s="85">
        <f>D14+D25</f>
        <v>38721</v>
      </c>
      <c r="L5" s="38">
        <v>1177</v>
      </c>
      <c r="M5" s="85"/>
    </row>
    <row r="6" customFormat="1" ht="34.95" customHeight="1" spans="1:13">
      <c r="A6" s="64"/>
      <c r="B6" s="71" t="s">
        <v>77</v>
      </c>
      <c r="C6" s="72" t="s">
        <v>15</v>
      </c>
      <c r="D6" s="67">
        <f>ROUND(L6*(1+K$3),0)</f>
        <v>495</v>
      </c>
      <c r="E6" s="68"/>
      <c r="F6" s="74">
        <v>1941.1042</v>
      </c>
      <c r="G6" s="67"/>
      <c r="H6" s="67">
        <f t="shared" si="0"/>
        <v>96.0846579</v>
      </c>
      <c r="I6" s="67"/>
      <c r="J6" s="85"/>
      <c r="K6" s="85"/>
      <c r="L6" s="38">
        <v>481</v>
      </c>
      <c r="M6" s="85"/>
    </row>
    <row r="7" customFormat="1" ht="34.95" customHeight="1" spans="1:13">
      <c r="A7" s="64"/>
      <c r="B7" s="71" t="s">
        <v>79</v>
      </c>
      <c r="C7" s="72" t="s">
        <v>15</v>
      </c>
      <c r="D7" s="67">
        <f>ROUND(L7*(1+K$3),0)</f>
        <v>585</v>
      </c>
      <c r="E7" s="68"/>
      <c r="F7" s="74">
        <v>1582</v>
      </c>
      <c r="G7" s="67"/>
      <c r="H7" s="67">
        <f t="shared" si="0"/>
        <v>92.547</v>
      </c>
      <c r="I7" s="67"/>
      <c r="J7" s="85"/>
      <c r="K7" s="85"/>
      <c r="L7" s="38">
        <v>568</v>
      </c>
      <c r="M7" s="85"/>
    </row>
    <row r="8" customFormat="1" ht="34.95" customHeight="1" spans="1:13">
      <c r="A8" s="64"/>
      <c r="B8" s="71" t="s">
        <v>81</v>
      </c>
      <c r="C8" s="72" t="s">
        <v>15</v>
      </c>
      <c r="D8" s="67">
        <f>(D10+D11)/3*30</f>
        <v>477.5</v>
      </c>
      <c r="E8" s="68"/>
      <c r="F8" s="74">
        <v>1488.0004</v>
      </c>
      <c r="G8" s="67"/>
      <c r="H8" s="67">
        <f t="shared" si="0"/>
        <v>71.0520191</v>
      </c>
      <c r="I8" s="67"/>
      <c r="J8" s="85"/>
      <c r="K8" s="85"/>
      <c r="L8" s="38">
        <f>(L10+L11)/3*30</f>
        <v>307.037037037037</v>
      </c>
      <c r="M8" s="85"/>
    </row>
    <row r="9" customFormat="1" ht="34.95" customHeight="1" spans="1:13">
      <c r="A9" s="64"/>
      <c r="B9" s="71" t="s">
        <v>83</v>
      </c>
      <c r="C9" s="72" t="s">
        <v>15</v>
      </c>
      <c r="D9" s="67">
        <f>(D10+D11)*23</f>
        <v>1098.25</v>
      </c>
      <c r="E9" s="68"/>
      <c r="F9" s="74">
        <f>排水管道单价!D20</f>
        <v>902.0972</v>
      </c>
      <c r="G9" s="67"/>
      <c r="H9" s="67">
        <f t="shared" si="0"/>
        <v>99.07282499</v>
      </c>
      <c r="I9" s="67"/>
      <c r="J9" s="85"/>
      <c r="K9" s="86"/>
      <c r="L9" s="38">
        <f>(L10+L11)*23</f>
        <v>706.185185185185</v>
      </c>
      <c r="M9" s="85"/>
    </row>
    <row r="10" customFormat="1" ht="34.95" customHeight="1" spans="1:13">
      <c r="A10" s="64"/>
      <c r="B10" s="71" t="s">
        <v>85</v>
      </c>
      <c r="C10" s="72" t="s">
        <v>86</v>
      </c>
      <c r="D10" s="67">
        <f>D5/48</f>
        <v>25.25</v>
      </c>
      <c r="E10" s="68"/>
      <c r="F10" s="69">
        <f>检查井单价!D6</f>
        <v>17000</v>
      </c>
      <c r="G10" s="67"/>
      <c r="H10" s="67">
        <f t="shared" si="0"/>
        <v>42.925</v>
      </c>
      <c r="I10" s="67"/>
      <c r="J10" s="85"/>
      <c r="K10" s="85"/>
      <c r="L10" s="38">
        <f>L5/54</f>
        <v>21.7962962962963</v>
      </c>
      <c r="M10" s="85"/>
    </row>
    <row r="11" customFormat="1" ht="34.95" customHeight="1" spans="1:13">
      <c r="A11" s="64"/>
      <c r="B11" s="71" t="s">
        <v>88</v>
      </c>
      <c r="C11" s="72" t="s">
        <v>86</v>
      </c>
      <c r="D11" s="67">
        <f>(D6+D7)/48</f>
        <v>22.5</v>
      </c>
      <c r="E11" s="68"/>
      <c r="F11" s="69">
        <v>7800</v>
      </c>
      <c r="G11" s="67"/>
      <c r="H11" s="67">
        <f t="shared" ref="H11:H25" si="1">F11*D11/10000</f>
        <v>17.55</v>
      </c>
      <c r="I11" s="67"/>
      <c r="J11" s="85"/>
      <c r="K11" s="85"/>
      <c r="L11" s="38">
        <f>L6/54</f>
        <v>8.90740740740741</v>
      </c>
      <c r="M11" s="85"/>
    </row>
    <row r="12" customFormat="1" ht="34.95" customHeight="1" spans="1:13">
      <c r="A12" s="64"/>
      <c r="B12" s="71" t="s">
        <v>90</v>
      </c>
      <c r="C12" s="72" t="s">
        <v>86</v>
      </c>
      <c r="D12" s="67">
        <f>(D10+D11)*2</f>
        <v>95.5</v>
      </c>
      <c r="E12" s="68"/>
      <c r="F12" s="73">
        <f>雨水口降水井单价!D3</f>
        <v>1000</v>
      </c>
      <c r="G12" s="67"/>
      <c r="H12" s="67">
        <f t="shared" si="1"/>
        <v>9.55</v>
      </c>
      <c r="I12" s="67"/>
      <c r="J12" s="85"/>
      <c r="K12" s="85"/>
      <c r="L12" s="38">
        <f>(L10+L11)*2</f>
        <v>61.4074074074074</v>
      </c>
      <c r="M12" s="85"/>
    </row>
    <row r="13" customFormat="1" ht="34.95" customHeight="1" spans="1:13">
      <c r="A13" s="64"/>
      <c r="B13" s="71" t="s">
        <v>92</v>
      </c>
      <c r="C13" s="72" t="s">
        <v>86</v>
      </c>
      <c r="D13" s="67">
        <f>(D5+D6+D7)/30</f>
        <v>76.4</v>
      </c>
      <c r="E13" s="68"/>
      <c r="F13" s="73">
        <f>雨水口降水井单价!D4</f>
        <v>10000</v>
      </c>
      <c r="G13" s="67"/>
      <c r="H13" s="67">
        <f t="shared" si="1"/>
        <v>76.4</v>
      </c>
      <c r="I13" s="67"/>
      <c r="J13" s="85"/>
      <c r="K13" s="85"/>
      <c r="L13" s="38">
        <f>(L5)/30</f>
        <v>39.2333333333333</v>
      </c>
      <c r="M13" s="85"/>
    </row>
    <row r="14" customFormat="1" ht="34.95" customHeight="1" spans="1:13">
      <c r="A14" s="64"/>
      <c r="B14" s="71" t="s">
        <v>94</v>
      </c>
      <c r="C14" s="72" t="s">
        <v>95</v>
      </c>
      <c r="D14" s="67">
        <f>D5*12+D6*6+D7*6+D8*4+D9*2</f>
        <v>25130.5</v>
      </c>
      <c r="E14" s="68"/>
      <c r="F14" s="73">
        <f>路面恢复工程单价!C3</f>
        <v>108</v>
      </c>
      <c r="G14" s="67"/>
      <c r="H14" s="67">
        <f t="shared" si="1"/>
        <v>271.4094</v>
      </c>
      <c r="I14" s="67"/>
      <c r="J14" s="85"/>
      <c r="K14" s="85"/>
      <c r="L14" s="38">
        <f>L5*8+L8*4+L9*2</f>
        <v>12056.5185185185</v>
      </c>
      <c r="M14" s="85"/>
    </row>
    <row r="15" customFormat="1" ht="34.95" customHeight="1" spans="1:13">
      <c r="A15" s="64">
        <v>2</v>
      </c>
      <c r="B15" s="65" t="s">
        <v>185</v>
      </c>
      <c r="C15" s="66"/>
      <c r="D15" s="67">
        <f>D16+D17+D18</f>
        <v>1311</v>
      </c>
      <c r="E15" s="68"/>
      <c r="F15" s="69"/>
      <c r="G15" s="67"/>
      <c r="H15" s="70">
        <f>SUM(H16:H25)</f>
        <v>742.73372097</v>
      </c>
      <c r="I15" s="67"/>
      <c r="J15" s="85"/>
      <c r="K15" s="85" t="e">
        <f>#REF!+#REF!+H16+H17+H19+H20+#REF!+H21+H22+H23+H24</f>
        <v>#REF!</v>
      </c>
      <c r="L15" s="38" t="e">
        <f>#REF!+#REF!</f>
        <v>#REF!</v>
      </c>
      <c r="M15" s="85"/>
    </row>
    <row r="16" customFormat="1" ht="34.95" customHeight="1" spans="1:13">
      <c r="A16" s="64"/>
      <c r="B16" s="71" t="s">
        <v>98</v>
      </c>
      <c r="C16" s="72" t="s">
        <v>15</v>
      </c>
      <c r="D16" s="67">
        <f>ROUND(L16*(1+K$3),0)</f>
        <v>531</v>
      </c>
      <c r="E16" s="68"/>
      <c r="F16" s="74">
        <v>3074.575</v>
      </c>
      <c r="G16" s="67"/>
      <c r="H16" s="67">
        <f t="shared" si="1"/>
        <v>163.2599325</v>
      </c>
      <c r="I16" s="67"/>
      <c r="J16" s="85"/>
      <c r="K16" s="85"/>
      <c r="L16" s="38">
        <v>516</v>
      </c>
      <c r="M16" s="85"/>
    </row>
    <row r="17" customFormat="1" ht="34.95" customHeight="1" spans="1:13">
      <c r="A17" s="64"/>
      <c r="B17" s="71" t="s">
        <v>77</v>
      </c>
      <c r="C17" s="72" t="s">
        <v>15</v>
      </c>
      <c r="D17" s="67">
        <f>ROUND(L17*(1+K$3),0)</f>
        <v>417</v>
      </c>
      <c r="E17" s="68"/>
      <c r="F17" s="74">
        <v>1941.1042</v>
      </c>
      <c r="G17" s="67"/>
      <c r="H17" s="67">
        <f t="shared" si="1"/>
        <v>80.94404514</v>
      </c>
      <c r="I17" s="67"/>
      <c r="J17" s="85"/>
      <c r="K17" s="85"/>
      <c r="L17" s="38">
        <v>405</v>
      </c>
      <c r="M17" s="85"/>
    </row>
    <row r="18" customFormat="1" ht="34.95" customHeight="1" spans="1:13">
      <c r="A18" s="64"/>
      <c r="B18" s="71" t="s">
        <v>79</v>
      </c>
      <c r="C18" s="72" t="s">
        <v>15</v>
      </c>
      <c r="D18" s="67">
        <f>ROUND(L18*(1+K$3),0)</f>
        <v>363</v>
      </c>
      <c r="E18" s="68"/>
      <c r="F18" s="74">
        <v>1582</v>
      </c>
      <c r="G18" s="67"/>
      <c r="H18" s="67">
        <f t="shared" si="1"/>
        <v>57.4266</v>
      </c>
      <c r="I18" s="67"/>
      <c r="J18" s="85"/>
      <c r="K18" s="85"/>
      <c r="L18" s="38">
        <v>352</v>
      </c>
      <c r="M18" s="85"/>
    </row>
    <row r="19" customFormat="1" ht="34.95" customHeight="1" spans="1:13">
      <c r="A19" s="64"/>
      <c r="B19" s="71" t="s">
        <v>81</v>
      </c>
      <c r="C19" s="72" t="s">
        <v>15</v>
      </c>
      <c r="D19" s="67">
        <f>(D21+D22)*32</f>
        <v>874</v>
      </c>
      <c r="E19" s="68"/>
      <c r="F19" s="74">
        <v>1488.0004</v>
      </c>
      <c r="G19" s="67"/>
      <c r="H19" s="67">
        <f t="shared" si="1"/>
        <v>130.05123496</v>
      </c>
      <c r="I19" s="67"/>
      <c r="J19" s="85"/>
      <c r="K19" s="85"/>
      <c r="L19" s="38">
        <v>388.666666666667</v>
      </c>
      <c r="M19" s="85"/>
    </row>
    <row r="20" customFormat="1" ht="34.95" customHeight="1" spans="1:13">
      <c r="A20" s="64"/>
      <c r="B20" s="71" t="s">
        <v>83</v>
      </c>
      <c r="C20" s="72" t="s">
        <v>15</v>
      </c>
      <c r="D20" s="67">
        <f>(D21+D22)*28</f>
        <v>764.75</v>
      </c>
      <c r="E20" s="68"/>
      <c r="F20" s="75">
        <v>912.0972</v>
      </c>
      <c r="G20" s="67"/>
      <c r="H20" s="67">
        <f t="shared" si="1"/>
        <v>69.75263337</v>
      </c>
      <c r="I20" s="67"/>
      <c r="J20" s="85"/>
      <c r="K20" s="85"/>
      <c r="L20" s="38">
        <v>1151.5</v>
      </c>
      <c r="M20" s="85"/>
    </row>
    <row r="21" customFormat="1" ht="34.95" customHeight="1" spans="1:13">
      <c r="A21" s="64"/>
      <c r="B21" s="71" t="s">
        <v>104</v>
      </c>
      <c r="C21" s="72" t="s">
        <v>86</v>
      </c>
      <c r="D21" s="67">
        <f>D16/48</f>
        <v>11.0625</v>
      </c>
      <c r="E21" s="68"/>
      <c r="F21" s="73">
        <v>9300</v>
      </c>
      <c r="G21" s="67"/>
      <c r="H21" s="67">
        <f t="shared" si="1"/>
        <v>10.288125</v>
      </c>
      <c r="I21" s="67"/>
      <c r="J21" s="85"/>
      <c r="K21" s="85"/>
      <c r="L21" s="38">
        <v>24.2916666666667</v>
      </c>
      <c r="M21" s="85"/>
    </row>
    <row r="22" customFormat="1" ht="34.95" customHeight="1" spans="1:13">
      <c r="A22" s="64"/>
      <c r="B22" s="71" t="s">
        <v>88</v>
      </c>
      <c r="C22" s="72" t="s">
        <v>86</v>
      </c>
      <c r="D22" s="67">
        <f>(D17+D18)/48</f>
        <v>16.25</v>
      </c>
      <c r="E22" s="68"/>
      <c r="F22" s="73">
        <v>7800</v>
      </c>
      <c r="G22" s="67"/>
      <c r="H22" s="67">
        <f t="shared" si="1"/>
        <v>12.675</v>
      </c>
      <c r="I22" s="67"/>
      <c r="J22" s="85"/>
      <c r="K22" s="85"/>
      <c r="L22" s="38">
        <v>8.4375</v>
      </c>
      <c r="M22" s="85"/>
    </row>
    <row r="23" customFormat="1" ht="34.95" customHeight="1" spans="1:13">
      <c r="A23" s="64"/>
      <c r="B23" s="71" t="s">
        <v>90</v>
      </c>
      <c r="C23" s="72" t="s">
        <v>86</v>
      </c>
      <c r="D23" s="67">
        <f>(D21+D22)*2</f>
        <v>54.625</v>
      </c>
      <c r="E23" s="68"/>
      <c r="F23" s="73">
        <v>1100</v>
      </c>
      <c r="G23" s="67"/>
      <c r="H23" s="67">
        <f t="shared" si="1"/>
        <v>6.00875</v>
      </c>
      <c r="I23" s="67"/>
      <c r="J23" s="85"/>
      <c r="K23" s="85"/>
      <c r="L23" s="38">
        <v>82.25</v>
      </c>
      <c r="M23" s="85"/>
    </row>
    <row r="24" customFormat="1" ht="34.95" customHeight="1" spans="1:13">
      <c r="A24" s="64"/>
      <c r="B24" s="71" t="s">
        <v>92</v>
      </c>
      <c r="C24" s="72" t="s">
        <v>86</v>
      </c>
      <c r="D24" s="76">
        <f>(D16+D17+D18)/30</f>
        <v>43.7</v>
      </c>
      <c r="E24" s="77"/>
      <c r="F24" s="78">
        <v>15000</v>
      </c>
      <c r="G24" s="76"/>
      <c r="H24" s="67">
        <f t="shared" si="1"/>
        <v>65.55</v>
      </c>
      <c r="I24" s="76"/>
      <c r="J24" s="85"/>
      <c r="K24" s="85"/>
      <c r="L24" s="87">
        <v>65.8</v>
      </c>
      <c r="M24" s="85"/>
    </row>
    <row r="25" customFormat="1" ht="34.95" customHeight="1" spans="1:13">
      <c r="A25" s="79"/>
      <c r="B25" s="71" t="s">
        <v>94</v>
      </c>
      <c r="C25" s="80" t="s">
        <v>95</v>
      </c>
      <c r="D25" s="67">
        <f>D16*8+D17*6+D18*5+D19*4+D20*2</f>
        <v>13590.5</v>
      </c>
      <c r="E25" s="68"/>
      <c r="F25" s="69">
        <v>108</v>
      </c>
      <c r="G25" s="67"/>
      <c r="H25" s="67">
        <f t="shared" si="1"/>
        <v>146.7774</v>
      </c>
      <c r="I25" s="67"/>
      <c r="J25" s="25"/>
      <c r="K25" s="25"/>
      <c r="L25" s="38">
        <v>7089.66666666667</v>
      </c>
      <c r="M25" s="85"/>
    </row>
    <row r="36" spans="1:11">
      <c r="A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>
      <c r="A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>
      <c r="A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>
      <c r="A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>
      <c r="A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>
      <c r="A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>
      <c r="A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>
      <c r="A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>
      <c r="A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>
      <c r="A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>
      <c r="A51" s="24"/>
      <c r="C51" s="24"/>
      <c r="D51" s="24"/>
      <c r="E51" s="24"/>
      <c r="F51" s="24"/>
      <c r="G51" s="24"/>
      <c r="H51" s="24"/>
      <c r="I51" s="24"/>
      <c r="J51" s="24"/>
      <c r="K51" s="24"/>
    </row>
  </sheetData>
  <autoFilter ref="A1:I25">
    <extLst/>
  </autoFilter>
  <mergeCells count="1">
    <mergeCell ref="A1:I1"/>
  </mergeCells>
  <pageMargins left="0.75" right="0.75" top="1" bottom="1" header="0.5" footer="0.5"/>
  <pageSetup paperSize="9" scale="8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4"/>
  <sheetViews>
    <sheetView zoomScale="85" zoomScaleNormal="85" workbookViewId="0">
      <selection activeCell="F20" sqref="F20"/>
    </sheetView>
  </sheetViews>
  <sheetFormatPr defaultColWidth="9" defaultRowHeight="21" customHeight="1"/>
  <cols>
    <col min="1" max="1" width="6.33333333333333" customWidth="1"/>
    <col min="2" max="2" width="38.525" style="24" customWidth="1"/>
    <col min="3" max="3" width="6" customWidth="1"/>
    <col min="4" max="4" width="9.10833333333333" style="25" customWidth="1"/>
    <col min="5" max="5" width="8.38333333333333" customWidth="1"/>
    <col min="6" max="6" width="10.6166666666667" customWidth="1"/>
    <col min="8" max="8" width="35.5583333333333" customWidth="1"/>
    <col min="9" max="9" width="10" customWidth="1"/>
    <col min="10" max="10" width="13"/>
    <col min="12" max="12" width="5.66666666666667" customWidth="1"/>
    <col min="13" max="13" width="42.225" customWidth="1"/>
    <col min="16" max="16" width="16.4416666666667"/>
  </cols>
  <sheetData>
    <row r="1" ht="26" customHeight="1" spans="1:16">
      <c r="A1" s="26" t="s">
        <v>186</v>
      </c>
      <c r="B1" s="27"/>
      <c r="C1" s="27"/>
      <c r="D1" s="27"/>
      <c r="E1" s="28"/>
      <c r="F1" s="29" t="s">
        <v>187</v>
      </c>
      <c r="H1" s="1" t="s">
        <v>188</v>
      </c>
      <c r="I1" s="1" t="s">
        <v>189</v>
      </c>
      <c r="J1" s="1" t="s">
        <v>67</v>
      </c>
      <c r="L1" s="3" t="s">
        <v>38</v>
      </c>
      <c r="M1" s="1" t="s">
        <v>190</v>
      </c>
      <c r="N1" s="1" t="s">
        <v>191</v>
      </c>
      <c r="O1" s="1" t="s">
        <v>189</v>
      </c>
      <c r="P1" s="1" t="s">
        <v>67</v>
      </c>
    </row>
    <row r="2" customHeight="1" spans="1:17">
      <c r="A2" s="30" t="s">
        <v>38</v>
      </c>
      <c r="B2" s="31" t="s">
        <v>180</v>
      </c>
      <c r="C2" s="30" t="s">
        <v>4</v>
      </c>
      <c r="D2" s="32" t="s">
        <v>67</v>
      </c>
      <c r="E2" s="33" t="s">
        <v>69</v>
      </c>
      <c r="F2" s="34">
        <v>0.06</v>
      </c>
      <c r="H2" s="2" t="s">
        <v>192</v>
      </c>
      <c r="I2" s="3" t="s">
        <v>15</v>
      </c>
      <c r="J2" s="2">
        <f>D73</f>
        <v>1469</v>
      </c>
      <c r="L2" s="3">
        <v>1</v>
      </c>
      <c r="M2" s="18" t="str">
        <f>B4</f>
        <v>民族大街（山水大道-永安西路）</v>
      </c>
      <c r="N2" s="3" t="s">
        <v>191</v>
      </c>
      <c r="O2" s="3" t="s">
        <v>15</v>
      </c>
      <c r="P2" s="3">
        <f>D4</f>
        <v>1632</v>
      </c>
      <c r="Q2" t="s">
        <v>193</v>
      </c>
    </row>
    <row r="3" customHeight="1" spans="1:17">
      <c r="A3" s="30" t="s">
        <v>8</v>
      </c>
      <c r="B3" s="31" t="s">
        <v>72</v>
      </c>
      <c r="C3" s="30"/>
      <c r="D3" s="32"/>
      <c r="E3" s="33"/>
      <c r="H3" s="2" t="s">
        <v>194</v>
      </c>
      <c r="I3" s="3" t="s">
        <v>15</v>
      </c>
      <c r="J3" s="2">
        <f>D27</f>
        <v>721</v>
      </c>
      <c r="L3" s="3">
        <v>2</v>
      </c>
      <c r="M3" s="18" t="str">
        <f>B15</f>
        <v>萧公大街（宝丰路（建设路）-永安西路）</v>
      </c>
      <c r="N3" s="3" t="s">
        <v>191</v>
      </c>
      <c r="O3" s="3" t="s">
        <v>15</v>
      </c>
      <c r="P3" s="3">
        <f>D15</f>
        <v>2749</v>
      </c>
      <c r="Q3" t="s">
        <v>193</v>
      </c>
    </row>
    <row r="4" customHeight="1" spans="1:17">
      <c r="A4" s="35">
        <v>1</v>
      </c>
      <c r="B4" s="36" t="s">
        <v>195</v>
      </c>
      <c r="C4" s="37"/>
      <c r="D4" s="38">
        <f>D5+D6+D7</f>
        <v>1632</v>
      </c>
      <c r="E4" s="39"/>
      <c r="F4" s="40"/>
      <c r="H4" s="2" t="s">
        <v>196</v>
      </c>
      <c r="I4" s="3" t="s">
        <v>15</v>
      </c>
      <c r="J4" s="2">
        <f>D28</f>
        <v>1224</v>
      </c>
      <c r="L4" s="3">
        <v>3</v>
      </c>
      <c r="M4" s="18" t="str">
        <f>B26</f>
        <v>怀远大街（西环路-姚福璐）</v>
      </c>
      <c r="N4" s="3" t="s">
        <v>191</v>
      </c>
      <c r="O4" s="3" t="s">
        <v>15</v>
      </c>
      <c r="P4" s="3">
        <f>D26</f>
        <v>4407</v>
      </c>
      <c r="Q4" t="s">
        <v>193</v>
      </c>
    </row>
    <row r="5" customHeight="1" spans="1:17">
      <c r="A5" s="41"/>
      <c r="B5" s="10" t="s">
        <v>98</v>
      </c>
      <c r="C5" s="42" t="s">
        <v>15</v>
      </c>
      <c r="D5" s="38">
        <f>ROUND(F5*(1+F$2),0)</f>
        <v>572</v>
      </c>
      <c r="E5" s="39"/>
      <c r="F5" s="38">
        <v>540</v>
      </c>
      <c r="H5" s="2" t="s">
        <v>197</v>
      </c>
      <c r="I5" s="3" t="s">
        <v>15</v>
      </c>
      <c r="J5" s="2">
        <f>D29+D128</f>
        <v>1738</v>
      </c>
      <c r="L5" s="3">
        <v>4</v>
      </c>
      <c r="M5" s="18" t="str">
        <f>B43</f>
        <v>西环路（南环路-山水大道）</v>
      </c>
      <c r="N5" s="3" t="s">
        <v>191</v>
      </c>
      <c r="O5" s="3" t="s">
        <v>15</v>
      </c>
      <c r="P5" s="3">
        <f>D43</f>
        <v>5966</v>
      </c>
      <c r="Q5" t="s">
        <v>193</v>
      </c>
    </row>
    <row r="6" customHeight="1" spans="1:17">
      <c r="A6" s="41"/>
      <c r="B6" s="10" t="s">
        <v>77</v>
      </c>
      <c r="C6" s="42" t="s">
        <v>15</v>
      </c>
      <c r="D6" s="38">
        <f>ROUND(F6*(1+F$2),0)</f>
        <v>493</v>
      </c>
      <c r="E6" s="39"/>
      <c r="F6" s="38">
        <v>465</v>
      </c>
      <c r="H6" s="2" t="s">
        <v>198</v>
      </c>
      <c r="I6" s="3" t="s">
        <v>15</v>
      </c>
      <c r="J6" s="2">
        <f>D44+D107+D118</f>
        <v>2164</v>
      </c>
      <c r="L6" s="3">
        <v>5</v>
      </c>
      <c r="M6" s="43" t="str">
        <f>B56</f>
        <v>姚福璐（怀远大街-萧公大街）</v>
      </c>
      <c r="N6" s="3" t="s">
        <v>191</v>
      </c>
      <c r="O6" s="3" t="s">
        <v>15</v>
      </c>
      <c r="P6" s="3">
        <f>D56</f>
        <v>1121</v>
      </c>
      <c r="Q6" t="s">
        <v>199</v>
      </c>
    </row>
    <row r="7" customHeight="1" spans="1:17">
      <c r="A7" s="41"/>
      <c r="B7" s="10" t="s">
        <v>79</v>
      </c>
      <c r="C7" s="42" t="s">
        <v>15</v>
      </c>
      <c r="D7" s="38">
        <f>ROUND(F7*(1+F$2),0)</f>
        <v>567</v>
      </c>
      <c r="E7" s="39"/>
      <c r="F7" s="38">
        <v>535</v>
      </c>
      <c r="H7" s="2" t="s">
        <v>200</v>
      </c>
      <c r="I7" s="3" t="s">
        <v>15</v>
      </c>
      <c r="J7" s="2">
        <f>D136+D119+D97+D86+D74+D45+D30+D16+D5</f>
        <v>6429</v>
      </c>
      <c r="L7" s="3">
        <v>6</v>
      </c>
      <c r="M7" s="43" t="str">
        <f>B64</f>
        <v>新渠路（怀远大街-民族大街）</v>
      </c>
      <c r="N7" s="3" t="s">
        <v>191</v>
      </c>
      <c r="O7" s="3" t="s">
        <v>15</v>
      </c>
      <c r="P7" s="3">
        <f>D64</f>
        <v>594</v>
      </c>
      <c r="Q7" t="s">
        <v>199</v>
      </c>
    </row>
    <row r="8" customHeight="1" spans="1:17">
      <c r="A8" s="41"/>
      <c r="B8" s="10" t="s">
        <v>81</v>
      </c>
      <c r="C8" s="42" t="s">
        <v>15</v>
      </c>
      <c r="D8" s="38">
        <f>(D11+D10)/3*54</f>
        <v>630</v>
      </c>
      <c r="E8" s="39"/>
      <c r="F8" s="40"/>
      <c r="H8" s="2" t="s">
        <v>201</v>
      </c>
      <c r="I8" s="3" t="s">
        <v>15</v>
      </c>
      <c r="J8" s="44">
        <f>D137+D108+D98+D87+D75+D65+D46+D31+D17+D6</f>
        <v>8694</v>
      </c>
      <c r="L8" s="3">
        <v>7</v>
      </c>
      <c r="M8" s="18" t="str">
        <f>B72</f>
        <v>鼓楼西街（西环路-西苑街）</v>
      </c>
      <c r="N8" s="3" t="s">
        <v>191</v>
      </c>
      <c r="O8" s="3" t="s">
        <v>15</v>
      </c>
      <c r="P8" s="3">
        <f>D72</f>
        <v>3150</v>
      </c>
      <c r="Q8" t="s">
        <v>193</v>
      </c>
    </row>
    <row r="9" customHeight="1" spans="1:17">
      <c r="A9" s="41"/>
      <c r="B9" s="10" t="s">
        <v>83</v>
      </c>
      <c r="C9" s="42" t="s">
        <v>15</v>
      </c>
      <c r="D9" s="38">
        <f>(D10+D11)*40</f>
        <v>1400</v>
      </c>
      <c r="E9" s="39"/>
      <c r="F9" s="40"/>
      <c r="H9" s="2" t="s">
        <v>202</v>
      </c>
      <c r="I9" s="3" t="s">
        <v>15</v>
      </c>
      <c r="J9" s="44">
        <f>D129</f>
        <v>233</v>
      </c>
      <c r="L9" s="3">
        <v>8</v>
      </c>
      <c r="M9" s="43" t="str">
        <f>B85</f>
        <v>人民西路（怀远大街-翰林大街）</v>
      </c>
      <c r="N9" s="3" t="s">
        <v>191</v>
      </c>
      <c r="O9" s="3" t="s">
        <v>15</v>
      </c>
      <c r="P9" s="3">
        <f>D85</f>
        <v>1991</v>
      </c>
      <c r="Q9" t="s">
        <v>199</v>
      </c>
    </row>
    <row r="10" customHeight="1" spans="1:17">
      <c r="A10" s="41"/>
      <c r="B10" s="10" t="s">
        <v>104</v>
      </c>
      <c r="C10" s="42" t="s">
        <v>86</v>
      </c>
      <c r="D10" s="38">
        <f>ROUND(D5/54,0)</f>
        <v>11</v>
      </c>
      <c r="E10" s="39"/>
      <c r="F10" s="40"/>
      <c r="H10" s="2" t="s">
        <v>203</v>
      </c>
      <c r="I10" s="3" t="s">
        <v>15</v>
      </c>
      <c r="J10" s="44">
        <f>D138+D109+D88+D76+D57+D47+D32+D18+D7</f>
        <v>7741</v>
      </c>
      <c r="L10" s="3">
        <v>9</v>
      </c>
      <c r="M10" s="18" t="str">
        <f>B96</f>
        <v>团结西路（西环路-西苑街）</v>
      </c>
      <c r="N10" s="3" t="s">
        <v>191</v>
      </c>
      <c r="O10" s="3" t="s">
        <v>15</v>
      </c>
      <c r="P10" s="3">
        <f>D96</f>
        <v>2312</v>
      </c>
      <c r="Q10" t="s">
        <v>193</v>
      </c>
    </row>
    <row r="11" customHeight="1" spans="1:17">
      <c r="A11" s="41"/>
      <c r="B11" s="10" t="s">
        <v>88</v>
      </c>
      <c r="C11" s="42" t="s">
        <v>86</v>
      </c>
      <c r="D11" s="38">
        <f>ROUND((D6+D7)/45,0)</f>
        <v>24</v>
      </c>
      <c r="E11" s="39"/>
      <c r="F11" s="40"/>
      <c r="H11" s="2" t="s">
        <v>204</v>
      </c>
      <c r="I11" s="3" t="s">
        <v>15</v>
      </c>
      <c r="J11" s="44">
        <f>D19</f>
        <v>865</v>
      </c>
      <c r="L11" s="3">
        <v>10</v>
      </c>
      <c r="M11" s="18" t="str">
        <f>B106</f>
        <v>玉皇阁大道（西环路-西苑街）</v>
      </c>
      <c r="N11" s="3" t="s">
        <v>191</v>
      </c>
      <c r="O11" s="3" t="s">
        <v>15</v>
      </c>
      <c r="P11" s="3">
        <f>D106</f>
        <v>2829</v>
      </c>
      <c r="Q11" t="s">
        <v>193</v>
      </c>
    </row>
    <row r="12" customHeight="1" spans="1:17">
      <c r="A12" s="41"/>
      <c r="B12" s="10" t="s">
        <v>90</v>
      </c>
      <c r="C12" s="42" t="s">
        <v>86</v>
      </c>
      <c r="D12" s="38">
        <f>(D10+D11)*24</f>
        <v>840</v>
      </c>
      <c r="E12" s="39"/>
      <c r="F12" s="40"/>
      <c r="H12" s="2" t="s">
        <v>205</v>
      </c>
      <c r="I12" s="3" t="s">
        <v>15</v>
      </c>
      <c r="J12" s="44">
        <f>D139+D120+D110+D99+D89+D77+D66+D58+D48+D33+D8</f>
        <v>4570.66666666667</v>
      </c>
      <c r="L12" s="3">
        <v>11</v>
      </c>
      <c r="M12" s="43" t="str">
        <f>B117</f>
        <v>宝丰路（建设路）（西环路-民族大街）</v>
      </c>
      <c r="N12" s="3" t="s">
        <v>191</v>
      </c>
      <c r="O12" s="3" t="s">
        <v>15</v>
      </c>
      <c r="P12" s="3">
        <f>D117</f>
        <v>1209</v>
      </c>
      <c r="Q12" t="s">
        <v>199</v>
      </c>
    </row>
    <row r="13" customHeight="1" spans="1:17">
      <c r="A13" s="41"/>
      <c r="B13" s="10" t="s">
        <v>92</v>
      </c>
      <c r="C13" s="42" t="s">
        <v>86</v>
      </c>
      <c r="D13" s="38">
        <f>ROUND((D5+D6+D7)/30,0)</f>
        <v>54</v>
      </c>
      <c r="E13" s="39"/>
      <c r="F13" s="40"/>
      <c r="H13" s="2" t="s">
        <v>206</v>
      </c>
      <c r="I13" s="3" t="s">
        <v>15</v>
      </c>
      <c r="J13" s="44">
        <f>D140+D130+D121+D111+D100+D90+D78+D67+D59+D49+D34+D20+D9</f>
        <v>12108</v>
      </c>
      <c r="L13" s="3">
        <v>12</v>
      </c>
      <c r="M13" s="18" t="str">
        <f>B127</f>
        <v>翰林大街（山水大道-鼓楼西街）</v>
      </c>
      <c r="N13" s="3" t="s">
        <v>191</v>
      </c>
      <c r="O13" s="3" t="s">
        <v>15</v>
      </c>
      <c r="P13" s="3">
        <f>D127</f>
        <v>1248</v>
      </c>
      <c r="Q13" t="s">
        <v>193</v>
      </c>
    </row>
    <row r="14" customHeight="1" spans="1:17">
      <c r="A14" s="41"/>
      <c r="B14" s="10" t="s">
        <v>94</v>
      </c>
      <c r="C14" s="42" t="s">
        <v>95</v>
      </c>
      <c r="D14" s="38">
        <f>D5*5+(D6+D7+D8)*4+D9*2</f>
        <v>12420</v>
      </c>
      <c r="E14" s="39"/>
      <c r="F14" s="40"/>
      <c r="I14" s="22"/>
      <c r="J14" s="45">
        <f>SUM(J2:J13)</f>
        <v>47956.6666666667</v>
      </c>
      <c r="L14" s="3">
        <v>13</v>
      </c>
      <c r="M14" s="43" t="str">
        <f>B135</f>
        <v>玉龚路（翰林大街-109国道）</v>
      </c>
      <c r="N14" s="3" t="s">
        <v>191</v>
      </c>
      <c r="O14" s="3" t="s">
        <v>15</v>
      </c>
      <c r="P14" s="3">
        <f>D135</f>
        <v>972</v>
      </c>
      <c r="Q14" t="s">
        <v>199</v>
      </c>
    </row>
    <row r="15" customHeight="1" spans="1:16">
      <c r="A15" s="35">
        <v>2</v>
      </c>
      <c r="B15" s="36" t="s">
        <v>207</v>
      </c>
      <c r="C15" s="37"/>
      <c r="D15" s="38">
        <f>D16+D17+D18</f>
        <v>2749</v>
      </c>
      <c r="E15" s="39"/>
      <c r="F15" s="40"/>
      <c r="H15" s="1" t="s">
        <v>208</v>
      </c>
      <c r="I15" s="1" t="s">
        <v>189</v>
      </c>
      <c r="J15" s="1" t="s">
        <v>67</v>
      </c>
      <c r="L15" s="3"/>
      <c r="M15" s="3" t="s">
        <v>42</v>
      </c>
      <c r="N15" s="3"/>
      <c r="O15" s="3"/>
      <c r="P15" s="3">
        <f>SUM(P2:P14)</f>
        <v>30180</v>
      </c>
    </row>
    <row r="16" customHeight="1" spans="1:16">
      <c r="A16" s="41"/>
      <c r="B16" s="10" t="s">
        <v>98</v>
      </c>
      <c r="C16" s="42" t="s">
        <v>15</v>
      </c>
      <c r="D16" s="38">
        <f>ROUND(F16*(1+F$2),0)</f>
        <v>496</v>
      </c>
      <c r="E16" s="39"/>
      <c r="F16" s="38">
        <v>468</v>
      </c>
      <c r="H16" s="22" t="s">
        <v>94</v>
      </c>
      <c r="I16" s="22" t="s">
        <v>95</v>
      </c>
      <c r="J16" s="46">
        <f>D14+D25+D42+D55+D63+D71+D84+D95+D105+D116+D126+D134+D145</f>
        <v>195051.666666667</v>
      </c>
      <c r="L16" s="3" t="s">
        <v>38</v>
      </c>
      <c r="M16" s="1" t="s">
        <v>190</v>
      </c>
      <c r="N16" s="1" t="s">
        <v>209</v>
      </c>
      <c r="O16" s="1" t="s">
        <v>189</v>
      </c>
      <c r="P16" s="1" t="s">
        <v>67</v>
      </c>
    </row>
    <row r="17" customHeight="1" spans="1:16">
      <c r="A17" s="41"/>
      <c r="B17" s="10" t="s">
        <v>77</v>
      </c>
      <c r="C17" s="42" t="s">
        <v>15</v>
      </c>
      <c r="D17" s="38">
        <f>ROUND(F17*(1+F$2),0)</f>
        <v>721</v>
      </c>
      <c r="E17" s="39"/>
      <c r="F17" s="38">
        <v>680</v>
      </c>
      <c r="H17" s="1" t="s">
        <v>210</v>
      </c>
      <c r="I17" s="1" t="s">
        <v>189</v>
      </c>
      <c r="J17" s="1" t="s">
        <v>67</v>
      </c>
      <c r="L17" s="3">
        <v>1</v>
      </c>
      <c r="M17" s="2" t="str">
        <f>H9</f>
        <v>D800 Ⅱ（预留）</v>
      </c>
      <c r="N17" s="5" t="s">
        <v>209</v>
      </c>
      <c r="O17" s="3" t="s">
        <v>15</v>
      </c>
      <c r="P17" s="3">
        <f>J9</f>
        <v>233</v>
      </c>
    </row>
    <row r="18" customHeight="1" spans="1:16">
      <c r="A18" s="41"/>
      <c r="B18" s="10" t="s">
        <v>79</v>
      </c>
      <c r="C18" s="42" t="s">
        <v>15</v>
      </c>
      <c r="D18" s="38">
        <f>ROUND(F18*(1+F$2),0)</f>
        <v>1532</v>
      </c>
      <c r="E18" s="39"/>
      <c r="F18" s="38">
        <v>1445</v>
      </c>
      <c r="H18" s="7" t="s">
        <v>211</v>
      </c>
      <c r="I18" s="3" t="s">
        <v>86</v>
      </c>
      <c r="J18" s="2">
        <f>D79</f>
        <v>27</v>
      </c>
      <c r="L18" s="3">
        <v>2</v>
      </c>
      <c r="M18" s="2" t="str">
        <f>H11</f>
        <v>D600Ⅱ（预留）</v>
      </c>
      <c r="N18" s="5" t="s">
        <v>209</v>
      </c>
      <c r="O18" s="3" t="s">
        <v>15</v>
      </c>
      <c r="P18" s="3">
        <f>J11</f>
        <v>865</v>
      </c>
    </row>
    <row r="19" customHeight="1" spans="1:16">
      <c r="A19" s="41"/>
      <c r="B19" s="10" t="s">
        <v>212</v>
      </c>
      <c r="C19" s="42" t="s">
        <v>15</v>
      </c>
      <c r="D19" s="38">
        <f>ROUND((D22+D21)/3*44,0)</f>
        <v>865</v>
      </c>
      <c r="E19" s="39"/>
      <c r="F19" s="40"/>
      <c r="H19" s="10" t="s">
        <v>213</v>
      </c>
      <c r="I19" s="3" t="s">
        <v>86</v>
      </c>
      <c r="J19" s="2">
        <f>D35</f>
        <v>13</v>
      </c>
      <c r="L19" s="3">
        <v>3</v>
      </c>
      <c r="M19" s="2" t="str">
        <f>H12</f>
        <v>D500Ⅱ（预留）</v>
      </c>
      <c r="N19" s="5" t="s">
        <v>209</v>
      </c>
      <c r="O19" s="3" t="s">
        <v>15</v>
      </c>
      <c r="P19" s="17">
        <f>J12</f>
        <v>4570.66666666667</v>
      </c>
    </row>
    <row r="20" customHeight="1" spans="1:16">
      <c r="A20" s="41"/>
      <c r="B20" s="10" t="s">
        <v>83</v>
      </c>
      <c r="C20" s="42" t="s">
        <v>15</v>
      </c>
      <c r="D20" s="38">
        <f>(D21+D22)*30</f>
        <v>1770</v>
      </c>
      <c r="E20" s="39"/>
      <c r="F20" s="40"/>
      <c r="H20" s="10" t="s">
        <v>214</v>
      </c>
      <c r="I20" s="3" t="s">
        <v>86</v>
      </c>
      <c r="J20" s="2">
        <f>D36</f>
        <v>23</v>
      </c>
      <c r="L20" s="3"/>
      <c r="M20" s="3" t="s">
        <v>42</v>
      </c>
      <c r="N20" s="3"/>
      <c r="O20" s="3"/>
      <c r="P20" s="17">
        <f>SUM(P17:P19)</f>
        <v>5668.66666666667</v>
      </c>
    </row>
    <row r="21" customHeight="1" spans="1:10">
      <c r="A21" s="41"/>
      <c r="B21" s="10" t="s">
        <v>104</v>
      </c>
      <c r="C21" s="42" t="s">
        <v>86</v>
      </c>
      <c r="D21" s="38">
        <f>ROUND(D16/54,0)</f>
        <v>9</v>
      </c>
      <c r="E21" s="39"/>
      <c r="F21" s="40"/>
      <c r="H21" s="10" t="s">
        <v>85</v>
      </c>
      <c r="I21" s="3" t="s">
        <v>86</v>
      </c>
      <c r="J21" s="2">
        <f>D37+D131</f>
        <v>32</v>
      </c>
    </row>
    <row r="22" customHeight="1" spans="1:10">
      <c r="A22" s="41"/>
      <c r="B22" s="10" t="s">
        <v>88</v>
      </c>
      <c r="C22" s="42" t="s">
        <v>86</v>
      </c>
      <c r="D22" s="38">
        <f>ROUND((D17+D18)/45,0)</f>
        <v>50</v>
      </c>
      <c r="E22" s="39"/>
      <c r="F22" s="40"/>
      <c r="H22" s="7" t="s">
        <v>215</v>
      </c>
      <c r="I22" s="3" t="s">
        <v>86</v>
      </c>
      <c r="J22" s="2">
        <f>D50+D112</f>
        <v>29</v>
      </c>
    </row>
    <row r="23" customHeight="1" spans="1:10">
      <c r="A23" s="41"/>
      <c r="B23" s="10" t="s">
        <v>90</v>
      </c>
      <c r="C23" s="42" t="s">
        <v>86</v>
      </c>
      <c r="D23" s="38">
        <f>(D21+D22)*4</f>
        <v>236</v>
      </c>
      <c r="E23" s="39"/>
      <c r="F23" s="40"/>
      <c r="H23" s="7" t="s">
        <v>104</v>
      </c>
      <c r="I23" s="3" t="s">
        <v>86</v>
      </c>
      <c r="J23" s="2">
        <f>D10+D21+D38+D51+D80+D91+D101+D122+D141</f>
        <v>119</v>
      </c>
    </row>
    <row r="24" customHeight="1" spans="1:10">
      <c r="A24" s="41"/>
      <c r="B24" s="10" t="s">
        <v>92</v>
      </c>
      <c r="C24" s="42" t="s">
        <v>86</v>
      </c>
      <c r="D24" s="38">
        <f>ROUND((D16+D17+D18)/30,)</f>
        <v>92</v>
      </c>
      <c r="E24" s="39"/>
      <c r="F24" s="40"/>
      <c r="H24" s="7" t="s">
        <v>88</v>
      </c>
      <c r="I24" s="3" t="s">
        <v>86</v>
      </c>
      <c r="J24" s="2">
        <f>D11+D22+D39+D52+D60+D68+D81+D92+D102+D113+D123+D142</f>
        <v>330</v>
      </c>
    </row>
    <row r="25" customHeight="1" spans="1:10">
      <c r="A25" s="41"/>
      <c r="B25" s="10" t="s">
        <v>94</v>
      </c>
      <c r="C25" s="42" t="s">
        <v>95</v>
      </c>
      <c r="D25" s="38">
        <f>D16*5+(D17+D18+D19)*4+D20*2</f>
        <v>18492</v>
      </c>
      <c r="E25" s="39"/>
      <c r="F25" s="40"/>
      <c r="J25">
        <f>SUM(J18:J24)</f>
        <v>573</v>
      </c>
    </row>
    <row r="26" customHeight="1" spans="1:10">
      <c r="A26" s="35">
        <v>3</v>
      </c>
      <c r="B26" s="36" t="s">
        <v>216</v>
      </c>
      <c r="C26" s="37"/>
      <c r="D26" s="38">
        <f>D27+D28+D29+D30+D31+D32</f>
        <v>4407</v>
      </c>
      <c r="E26" s="39"/>
      <c r="F26" s="40"/>
      <c r="H26" s="1" t="s">
        <v>217</v>
      </c>
      <c r="I26" s="1" t="s">
        <v>189</v>
      </c>
      <c r="J26" s="1" t="s">
        <v>67</v>
      </c>
    </row>
    <row r="27" customHeight="1" spans="1:10">
      <c r="A27" s="41"/>
      <c r="B27" s="10" t="s">
        <v>218</v>
      </c>
      <c r="C27" s="42" t="s">
        <v>15</v>
      </c>
      <c r="D27" s="38">
        <f>ROUND(F27*(1+F$2),0)</f>
        <v>721</v>
      </c>
      <c r="E27" s="39"/>
      <c r="F27" s="38">
        <v>680</v>
      </c>
      <c r="H27" s="2" t="s">
        <v>90</v>
      </c>
      <c r="I27" s="3" t="s">
        <v>86</v>
      </c>
      <c r="J27" s="2">
        <f>D143+D132+D124+D114+D103+D93+D82+D69+D61+D53+D40+D23+D12</f>
        <v>2174</v>
      </c>
    </row>
    <row r="28" customHeight="1" spans="1:10">
      <c r="A28" s="41"/>
      <c r="B28" s="10" t="s">
        <v>219</v>
      </c>
      <c r="C28" s="42" t="s">
        <v>15</v>
      </c>
      <c r="D28" s="38">
        <f>ROUND(F28*(1+F$2),0)</f>
        <v>1224</v>
      </c>
      <c r="E28" s="39"/>
      <c r="F28" s="38">
        <v>1155</v>
      </c>
      <c r="H28" s="2" t="s">
        <v>92</v>
      </c>
      <c r="I28" s="3" t="s">
        <v>86</v>
      </c>
      <c r="J28" s="2">
        <f>D144+D133+D125+D115+D104+D94+D83+D70+D62+D54+D41+D24+D13</f>
        <v>996</v>
      </c>
    </row>
    <row r="29" customHeight="1" spans="1:6">
      <c r="A29" s="41"/>
      <c r="B29" s="10" t="s">
        <v>75</v>
      </c>
      <c r="C29" s="42" t="s">
        <v>15</v>
      </c>
      <c r="D29" s="38">
        <f>ROUND(F29*(1+F$2),0)</f>
        <v>490</v>
      </c>
      <c r="E29" s="39"/>
      <c r="F29" s="38">
        <v>462</v>
      </c>
    </row>
    <row r="30" customHeight="1" spans="1:6">
      <c r="A30" s="41"/>
      <c r="B30" s="10" t="s">
        <v>98</v>
      </c>
      <c r="C30" s="42" t="s">
        <v>15</v>
      </c>
      <c r="D30" s="38">
        <f>ROUND(F30*(1+F$2),0)</f>
        <v>435</v>
      </c>
      <c r="E30" s="39"/>
      <c r="F30" s="38">
        <v>410</v>
      </c>
    </row>
    <row r="31" customHeight="1" spans="1:6">
      <c r="A31" s="41"/>
      <c r="B31" s="10" t="s">
        <v>77</v>
      </c>
      <c r="C31" s="42" t="s">
        <v>15</v>
      </c>
      <c r="D31" s="38">
        <f>ROUND(F31*(1+F$2),0)</f>
        <v>1121</v>
      </c>
      <c r="E31" s="39"/>
      <c r="F31" s="38">
        <f>550+508</f>
        <v>1058</v>
      </c>
    </row>
    <row r="32" customHeight="1" spans="1:6">
      <c r="A32" s="41"/>
      <c r="B32" s="10" t="s">
        <v>79</v>
      </c>
      <c r="C32" s="42" t="s">
        <v>15</v>
      </c>
      <c r="D32" s="38">
        <f>ROUND(F32*(1+F$2),0)</f>
        <v>416</v>
      </c>
      <c r="E32" s="39"/>
      <c r="F32" s="38">
        <v>392</v>
      </c>
    </row>
    <row r="33" customHeight="1" spans="1:6">
      <c r="A33" s="41"/>
      <c r="B33" s="10" t="s">
        <v>81</v>
      </c>
      <c r="C33" s="42" t="s">
        <v>15</v>
      </c>
      <c r="D33" s="38">
        <f>(D39+D36+D37+D38+D35)/3*20</f>
        <v>540</v>
      </c>
      <c r="E33" s="39"/>
      <c r="F33" s="40"/>
    </row>
    <row r="34" customHeight="1" spans="1:6">
      <c r="A34" s="41"/>
      <c r="B34" s="10" t="s">
        <v>83</v>
      </c>
      <c r="C34" s="42" t="s">
        <v>15</v>
      </c>
      <c r="D34" s="38">
        <f>(D35+D39)*15</f>
        <v>615</v>
      </c>
      <c r="E34" s="39"/>
      <c r="F34" s="40"/>
    </row>
    <row r="35" customHeight="1" spans="1:6">
      <c r="A35" s="41"/>
      <c r="B35" s="10" t="s">
        <v>213</v>
      </c>
      <c r="C35" s="42" t="s">
        <v>86</v>
      </c>
      <c r="D35" s="38">
        <f>ROUND(D27/54,0)</f>
        <v>13</v>
      </c>
      <c r="E35" s="39"/>
      <c r="F35" s="40"/>
    </row>
    <row r="36" customHeight="1" spans="1:6">
      <c r="A36" s="41"/>
      <c r="B36" s="10" t="s">
        <v>214</v>
      </c>
      <c r="C36" s="42" t="s">
        <v>86</v>
      </c>
      <c r="D36" s="38">
        <f>ROUND(D28/54,0)</f>
        <v>23</v>
      </c>
      <c r="E36" s="39"/>
      <c r="F36" s="40"/>
    </row>
    <row r="37" customHeight="1" spans="1:6">
      <c r="A37" s="41"/>
      <c r="B37" s="10" t="s">
        <v>85</v>
      </c>
      <c r="C37" s="42" t="s">
        <v>86</v>
      </c>
      <c r="D37" s="38">
        <f>ROUND(D29/54,0)</f>
        <v>9</v>
      </c>
      <c r="E37" s="39"/>
      <c r="F37" s="40"/>
    </row>
    <row r="38" customHeight="1" spans="1:6">
      <c r="A38" s="41"/>
      <c r="B38" s="10" t="s">
        <v>104</v>
      </c>
      <c r="C38" s="42" t="s">
        <v>86</v>
      </c>
      <c r="D38" s="38">
        <f>ROUND(D30/54,0)</f>
        <v>8</v>
      </c>
      <c r="E38" s="39"/>
      <c r="F38" s="40"/>
    </row>
    <row r="39" customHeight="1" spans="1:6">
      <c r="A39" s="41"/>
      <c r="B39" s="10" t="s">
        <v>88</v>
      </c>
      <c r="C39" s="42" t="s">
        <v>86</v>
      </c>
      <c r="D39" s="38">
        <f>ROUND((D31+D32)/54,0)</f>
        <v>28</v>
      </c>
      <c r="E39" s="39"/>
      <c r="F39" s="40"/>
    </row>
    <row r="40" customHeight="1" spans="1:6">
      <c r="A40" s="41"/>
      <c r="B40" s="10" t="s">
        <v>90</v>
      </c>
      <c r="C40" s="42" t="s">
        <v>86</v>
      </c>
      <c r="D40" s="38">
        <f>(D35+D36+D37+D38+D39)*2</f>
        <v>162</v>
      </c>
      <c r="E40" s="39"/>
      <c r="F40" s="40"/>
    </row>
    <row r="41" customHeight="1" spans="1:6">
      <c r="A41" s="41"/>
      <c r="B41" s="10" t="s">
        <v>92</v>
      </c>
      <c r="C41" s="42" t="s">
        <v>86</v>
      </c>
      <c r="D41" s="38">
        <f>ROUND((D27+D28+D29+D30+D31+D32)/30,0)</f>
        <v>147</v>
      </c>
      <c r="E41" s="39"/>
      <c r="F41" s="40"/>
    </row>
    <row r="42" customHeight="1" spans="1:6">
      <c r="A42" s="41"/>
      <c r="B42" s="10" t="s">
        <v>94</v>
      </c>
      <c r="C42" s="42" t="s">
        <v>95</v>
      </c>
      <c r="D42" s="38">
        <f>(D27+D28)*8+D29*6+(D30+D31)*5+(D32+D33)*4+D34*2</f>
        <v>31334</v>
      </c>
      <c r="E42" s="39"/>
      <c r="F42" s="40"/>
    </row>
    <row r="43" customHeight="1" spans="1:6">
      <c r="A43" s="35">
        <v>4</v>
      </c>
      <c r="B43" s="36" t="s">
        <v>220</v>
      </c>
      <c r="C43" s="37"/>
      <c r="D43" s="38">
        <f>D44+D45+D46+D47</f>
        <v>5966</v>
      </c>
      <c r="E43" s="39"/>
      <c r="F43" s="40"/>
    </row>
    <row r="44" customHeight="1" spans="1:6">
      <c r="A44" s="41"/>
      <c r="B44" s="10" t="s">
        <v>221</v>
      </c>
      <c r="C44" s="42" t="s">
        <v>15</v>
      </c>
      <c r="D44" s="38">
        <f>ROUND(F44*(1+F$2),0)</f>
        <v>974</v>
      </c>
      <c r="E44" s="39"/>
      <c r="F44" s="38">
        <v>919</v>
      </c>
    </row>
    <row r="45" customHeight="1" spans="1:6">
      <c r="A45" s="41"/>
      <c r="B45" s="10" t="s">
        <v>98</v>
      </c>
      <c r="C45" s="42" t="s">
        <v>15</v>
      </c>
      <c r="D45" s="38">
        <f>ROUND(F45*(1+F$2),0)</f>
        <v>1521</v>
      </c>
      <c r="E45" s="39"/>
      <c r="F45" s="38">
        <f>459+976</f>
        <v>1435</v>
      </c>
    </row>
    <row r="46" customHeight="1" spans="1:6">
      <c r="A46" s="41"/>
      <c r="B46" s="10" t="s">
        <v>77</v>
      </c>
      <c r="C46" s="42" t="s">
        <v>15</v>
      </c>
      <c r="D46" s="38">
        <f>ROUND(F46*(1+F$2),0)</f>
        <v>1401</v>
      </c>
      <c r="E46" s="39"/>
      <c r="F46" s="38">
        <f>289+1033</f>
        <v>1322</v>
      </c>
    </row>
    <row r="47" customHeight="1" spans="1:6">
      <c r="A47" s="41"/>
      <c r="B47" s="10" t="s">
        <v>79</v>
      </c>
      <c r="C47" s="42" t="s">
        <v>15</v>
      </c>
      <c r="D47" s="38">
        <f>ROUND(F47*(1+F$2),0)</f>
        <v>2070</v>
      </c>
      <c r="E47" s="39"/>
      <c r="F47" s="38">
        <f>589+406+639+319</f>
        <v>1953</v>
      </c>
    </row>
    <row r="48" customHeight="1" spans="1:6">
      <c r="A48" s="41"/>
      <c r="B48" s="10" t="s">
        <v>81</v>
      </c>
      <c r="C48" s="42" t="s">
        <v>15</v>
      </c>
      <c r="D48" s="38">
        <f>(D52+D51+D50)/3*20</f>
        <v>733.333333333333</v>
      </c>
      <c r="E48" s="39"/>
      <c r="F48" s="40"/>
    </row>
    <row r="49" customHeight="1" spans="1:6">
      <c r="A49" s="41"/>
      <c r="B49" s="10" t="s">
        <v>83</v>
      </c>
      <c r="C49" s="42" t="s">
        <v>15</v>
      </c>
      <c r="D49" s="38">
        <f>(D50+D51+D52)*16</f>
        <v>1760</v>
      </c>
      <c r="E49" s="39"/>
      <c r="F49" s="40"/>
    </row>
    <row r="50" customHeight="1" spans="1:6">
      <c r="A50" s="41"/>
      <c r="B50" s="10" t="s">
        <v>215</v>
      </c>
      <c r="C50" s="42" t="s">
        <v>86</v>
      </c>
      <c r="D50" s="38">
        <f>ROUND(D44/54,0)</f>
        <v>18</v>
      </c>
      <c r="E50" s="39"/>
      <c r="F50" s="40"/>
    </row>
    <row r="51" customHeight="1" spans="1:6">
      <c r="A51" s="41"/>
      <c r="B51" s="10" t="s">
        <v>104</v>
      </c>
      <c r="C51" s="42" t="s">
        <v>86</v>
      </c>
      <c r="D51" s="38">
        <f>ROUND(D45/54,0)</f>
        <v>28</v>
      </c>
      <c r="E51" s="39"/>
      <c r="F51" s="40"/>
    </row>
    <row r="52" customHeight="1" spans="1:6">
      <c r="A52" s="41"/>
      <c r="B52" s="10" t="s">
        <v>88</v>
      </c>
      <c r="C52" s="42" t="s">
        <v>86</v>
      </c>
      <c r="D52" s="38">
        <f>ROUND((D46+D47)/54,0)</f>
        <v>64</v>
      </c>
      <c r="E52" s="39"/>
      <c r="F52" s="40"/>
    </row>
    <row r="53" customHeight="1" spans="1:6">
      <c r="A53" s="41"/>
      <c r="B53" s="10" t="s">
        <v>90</v>
      </c>
      <c r="C53" s="42" t="s">
        <v>86</v>
      </c>
      <c r="D53" s="38">
        <f>(D50+D51+D52)*2</f>
        <v>220</v>
      </c>
      <c r="E53" s="39"/>
      <c r="F53" s="40"/>
    </row>
    <row r="54" customHeight="1" spans="1:6">
      <c r="A54" s="41"/>
      <c r="B54" s="10" t="s">
        <v>92</v>
      </c>
      <c r="C54" s="42" t="s">
        <v>86</v>
      </c>
      <c r="D54" s="38">
        <f>ROUND((D44+D45+D46+D47)/30,0)</f>
        <v>199</v>
      </c>
      <c r="E54" s="39"/>
      <c r="F54" s="40"/>
    </row>
    <row r="55" customHeight="1" spans="1:6">
      <c r="A55" s="41"/>
      <c r="B55" s="10" t="s">
        <v>94</v>
      </c>
      <c r="C55" s="42" t="s">
        <v>95</v>
      </c>
      <c r="D55" s="38">
        <f>D44*6+(D45+D46+D47+D48)*4+D49*2</f>
        <v>32265.3333333333</v>
      </c>
      <c r="E55" s="39"/>
      <c r="F55" s="40"/>
    </row>
    <row r="56" customHeight="1" spans="1:6">
      <c r="A56" s="35">
        <v>5</v>
      </c>
      <c r="B56" s="36" t="s">
        <v>222</v>
      </c>
      <c r="C56" s="37"/>
      <c r="D56" s="38">
        <f>D57</f>
        <v>1121</v>
      </c>
      <c r="E56" s="39"/>
      <c r="F56" s="40"/>
    </row>
    <row r="57" customHeight="1" spans="1:6">
      <c r="A57" s="41"/>
      <c r="B57" s="10" t="s">
        <v>79</v>
      </c>
      <c r="C57" s="42" t="s">
        <v>15</v>
      </c>
      <c r="D57" s="38">
        <f>ROUND(F57*(1+F$2),0)</f>
        <v>1121</v>
      </c>
      <c r="E57" s="39"/>
      <c r="F57" s="38">
        <v>1058</v>
      </c>
    </row>
    <row r="58" customHeight="1" spans="1:6">
      <c r="A58" s="41"/>
      <c r="B58" s="10" t="s">
        <v>81</v>
      </c>
      <c r="C58" s="42" t="s">
        <v>15</v>
      </c>
      <c r="D58" s="38">
        <f>(D60)/3*34</f>
        <v>260.666666666667</v>
      </c>
      <c r="E58" s="39"/>
      <c r="F58" s="40"/>
    </row>
    <row r="59" customHeight="1" spans="1:6">
      <c r="A59" s="41"/>
      <c r="B59" s="10" t="s">
        <v>83</v>
      </c>
      <c r="C59" s="42" t="s">
        <v>15</v>
      </c>
      <c r="D59" s="38">
        <f>(D60)*32</f>
        <v>736</v>
      </c>
      <c r="E59" s="39"/>
      <c r="F59" s="40"/>
    </row>
    <row r="60" customHeight="1" spans="1:6">
      <c r="A60" s="41"/>
      <c r="B60" s="10" t="s">
        <v>88</v>
      </c>
      <c r="C60" s="42" t="s">
        <v>86</v>
      </c>
      <c r="D60" s="38">
        <f>ROUND(D57/48,0)</f>
        <v>23</v>
      </c>
      <c r="E60" s="39"/>
      <c r="F60" s="40"/>
    </row>
    <row r="61" customHeight="1" spans="1:6">
      <c r="A61" s="41"/>
      <c r="B61" s="10" t="s">
        <v>90</v>
      </c>
      <c r="C61" s="42" t="s">
        <v>86</v>
      </c>
      <c r="D61" s="38">
        <f>(D60)*2</f>
        <v>46</v>
      </c>
      <c r="E61" s="39"/>
      <c r="F61" s="40"/>
    </row>
    <row r="62" customHeight="1" spans="1:6">
      <c r="A62" s="41"/>
      <c r="B62" s="10" t="s">
        <v>92</v>
      </c>
      <c r="C62" s="42" t="s">
        <v>86</v>
      </c>
      <c r="D62" s="38">
        <f>ROUND((D57)/30,0)</f>
        <v>37</v>
      </c>
      <c r="E62" s="39"/>
      <c r="F62" s="40"/>
    </row>
    <row r="63" customHeight="1" spans="1:6">
      <c r="A63" s="41"/>
      <c r="B63" s="10" t="s">
        <v>94</v>
      </c>
      <c r="C63" s="42" t="s">
        <v>95</v>
      </c>
      <c r="D63" s="38">
        <f>D57*4+D58*4+D59*2</f>
        <v>6998.66666666667</v>
      </c>
      <c r="E63" s="39"/>
      <c r="F63" s="40"/>
    </row>
    <row r="64" customHeight="1" spans="1:6">
      <c r="A64" s="35">
        <v>6</v>
      </c>
      <c r="B64" s="36" t="s">
        <v>223</v>
      </c>
      <c r="C64" s="37"/>
      <c r="D64" s="38">
        <f>D65</f>
        <v>594</v>
      </c>
      <c r="E64" s="39"/>
      <c r="F64" s="40"/>
    </row>
    <row r="65" customHeight="1" spans="1:6">
      <c r="A65" s="41"/>
      <c r="B65" s="10" t="s">
        <v>77</v>
      </c>
      <c r="C65" s="42" t="s">
        <v>15</v>
      </c>
      <c r="D65" s="38">
        <f>ROUND(F65*(1+F$2),0)</f>
        <v>594</v>
      </c>
      <c r="E65" s="39"/>
      <c r="F65" s="38">
        <v>560</v>
      </c>
    </row>
    <row r="66" customHeight="1" spans="1:6">
      <c r="A66" s="41"/>
      <c r="B66" s="10" t="s">
        <v>81</v>
      </c>
      <c r="C66" s="42" t="s">
        <v>15</v>
      </c>
      <c r="D66" s="38">
        <f>(D68)/3*20</f>
        <v>80</v>
      </c>
      <c r="E66" s="39"/>
      <c r="F66" s="40"/>
    </row>
    <row r="67" customHeight="1" spans="1:6">
      <c r="A67" s="41"/>
      <c r="B67" s="10" t="s">
        <v>83</v>
      </c>
      <c r="C67" s="42" t="s">
        <v>15</v>
      </c>
      <c r="D67" s="38">
        <f>(D68)*15</f>
        <v>180</v>
      </c>
      <c r="E67" s="39"/>
      <c r="F67" s="40"/>
    </row>
    <row r="68" customHeight="1" spans="1:6">
      <c r="A68" s="41"/>
      <c r="B68" s="10" t="s">
        <v>88</v>
      </c>
      <c r="C68" s="42" t="s">
        <v>86</v>
      </c>
      <c r="D68" s="38">
        <f>ROUND(D65/48,0)</f>
        <v>12</v>
      </c>
      <c r="E68" s="39"/>
      <c r="F68" s="40"/>
    </row>
    <row r="69" customHeight="1" spans="1:6">
      <c r="A69" s="41"/>
      <c r="B69" s="10" t="s">
        <v>90</v>
      </c>
      <c r="C69" s="42" t="s">
        <v>86</v>
      </c>
      <c r="D69" s="38">
        <f>(D68)*2</f>
        <v>24</v>
      </c>
      <c r="E69" s="39"/>
      <c r="F69" s="40"/>
    </row>
    <row r="70" customHeight="1" spans="1:6">
      <c r="A70" s="41"/>
      <c r="B70" s="10" t="s">
        <v>92</v>
      </c>
      <c r="C70" s="42" t="s">
        <v>86</v>
      </c>
      <c r="D70" s="38">
        <f>ROUND((D65)/30,0)</f>
        <v>20</v>
      </c>
      <c r="E70" s="39"/>
      <c r="F70" s="40"/>
    </row>
    <row r="71" customHeight="1" spans="1:6">
      <c r="A71" s="41"/>
      <c r="B71" s="10" t="s">
        <v>94</v>
      </c>
      <c r="C71" s="42" t="s">
        <v>95</v>
      </c>
      <c r="D71" s="38">
        <f>D65*4+D66*4+D67*2</f>
        <v>3056</v>
      </c>
      <c r="E71" s="39"/>
      <c r="F71" s="40"/>
    </row>
    <row r="72" customHeight="1" spans="1:6">
      <c r="A72" s="35">
        <v>7</v>
      </c>
      <c r="B72" s="36" t="s">
        <v>224</v>
      </c>
      <c r="C72" s="37"/>
      <c r="D72" s="38">
        <f>D73+D74+D75+D76</f>
        <v>3150</v>
      </c>
      <c r="E72" s="39"/>
      <c r="F72" s="40"/>
    </row>
    <row r="73" customHeight="1" spans="1:6">
      <c r="A73" s="41"/>
      <c r="B73" s="10" t="s">
        <v>225</v>
      </c>
      <c r="C73" s="42" t="s">
        <v>15</v>
      </c>
      <c r="D73" s="38">
        <f>ROUND(F73*(1+F$2),0)</f>
        <v>1469</v>
      </c>
      <c r="E73" s="39"/>
      <c r="F73" s="38">
        <f>578+808</f>
        <v>1386</v>
      </c>
    </row>
    <row r="74" customHeight="1" spans="1:6">
      <c r="A74" s="41"/>
      <c r="B74" s="10" t="s">
        <v>98</v>
      </c>
      <c r="C74" s="42" t="s">
        <v>15</v>
      </c>
      <c r="D74" s="38">
        <f>ROUND(F74*(1+F$2),0)</f>
        <v>594</v>
      </c>
      <c r="E74" s="39"/>
      <c r="F74" s="38">
        <v>560</v>
      </c>
    </row>
    <row r="75" customHeight="1" spans="1:6">
      <c r="A75" s="41"/>
      <c r="B75" s="10" t="s">
        <v>77</v>
      </c>
      <c r="C75" s="42" t="s">
        <v>15</v>
      </c>
      <c r="D75" s="38">
        <f>ROUND(F75*(1+F$2),0)</f>
        <v>563</v>
      </c>
      <c r="E75" s="39"/>
      <c r="F75" s="38">
        <v>531</v>
      </c>
    </row>
    <row r="76" customHeight="1" spans="1:6">
      <c r="A76" s="41"/>
      <c r="B76" s="10" t="s">
        <v>79</v>
      </c>
      <c r="C76" s="42" t="s">
        <v>15</v>
      </c>
      <c r="D76" s="38">
        <f>ROUND(F76*(1+F$2),0)</f>
        <v>524</v>
      </c>
      <c r="E76" s="39"/>
      <c r="F76" s="38">
        <v>494</v>
      </c>
    </row>
    <row r="77" customHeight="1" spans="1:6">
      <c r="A77" s="41"/>
      <c r="B77" s="10" t="s">
        <v>81</v>
      </c>
      <c r="C77" s="42" t="s">
        <v>15</v>
      </c>
      <c r="D77" s="38">
        <f>(D81+D80+D79)/3*20</f>
        <v>386.666666666667</v>
      </c>
      <c r="E77" s="39"/>
      <c r="F77" s="40"/>
    </row>
    <row r="78" customHeight="1" spans="1:6">
      <c r="A78" s="41"/>
      <c r="B78" s="10" t="s">
        <v>83</v>
      </c>
      <c r="C78" s="42" t="s">
        <v>15</v>
      </c>
      <c r="D78" s="38">
        <f>(D79+D80+D81)*16</f>
        <v>928</v>
      </c>
      <c r="E78" s="39"/>
      <c r="F78" s="40"/>
    </row>
    <row r="79" customHeight="1" spans="1:6">
      <c r="A79" s="41"/>
      <c r="B79" s="10" t="s">
        <v>211</v>
      </c>
      <c r="C79" s="42" t="s">
        <v>86</v>
      </c>
      <c r="D79" s="38">
        <f>ROUND(D73/54,0)</f>
        <v>27</v>
      </c>
      <c r="E79" s="39"/>
      <c r="F79" s="40"/>
    </row>
    <row r="80" customHeight="1" spans="1:6">
      <c r="A80" s="41"/>
      <c r="B80" s="10" t="s">
        <v>104</v>
      </c>
      <c r="C80" s="42" t="s">
        <v>86</v>
      </c>
      <c r="D80" s="38">
        <f>ROUND(D74/54,0)</f>
        <v>11</v>
      </c>
      <c r="E80" s="39"/>
      <c r="F80" s="40"/>
    </row>
    <row r="81" customHeight="1" spans="1:6">
      <c r="A81" s="41"/>
      <c r="B81" s="10" t="s">
        <v>88</v>
      </c>
      <c r="C81" s="42" t="s">
        <v>86</v>
      </c>
      <c r="D81" s="38">
        <f>ROUND((D75+D76)/54,0)</f>
        <v>20</v>
      </c>
      <c r="E81" s="39"/>
      <c r="F81" s="40"/>
    </row>
    <row r="82" customHeight="1" spans="1:6">
      <c r="A82" s="41"/>
      <c r="B82" s="10" t="s">
        <v>90</v>
      </c>
      <c r="C82" s="42" t="s">
        <v>86</v>
      </c>
      <c r="D82" s="38">
        <f>(D79+D80+D81)*2</f>
        <v>116</v>
      </c>
      <c r="E82" s="39"/>
      <c r="F82" s="40"/>
    </row>
    <row r="83" customHeight="1" spans="1:6">
      <c r="A83" s="41"/>
      <c r="B83" s="10" t="s">
        <v>92</v>
      </c>
      <c r="C83" s="42" t="s">
        <v>86</v>
      </c>
      <c r="D83" s="38">
        <f>ROUND((D73+D74+D75+D76)/30,0)</f>
        <v>105</v>
      </c>
      <c r="E83" s="39"/>
      <c r="F83" s="40"/>
    </row>
    <row r="84" customHeight="1" spans="1:6">
      <c r="A84" s="41"/>
      <c r="B84" s="10" t="s">
        <v>94</v>
      </c>
      <c r="C84" s="42" t="s">
        <v>95</v>
      </c>
      <c r="D84" s="38">
        <f>D73*8+(D74+D75+D76+D77)*4+D78*2</f>
        <v>21878.6666666667</v>
      </c>
      <c r="E84" s="39"/>
      <c r="F84" s="40"/>
    </row>
    <row r="85" customHeight="1" spans="1:6">
      <c r="A85" s="35">
        <v>8</v>
      </c>
      <c r="B85" s="36" t="s">
        <v>226</v>
      </c>
      <c r="C85" s="37"/>
      <c r="D85" s="38">
        <f>D86+D87+D88</f>
        <v>1991</v>
      </c>
      <c r="E85" s="39"/>
      <c r="F85" s="40"/>
    </row>
    <row r="86" customHeight="1" spans="1:6">
      <c r="A86" s="41"/>
      <c r="B86" s="10" t="s">
        <v>98</v>
      </c>
      <c r="C86" s="42" t="s">
        <v>15</v>
      </c>
      <c r="D86" s="38">
        <f>ROUND(F86*(1+F$2),0)</f>
        <v>1174</v>
      </c>
      <c r="E86" s="39"/>
      <c r="F86" s="38">
        <v>1108</v>
      </c>
    </row>
    <row r="87" customHeight="1" spans="1:6">
      <c r="A87" s="41"/>
      <c r="B87" s="10" t="s">
        <v>77</v>
      </c>
      <c r="C87" s="42" t="s">
        <v>15</v>
      </c>
      <c r="D87" s="38">
        <f>ROUND(F87*(1+F$2),0)</f>
        <v>531</v>
      </c>
      <c r="E87" s="39"/>
      <c r="F87" s="38">
        <v>501</v>
      </c>
    </row>
    <row r="88" customHeight="1" spans="1:6">
      <c r="A88" s="41"/>
      <c r="B88" s="10" t="s">
        <v>79</v>
      </c>
      <c r="C88" s="42" t="s">
        <v>15</v>
      </c>
      <c r="D88" s="38">
        <f>ROUND(F88*(1+F$2),0)</f>
        <v>286</v>
      </c>
      <c r="E88" s="39"/>
      <c r="F88" s="38">
        <v>270</v>
      </c>
    </row>
    <row r="89" customHeight="1" spans="1:6">
      <c r="A89" s="41"/>
      <c r="B89" s="10" t="s">
        <v>81</v>
      </c>
      <c r="C89" s="42" t="s">
        <v>15</v>
      </c>
      <c r="D89" s="38">
        <f>(D92+D91)/3*20</f>
        <v>246.666666666667</v>
      </c>
      <c r="E89" s="39"/>
      <c r="F89" s="40"/>
    </row>
    <row r="90" customHeight="1" spans="1:6">
      <c r="A90" s="41"/>
      <c r="B90" s="10" t="s">
        <v>83</v>
      </c>
      <c r="C90" s="42" t="s">
        <v>15</v>
      </c>
      <c r="D90" s="38">
        <f>(D91+D92)*15</f>
        <v>555</v>
      </c>
      <c r="E90" s="39"/>
      <c r="F90" s="40"/>
    </row>
    <row r="91" customHeight="1" spans="1:6">
      <c r="A91" s="41"/>
      <c r="B91" s="10" t="s">
        <v>104</v>
      </c>
      <c r="C91" s="42" t="s">
        <v>86</v>
      </c>
      <c r="D91" s="38">
        <f>ROUND(D86/54,0)</f>
        <v>22</v>
      </c>
      <c r="E91" s="39"/>
      <c r="F91" s="40"/>
    </row>
    <row r="92" customHeight="1" spans="1:6">
      <c r="A92" s="41"/>
      <c r="B92" s="10" t="s">
        <v>88</v>
      </c>
      <c r="C92" s="42" t="s">
        <v>86</v>
      </c>
      <c r="D92" s="38">
        <f>ROUND((D87+D88)/54,0)</f>
        <v>15</v>
      </c>
      <c r="E92" s="39"/>
      <c r="F92" s="40"/>
    </row>
    <row r="93" customHeight="1" spans="1:6">
      <c r="A93" s="41"/>
      <c r="B93" s="10" t="s">
        <v>90</v>
      </c>
      <c r="C93" s="42" t="s">
        <v>86</v>
      </c>
      <c r="D93" s="38">
        <f>(D91+D92)*2</f>
        <v>74</v>
      </c>
      <c r="E93" s="39"/>
      <c r="F93" s="40"/>
    </row>
    <row r="94" customHeight="1" spans="1:6">
      <c r="A94" s="41"/>
      <c r="B94" s="10" t="s">
        <v>92</v>
      </c>
      <c r="C94" s="42" t="s">
        <v>86</v>
      </c>
      <c r="D94" s="38">
        <f>ROUND((D86+D87)/30,0)</f>
        <v>57</v>
      </c>
      <c r="E94" s="39"/>
      <c r="F94" s="40"/>
    </row>
    <row r="95" customHeight="1" spans="1:6">
      <c r="A95" s="41"/>
      <c r="B95" s="10" t="s">
        <v>94</v>
      </c>
      <c r="C95" s="42" t="s">
        <v>95</v>
      </c>
      <c r="D95" s="38">
        <f>D86*5+(D87+D88+D89)*4+D90*2</f>
        <v>11234.6666666667</v>
      </c>
      <c r="E95" s="39"/>
      <c r="F95" s="40"/>
    </row>
    <row r="96" customHeight="1" spans="1:6">
      <c r="A96" s="35">
        <v>9</v>
      </c>
      <c r="B96" s="36" t="s">
        <v>227</v>
      </c>
      <c r="C96" s="37"/>
      <c r="D96" s="38">
        <f>D97+D98</f>
        <v>2312</v>
      </c>
      <c r="E96" s="39"/>
      <c r="F96" s="40"/>
    </row>
    <row r="97" customHeight="1" spans="1:6">
      <c r="A97" s="41"/>
      <c r="B97" s="10" t="s">
        <v>98</v>
      </c>
      <c r="C97" s="42" t="s">
        <v>15</v>
      </c>
      <c r="D97" s="38">
        <f>ROUND(F97*(1+F$2),0)</f>
        <v>595</v>
      </c>
      <c r="E97" s="39"/>
      <c r="F97" s="38">
        <v>561</v>
      </c>
    </row>
    <row r="98" customHeight="1" spans="1:6">
      <c r="A98" s="41"/>
      <c r="B98" s="10" t="s">
        <v>77</v>
      </c>
      <c r="C98" s="42" t="s">
        <v>15</v>
      </c>
      <c r="D98" s="38">
        <f>ROUND(F98*(1+F$2),0)</f>
        <v>1717</v>
      </c>
      <c r="E98" s="39"/>
      <c r="F98" s="38">
        <f>1041+579</f>
        <v>1620</v>
      </c>
    </row>
    <row r="99" customHeight="1" spans="1:6">
      <c r="A99" s="41"/>
      <c r="B99" s="10" t="s">
        <v>81</v>
      </c>
      <c r="C99" s="42" t="s">
        <v>15</v>
      </c>
      <c r="D99" s="38">
        <f>(D101+D102)/3*20</f>
        <v>286.666666666667</v>
      </c>
      <c r="E99" s="39"/>
      <c r="F99" s="40"/>
    </row>
    <row r="100" customHeight="1" spans="1:6">
      <c r="A100" s="41"/>
      <c r="B100" s="10" t="s">
        <v>83</v>
      </c>
      <c r="C100" s="42" t="s">
        <v>15</v>
      </c>
      <c r="D100" s="38">
        <f>(D101+D102)*15</f>
        <v>645</v>
      </c>
      <c r="E100" s="39"/>
      <c r="F100" s="40"/>
    </row>
    <row r="101" customHeight="1" spans="1:6">
      <c r="A101" s="41"/>
      <c r="B101" s="10" t="s">
        <v>104</v>
      </c>
      <c r="C101" s="42" t="s">
        <v>86</v>
      </c>
      <c r="D101" s="38">
        <f>ROUND(D97/54,0)</f>
        <v>11</v>
      </c>
      <c r="E101" s="39"/>
      <c r="F101" s="40"/>
    </row>
    <row r="102" customHeight="1" spans="1:6">
      <c r="A102" s="41"/>
      <c r="B102" s="10" t="s">
        <v>88</v>
      </c>
      <c r="C102" s="42" t="s">
        <v>86</v>
      </c>
      <c r="D102" s="38">
        <f>ROUND(D98/54,0)</f>
        <v>32</v>
      </c>
      <c r="E102" s="39"/>
      <c r="F102" s="40"/>
    </row>
    <row r="103" customHeight="1" spans="1:6">
      <c r="A103" s="41"/>
      <c r="B103" s="10" t="s">
        <v>90</v>
      </c>
      <c r="C103" s="42" t="s">
        <v>86</v>
      </c>
      <c r="D103" s="38">
        <f>(D101+D102)*2</f>
        <v>86</v>
      </c>
      <c r="E103" s="39"/>
      <c r="F103" s="40"/>
    </row>
    <row r="104" customHeight="1" spans="1:6">
      <c r="A104" s="41"/>
      <c r="B104" s="10" t="s">
        <v>92</v>
      </c>
      <c r="C104" s="42" t="s">
        <v>86</v>
      </c>
      <c r="D104" s="38">
        <f>ROUND((D97+D98)/30,0)</f>
        <v>77</v>
      </c>
      <c r="E104" s="39"/>
      <c r="F104" s="40"/>
    </row>
    <row r="105" customHeight="1" spans="1:6">
      <c r="A105" s="41"/>
      <c r="B105" s="10" t="s">
        <v>94</v>
      </c>
      <c r="C105" s="42" t="s">
        <v>95</v>
      </c>
      <c r="D105" s="38">
        <f>D97*5+D98*4+D99*4</f>
        <v>10989.6666666667</v>
      </c>
      <c r="E105" s="39"/>
      <c r="F105" s="40"/>
    </row>
    <row r="106" customHeight="1" spans="1:6">
      <c r="A106" s="35">
        <v>10</v>
      </c>
      <c r="B106" s="36" t="s">
        <v>228</v>
      </c>
      <c r="C106" s="37"/>
      <c r="D106" s="38">
        <f>D107+D108+D109</f>
        <v>2829</v>
      </c>
      <c r="E106" s="39"/>
      <c r="F106" s="40"/>
    </row>
    <row r="107" customHeight="1" spans="1:6">
      <c r="A107" s="41"/>
      <c r="B107" s="10" t="s">
        <v>221</v>
      </c>
      <c r="C107" s="42" t="s">
        <v>15</v>
      </c>
      <c r="D107" s="38">
        <f>ROUND(F107*(1+F$2),0)</f>
        <v>595</v>
      </c>
      <c r="E107" s="39"/>
      <c r="F107" s="38">
        <v>561</v>
      </c>
    </row>
    <row r="108" customHeight="1" spans="1:6">
      <c r="A108" s="41"/>
      <c r="B108" s="10" t="s">
        <v>77</v>
      </c>
      <c r="C108" s="42" t="s">
        <v>15</v>
      </c>
      <c r="D108" s="38">
        <f>ROUND(F108*(1+F$2),0)</f>
        <v>1284</v>
      </c>
      <c r="E108" s="39"/>
      <c r="F108" s="38">
        <f>579+632</f>
        <v>1211</v>
      </c>
    </row>
    <row r="109" customHeight="1" spans="1:6">
      <c r="A109" s="41"/>
      <c r="B109" s="10" t="s">
        <v>79</v>
      </c>
      <c r="C109" s="42" t="s">
        <v>15</v>
      </c>
      <c r="D109" s="38">
        <f>ROUND(F109*(1+F$2),0)</f>
        <v>950</v>
      </c>
      <c r="E109" s="39"/>
      <c r="F109" s="38">
        <f>448*2</f>
        <v>896</v>
      </c>
    </row>
    <row r="110" customHeight="1" spans="1:5">
      <c r="A110" s="41"/>
      <c r="B110" s="10" t="s">
        <v>81</v>
      </c>
      <c r="C110" s="42" t="s">
        <v>15</v>
      </c>
      <c r="D110" s="38">
        <f>(D113+D112)/3*54</f>
        <v>936</v>
      </c>
      <c r="E110" s="39"/>
    </row>
    <row r="111" customHeight="1" spans="1:5">
      <c r="A111" s="41"/>
      <c r="B111" s="10" t="s">
        <v>83</v>
      </c>
      <c r="C111" s="42" t="s">
        <v>15</v>
      </c>
      <c r="D111" s="38">
        <f>(D112+D113)*38</f>
        <v>1976</v>
      </c>
      <c r="E111" s="39"/>
    </row>
    <row r="112" customHeight="1" spans="1:5">
      <c r="A112" s="41"/>
      <c r="B112" s="10" t="s">
        <v>215</v>
      </c>
      <c r="C112" s="42" t="s">
        <v>86</v>
      </c>
      <c r="D112" s="38">
        <f>ROUND(D107/54,0)</f>
        <v>11</v>
      </c>
      <c r="E112" s="39"/>
    </row>
    <row r="113" customHeight="1" spans="1:5">
      <c r="A113" s="41"/>
      <c r="B113" s="10" t="s">
        <v>88</v>
      </c>
      <c r="C113" s="42" t="s">
        <v>86</v>
      </c>
      <c r="D113" s="38">
        <f>ROUND((D108+D109)/54,0)</f>
        <v>41</v>
      </c>
      <c r="E113" s="39"/>
    </row>
    <row r="114" customHeight="1" spans="1:5">
      <c r="A114" s="41"/>
      <c r="B114" s="10" t="s">
        <v>90</v>
      </c>
      <c r="C114" s="42" t="s">
        <v>86</v>
      </c>
      <c r="D114" s="38">
        <f>(D112+D113)*4</f>
        <v>208</v>
      </c>
      <c r="E114" s="39"/>
    </row>
    <row r="115" customHeight="1" spans="1:5">
      <c r="A115" s="41"/>
      <c r="B115" s="10" t="s">
        <v>92</v>
      </c>
      <c r="C115" s="42" t="s">
        <v>86</v>
      </c>
      <c r="D115" s="38">
        <f>ROUND((D107+D108+D109)/30,0)</f>
        <v>94</v>
      </c>
      <c r="E115" s="39"/>
    </row>
    <row r="116" customHeight="1" spans="1:5">
      <c r="A116" s="41"/>
      <c r="B116" s="10" t="s">
        <v>94</v>
      </c>
      <c r="C116" s="42" t="s">
        <v>95</v>
      </c>
      <c r="D116" s="38">
        <f>D107*6+(D108+D109+D110)*4+D111*2</f>
        <v>20202</v>
      </c>
      <c r="E116" s="39"/>
    </row>
    <row r="117" customHeight="1" spans="1:6">
      <c r="A117" s="35">
        <v>11</v>
      </c>
      <c r="B117" s="36" t="s">
        <v>229</v>
      </c>
      <c r="C117" s="37"/>
      <c r="D117" s="38">
        <f>D118+D119</f>
        <v>1209</v>
      </c>
      <c r="E117" s="39"/>
      <c r="F117" s="40"/>
    </row>
    <row r="118" customHeight="1" spans="1:6">
      <c r="A118" s="41"/>
      <c r="B118" s="10" t="s">
        <v>221</v>
      </c>
      <c r="C118" s="42" t="s">
        <v>15</v>
      </c>
      <c r="D118" s="38">
        <f>ROUND(F118*(1+F$2),0)</f>
        <v>595</v>
      </c>
      <c r="E118" s="39"/>
      <c r="F118" s="38">
        <v>561</v>
      </c>
    </row>
    <row r="119" customHeight="1" spans="1:6">
      <c r="A119" s="41"/>
      <c r="B119" s="10" t="s">
        <v>98</v>
      </c>
      <c r="C119" s="42" t="s">
        <v>15</v>
      </c>
      <c r="D119" s="38">
        <f>ROUND(F119*(1+F$2),0)</f>
        <v>614</v>
      </c>
      <c r="E119" s="39"/>
      <c r="F119" s="38">
        <v>579</v>
      </c>
    </row>
    <row r="120" customHeight="1" spans="1:5">
      <c r="A120" s="41"/>
      <c r="B120" s="10" t="s">
        <v>81</v>
      </c>
      <c r="C120" s="42" t="s">
        <v>15</v>
      </c>
      <c r="D120" s="38">
        <f>(D122+D123)/3*20</f>
        <v>146.666666666667</v>
      </c>
      <c r="E120" s="39"/>
    </row>
    <row r="121" customHeight="1" spans="1:5">
      <c r="A121" s="41"/>
      <c r="B121" s="10" t="s">
        <v>83</v>
      </c>
      <c r="C121" s="42" t="s">
        <v>15</v>
      </c>
      <c r="D121" s="38">
        <f>(D122+D123)*15</f>
        <v>330</v>
      </c>
      <c r="E121" s="39"/>
    </row>
    <row r="122" customHeight="1" spans="1:5">
      <c r="A122" s="41"/>
      <c r="B122" s="10" t="s">
        <v>104</v>
      </c>
      <c r="C122" s="42" t="s">
        <v>86</v>
      </c>
      <c r="D122" s="38">
        <f>ROUND(D118/54,0)</f>
        <v>11</v>
      </c>
      <c r="E122" s="39"/>
    </row>
    <row r="123" customHeight="1" spans="1:5">
      <c r="A123" s="41"/>
      <c r="B123" s="10" t="s">
        <v>88</v>
      </c>
      <c r="C123" s="42" t="s">
        <v>86</v>
      </c>
      <c r="D123" s="38">
        <f>ROUND(D119/54,0)</f>
        <v>11</v>
      </c>
      <c r="E123" s="39"/>
    </row>
    <row r="124" customHeight="1" spans="1:5">
      <c r="A124" s="41"/>
      <c r="B124" s="10" t="s">
        <v>90</v>
      </c>
      <c r="C124" s="42" t="s">
        <v>86</v>
      </c>
      <c r="D124" s="38">
        <f>(D122+D123)*2</f>
        <v>44</v>
      </c>
      <c r="E124" s="39"/>
    </row>
    <row r="125" customHeight="1" spans="1:5">
      <c r="A125" s="41"/>
      <c r="B125" s="10" t="s">
        <v>92</v>
      </c>
      <c r="C125" s="42" t="s">
        <v>86</v>
      </c>
      <c r="D125" s="38">
        <f>ROUND((D118+D119)/30,0)</f>
        <v>40</v>
      </c>
      <c r="E125" s="39"/>
    </row>
    <row r="126" customHeight="1" spans="1:5">
      <c r="A126" s="41"/>
      <c r="B126" s="10" t="s">
        <v>94</v>
      </c>
      <c r="C126" s="42" t="s">
        <v>95</v>
      </c>
      <c r="D126" s="38">
        <f>D118*6+D119*5+D120*4</f>
        <v>7226.66666666667</v>
      </c>
      <c r="E126" s="39"/>
    </row>
    <row r="127" customHeight="1" spans="1:6">
      <c r="A127" s="35">
        <v>12</v>
      </c>
      <c r="B127" s="36" t="s">
        <v>230</v>
      </c>
      <c r="C127" s="37"/>
      <c r="D127" s="38">
        <f>D128</f>
        <v>1248</v>
      </c>
      <c r="E127" s="39"/>
      <c r="F127" s="40"/>
    </row>
    <row r="128" customHeight="1" spans="1:6">
      <c r="A128" s="41"/>
      <c r="B128" s="10" t="s">
        <v>75</v>
      </c>
      <c r="C128" s="42" t="s">
        <v>15</v>
      </c>
      <c r="D128" s="38">
        <f>ROUND(F128*(1+F$2),0)</f>
        <v>1248</v>
      </c>
      <c r="E128" s="39"/>
      <c r="F128" s="38">
        <v>1177</v>
      </c>
    </row>
    <row r="129" customHeight="1" spans="1:6">
      <c r="A129" s="41"/>
      <c r="B129" s="10" t="s">
        <v>231</v>
      </c>
      <c r="C129" s="42" t="s">
        <v>15</v>
      </c>
      <c r="D129" s="38">
        <f>ROUND(F129*(1+F$2),0)</f>
        <v>233</v>
      </c>
      <c r="E129" s="39"/>
      <c r="F129" s="38">
        <v>220</v>
      </c>
    </row>
    <row r="130" customHeight="1" spans="1:5">
      <c r="A130" s="41"/>
      <c r="B130" s="10" t="s">
        <v>83</v>
      </c>
      <c r="C130" s="42" t="s">
        <v>15</v>
      </c>
      <c r="D130" s="38">
        <f>(D131)*23</f>
        <v>529</v>
      </c>
      <c r="E130" s="39"/>
    </row>
    <row r="131" customHeight="1" spans="1:5">
      <c r="A131" s="41"/>
      <c r="B131" s="10" t="s">
        <v>85</v>
      </c>
      <c r="C131" s="42" t="s">
        <v>86</v>
      </c>
      <c r="D131" s="38">
        <f>ROUND(D128/54,0)</f>
        <v>23</v>
      </c>
      <c r="E131" s="39"/>
    </row>
    <row r="132" customHeight="1" spans="1:5">
      <c r="A132" s="41"/>
      <c r="B132" s="10" t="s">
        <v>90</v>
      </c>
      <c r="C132" s="42" t="s">
        <v>86</v>
      </c>
      <c r="D132" s="38">
        <f>(D131)*2</f>
        <v>46</v>
      </c>
      <c r="E132" s="39"/>
    </row>
    <row r="133" customHeight="1" spans="1:5">
      <c r="A133" s="41"/>
      <c r="B133" s="10" t="s">
        <v>92</v>
      </c>
      <c r="C133" s="42" t="s">
        <v>86</v>
      </c>
      <c r="D133" s="38">
        <f>ROUND((D128)/30,0)</f>
        <v>42</v>
      </c>
      <c r="E133" s="39"/>
    </row>
    <row r="134" customHeight="1" spans="1:5">
      <c r="A134" s="41"/>
      <c r="B134" s="10" t="s">
        <v>94</v>
      </c>
      <c r="C134" s="42" t="s">
        <v>95</v>
      </c>
      <c r="D134" s="38">
        <f>D128*8+D129*4+D130*2</f>
        <v>11974</v>
      </c>
      <c r="E134" s="39"/>
    </row>
    <row r="135" customHeight="1" spans="1:6">
      <c r="A135" s="35">
        <v>13</v>
      </c>
      <c r="B135" s="36" t="s">
        <v>232</v>
      </c>
      <c r="C135" s="37"/>
      <c r="D135" s="38">
        <f>D136+D137+D138</f>
        <v>972</v>
      </c>
      <c r="E135" s="39"/>
      <c r="F135" s="40"/>
    </row>
    <row r="136" customHeight="1" spans="1:6">
      <c r="A136" s="41"/>
      <c r="B136" s="10" t="s">
        <v>98</v>
      </c>
      <c r="C136" s="42" t="s">
        <v>15</v>
      </c>
      <c r="D136" s="38">
        <f>ROUND(F136*(1+F$2),0)</f>
        <v>428</v>
      </c>
      <c r="E136" s="39"/>
      <c r="F136" s="38">
        <v>404</v>
      </c>
    </row>
    <row r="137" customHeight="1" spans="1:6">
      <c r="A137" s="41"/>
      <c r="B137" s="10" t="s">
        <v>77</v>
      </c>
      <c r="C137" s="42" t="s">
        <v>15</v>
      </c>
      <c r="D137" s="38">
        <f>ROUND(F137*(1+F$2),0)</f>
        <v>269</v>
      </c>
      <c r="E137" s="39"/>
      <c r="F137" s="38">
        <v>254</v>
      </c>
    </row>
    <row r="138" customHeight="1" spans="1:9">
      <c r="A138" s="41"/>
      <c r="B138" s="10" t="s">
        <v>79</v>
      </c>
      <c r="C138" s="42" t="s">
        <v>15</v>
      </c>
      <c r="D138" s="38">
        <f>ROUND(F138*(1+F$2),0)</f>
        <v>275</v>
      </c>
      <c r="E138" s="39"/>
      <c r="F138" s="38">
        <v>259</v>
      </c>
      <c r="H138" s="22"/>
      <c r="I138" s="22"/>
    </row>
    <row r="139" customHeight="1" spans="1:10">
      <c r="A139" s="41"/>
      <c r="B139" s="10" t="s">
        <v>81</v>
      </c>
      <c r="C139" s="42" t="s">
        <v>15</v>
      </c>
      <c r="D139" s="38">
        <f>(D142+D141)/3*54</f>
        <v>324</v>
      </c>
      <c r="E139" s="39"/>
      <c r="J139" s="25"/>
    </row>
    <row r="140" customHeight="1" spans="1:5">
      <c r="A140" s="41"/>
      <c r="B140" s="10" t="s">
        <v>83</v>
      </c>
      <c r="C140" s="42" t="s">
        <v>15</v>
      </c>
      <c r="D140" s="38">
        <f>(D141+D142)*38</f>
        <v>684</v>
      </c>
      <c r="E140" s="39"/>
    </row>
    <row r="141" customHeight="1" spans="1:5">
      <c r="A141" s="41"/>
      <c r="B141" s="10" t="s">
        <v>104</v>
      </c>
      <c r="C141" s="42" t="s">
        <v>86</v>
      </c>
      <c r="D141" s="38">
        <f>ROUND(D136/54,0)</f>
        <v>8</v>
      </c>
      <c r="E141" s="39"/>
    </row>
    <row r="142" customHeight="1" spans="1:5">
      <c r="A142" s="47"/>
      <c r="B142" s="10" t="s">
        <v>88</v>
      </c>
      <c r="C142" s="42" t="s">
        <v>86</v>
      </c>
      <c r="D142" s="38">
        <f>ROUND((D137+D138)/54,0)</f>
        <v>10</v>
      </c>
      <c r="E142" s="39"/>
    </row>
    <row r="143" customHeight="1" spans="1:5">
      <c r="A143" s="47"/>
      <c r="B143" s="10" t="s">
        <v>90</v>
      </c>
      <c r="C143" s="42" t="s">
        <v>86</v>
      </c>
      <c r="D143" s="38">
        <f>(D141+D142)*4</f>
        <v>72</v>
      </c>
      <c r="E143" s="39"/>
    </row>
    <row r="144" customHeight="1" spans="1:5">
      <c r="A144" s="41"/>
      <c r="B144" s="10" t="s">
        <v>92</v>
      </c>
      <c r="C144" s="42" t="s">
        <v>86</v>
      </c>
      <c r="D144" s="38">
        <f>ROUND((D136+D137+D138)/30,0)</f>
        <v>32</v>
      </c>
      <c r="E144" s="39"/>
    </row>
    <row r="145" customHeight="1" spans="1:5">
      <c r="A145" s="47"/>
      <c r="B145" s="10" t="s">
        <v>94</v>
      </c>
      <c r="C145" s="42" t="s">
        <v>95</v>
      </c>
      <c r="D145" s="38">
        <f>D136*5+D137*4+(D138+D139)*4+D140*2</f>
        <v>6980</v>
      </c>
      <c r="E145" s="39"/>
    </row>
    <row r="146" customHeight="1" spans="1:5">
      <c r="A146" s="47"/>
      <c r="B146" s="10"/>
      <c r="C146" s="42"/>
      <c r="D146" s="38"/>
      <c r="E146" s="39"/>
    </row>
    <row r="147" customHeight="1" spans="1:5">
      <c r="A147" s="48">
        <v>14</v>
      </c>
      <c r="B147" s="49" t="s">
        <v>233</v>
      </c>
      <c r="C147" s="50"/>
      <c r="D147" s="51">
        <f>D148</f>
        <v>608</v>
      </c>
      <c r="E147" s="52"/>
    </row>
    <row r="148" customHeight="1" spans="1:6">
      <c r="A148" s="53"/>
      <c r="B148" s="54" t="s">
        <v>79</v>
      </c>
      <c r="C148" s="55" t="s">
        <v>15</v>
      </c>
      <c r="D148" s="38">
        <f>ROUND(F148*(1+F$2),0)</f>
        <v>608</v>
      </c>
      <c r="E148" s="52"/>
      <c r="F148" s="51">
        <v>574</v>
      </c>
    </row>
    <row r="149" customHeight="1" spans="1:5">
      <c r="A149" s="53"/>
      <c r="B149" s="54" t="s">
        <v>81</v>
      </c>
      <c r="C149" s="55" t="s">
        <v>15</v>
      </c>
      <c r="D149" s="51">
        <f>(D151)/3*34</f>
        <v>143.555555555556</v>
      </c>
      <c r="E149" s="52"/>
    </row>
    <row r="150" customHeight="1" spans="1:5">
      <c r="A150" s="53"/>
      <c r="B150" s="54" t="s">
        <v>83</v>
      </c>
      <c r="C150" s="55" t="s">
        <v>15</v>
      </c>
      <c r="D150" s="51">
        <f>(D151)*32</f>
        <v>405.333333333333</v>
      </c>
      <c r="E150" s="52"/>
    </row>
    <row r="151" customHeight="1" spans="1:5">
      <c r="A151" s="53"/>
      <c r="B151" s="54" t="s">
        <v>88</v>
      </c>
      <c r="C151" s="55" t="s">
        <v>86</v>
      </c>
      <c r="D151" s="51">
        <f>D148/48</f>
        <v>12.6666666666667</v>
      </c>
      <c r="E151" s="52"/>
    </row>
    <row r="152" customHeight="1" spans="1:5">
      <c r="A152" s="53"/>
      <c r="B152" s="54" t="s">
        <v>90</v>
      </c>
      <c r="C152" s="55" t="s">
        <v>86</v>
      </c>
      <c r="D152" s="51">
        <f>(D151)*2</f>
        <v>25.3333333333333</v>
      </c>
      <c r="E152" s="52"/>
    </row>
    <row r="153" customHeight="1" spans="1:5">
      <c r="A153" s="53"/>
      <c r="B153" s="54" t="s">
        <v>92</v>
      </c>
      <c r="C153" s="55" t="s">
        <v>86</v>
      </c>
      <c r="D153" s="51">
        <f>(D148)/30</f>
        <v>20.2666666666667</v>
      </c>
      <c r="E153" s="52"/>
    </row>
    <row r="154" customHeight="1" spans="1:5">
      <c r="A154" s="53"/>
      <c r="B154" s="54" t="s">
        <v>94</v>
      </c>
      <c r="C154" s="55" t="s">
        <v>95</v>
      </c>
      <c r="D154" s="51">
        <f>D148*4+D149*4+D150*2</f>
        <v>3816.88888888889</v>
      </c>
      <c r="E154" s="52"/>
    </row>
    <row r="155" customHeight="1" spans="1:5">
      <c r="A155" s="48">
        <v>15</v>
      </c>
      <c r="B155" s="49" t="s">
        <v>234</v>
      </c>
      <c r="C155" s="50"/>
      <c r="D155" s="51">
        <f>D156</f>
        <v>1196</v>
      </c>
      <c r="E155" s="39"/>
    </row>
    <row r="156" customHeight="1" spans="1:6">
      <c r="A156" s="53"/>
      <c r="B156" s="54" t="s">
        <v>79</v>
      </c>
      <c r="C156" s="55" t="s">
        <v>15</v>
      </c>
      <c r="D156" s="38">
        <f>ROUND(F156*(1+F$2),0)</f>
        <v>1196</v>
      </c>
      <c r="E156" s="39"/>
      <c r="F156" s="51">
        <v>1128</v>
      </c>
    </row>
    <row r="157" customHeight="1" spans="1:5">
      <c r="A157" s="53"/>
      <c r="B157" s="54" t="s">
        <v>81</v>
      </c>
      <c r="C157" s="55" t="s">
        <v>15</v>
      </c>
      <c r="D157" s="51">
        <f>(D159)/3*34</f>
        <v>282.388888888889</v>
      </c>
      <c r="E157" s="39"/>
    </row>
    <row r="158" customHeight="1" spans="1:5">
      <c r="A158" s="53"/>
      <c r="B158" s="54" t="s">
        <v>83</v>
      </c>
      <c r="C158" s="55" t="s">
        <v>15</v>
      </c>
      <c r="D158" s="51">
        <f>(D159)*32</f>
        <v>797.333333333333</v>
      </c>
      <c r="E158" s="39"/>
    </row>
    <row r="159" customHeight="1" spans="1:5">
      <c r="A159" s="53"/>
      <c r="B159" s="54" t="s">
        <v>88</v>
      </c>
      <c r="C159" s="55" t="s">
        <v>86</v>
      </c>
      <c r="D159" s="51">
        <f>D156/48</f>
        <v>24.9166666666667</v>
      </c>
      <c r="E159" s="39"/>
    </row>
    <row r="160" customHeight="1" spans="1:5">
      <c r="A160" s="53"/>
      <c r="B160" s="54" t="s">
        <v>90</v>
      </c>
      <c r="C160" s="55" t="s">
        <v>86</v>
      </c>
      <c r="D160" s="51">
        <f>(D159)*2</f>
        <v>49.8333333333333</v>
      </c>
      <c r="E160" s="39"/>
    </row>
    <row r="161" customHeight="1" spans="1:5">
      <c r="A161" s="53"/>
      <c r="B161" s="54" t="s">
        <v>92</v>
      </c>
      <c r="C161" s="55" t="s">
        <v>86</v>
      </c>
      <c r="D161" s="51">
        <f>(D156)/30</f>
        <v>39.8666666666667</v>
      </c>
      <c r="E161" s="39"/>
    </row>
    <row r="162" customHeight="1" spans="1:5">
      <c r="A162" s="53"/>
      <c r="B162" s="54" t="s">
        <v>94</v>
      </c>
      <c r="C162" s="55" t="s">
        <v>95</v>
      </c>
      <c r="D162" s="51">
        <f>D156*4+D157*4+D158*2</f>
        <v>7508.22222222222</v>
      </c>
      <c r="E162" s="39"/>
    </row>
    <row r="163" customHeight="1" spans="1:5">
      <c r="A163" s="48">
        <v>16</v>
      </c>
      <c r="B163" s="49" t="s">
        <v>235</v>
      </c>
      <c r="C163" s="50"/>
      <c r="D163" s="51">
        <f>D164+D165</f>
        <v>1812</v>
      </c>
      <c r="E163" s="52"/>
    </row>
    <row r="164" customHeight="1" spans="1:6">
      <c r="A164" s="53"/>
      <c r="B164" s="54" t="s">
        <v>77</v>
      </c>
      <c r="C164" s="55" t="s">
        <v>15</v>
      </c>
      <c r="D164" s="38">
        <f>ROUND(F164*(1+F$2),0)</f>
        <v>551</v>
      </c>
      <c r="E164" s="52"/>
      <c r="F164" s="51">
        <v>520</v>
      </c>
    </row>
    <row r="165" customHeight="1" spans="1:6">
      <c r="A165" s="53"/>
      <c r="B165" s="54" t="s">
        <v>79</v>
      </c>
      <c r="C165" s="55" t="s">
        <v>15</v>
      </c>
      <c r="D165" s="38">
        <f>ROUND(F165*(1+F$2),0)</f>
        <v>1261</v>
      </c>
      <c r="E165" s="52"/>
      <c r="F165" s="51">
        <f>610+580</f>
        <v>1190</v>
      </c>
    </row>
    <row r="166" customHeight="1" spans="1:5">
      <c r="A166" s="53"/>
      <c r="B166" s="54" t="s">
        <v>81</v>
      </c>
      <c r="C166" s="55" t="s">
        <v>15</v>
      </c>
      <c r="D166" s="51">
        <f>(D168)/3*54</f>
        <v>604</v>
      </c>
      <c r="E166" s="52"/>
    </row>
    <row r="167" customHeight="1" spans="1:5">
      <c r="A167" s="53"/>
      <c r="B167" s="54" t="s">
        <v>83</v>
      </c>
      <c r="C167" s="55" t="s">
        <v>15</v>
      </c>
      <c r="D167" s="51">
        <f>(D168)*38</f>
        <v>1275.11111111111</v>
      </c>
      <c r="E167" s="52"/>
    </row>
    <row r="168" customHeight="1" spans="1:5">
      <c r="A168" s="56"/>
      <c r="B168" s="54" t="s">
        <v>88</v>
      </c>
      <c r="C168" s="55" t="s">
        <v>86</v>
      </c>
      <c r="D168" s="51">
        <f>(D164+D165)/54</f>
        <v>33.5555555555556</v>
      </c>
      <c r="E168" s="52"/>
    </row>
    <row r="169" customHeight="1" spans="1:5">
      <c r="A169" s="56"/>
      <c r="B169" s="54" t="s">
        <v>90</v>
      </c>
      <c r="C169" s="55" t="s">
        <v>86</v>
      </c>
      <c r="D169" s="51">
        <f>(D168)*4</f>
        <v>134.222222222222</v>
      </c>
      <c r="E169" s="52"/>
    </row>
    <row r="170" customHeight="1" spans="1:5">
      <c r="A170" s="53"/>
      <c r="B170" s="54" t="s">
        <v>92</v>
      </c>
      <c r="C170" s="55" t="s">
        <v>86</v>
      </c>
      <c r="D170" s="51">
        <f>(D164+D165)/30</f>
        <v>60.4</v>
      </c>
      <c r="E170" s="52"/>
    </row>
    <row r="171" customHeight="1" spans="1:5">
      <c r="A171" s="56"/>
      <c r="B171" s="54" t="s">
        <v>94</v>
      </c>
      <c r="C171" s="55" t="s">
        <v>95</v>
      </c>
      <c r="D171" s="51">
        <f>D164*4+(D165+D166)*4+D167*2</f>
        <v>12214.2222222222</v>
      </c>
      <c r="E171" s="52"/>
    </row>
    <row r="172" customHeight="1" spans="1:5">
      <c r="A172" s="47"/>
      <c r="B172" s="10"/>
      <c r="C172" s="42"/>
      <c r="D172" s="38"/>
      <c r="E172" s="39"/>
    </row>
    <row r="173" customHeight="1" spans="1:5">
      <c r="A173" s="47" t="s">
        <v>18</v>
      </c>
      <c r="B173" s="36" t="s">
        <v>236</v>
      </c>
      <c r="C173" s="37"/>
      <c r="D173" s="38"/>
      <c r="E173" s="39"/>
    </row>
    <row r="174" customHeight="1" spans="1:5">
      <c r="A174" s="47">
        <v>1</v>
      </c>
      <c r="B174" s="36" t="s">
        <v>237</v>
      </c>
      <c r="C174" s="37"/>
      <c r="D174" s="38"/>
      <c r="E174" s="39"/>
    </row>
    <row r="175" customHeight="1" spans="1:5">
      <c r="A175" s="47"/>
      <c r="B175" s="57" t="s">
        <v>238</v>
      </c>
      <c r="C175" s="37" t="s">
        <v>170</v>
      </c>
      <c r="D175" s="38">
        <v>1</v>
      </c>
      <c r="E175" s="39"/>
    </row>
    <row r="176" customHeight="1" spans="1:5">
      <c r="A176" s="47">
        <v>2</v>
      </c>
      <c r="B176" s="36" t="s">
        <v>239</v>
      </c>
      <c r="C176" s="37"/>
      <c r="D176" s="38"/>
      <c r="E176" s="39"/>
    </row>
    <row r="177" customHeight="1" spans="1:5">
      <c r="A177" s="47"/>
      <c r="B177" s="57" t="s">
        <v>240</v>
      </c>
      <c r="C177" s="37" t="s">
        <v>15</v>
      </c>
      <c r="D177" s="38">
        <v>46</v>
      </c>
      <c r="E177" s="58"/>
    </row>
    <row r="178" customHeight="1" spans="1:5">
      <c r="A178" s="47"/>
      <c r="B178" s="57" t="s">
        <v>241</v>
      </c>
      <c r="C178" s="37" t="s">
        <v>15</v>
      </c>
      <c r="D178" s="38">
        <v>70</v>
      </c>
      <c r="E178" s="58"/>
    </row>
    <row r="179" customHeight="1" spans="1:8">
      <c r="A179" s="47"/>
      <c r="B179" s="57" t="s">
        <v>242</v>
      </c>
      <c r="C179" s="37" t="s">
        <v>95</v>
      </c>
      <c r="D179" s="38">
        <v>600</v>
      </c>
      <c r="E179" s="58"/>
      <c r="G179" t="s">
        <v>243</v>
      </c>
      <c r="H179" t="s">
        <v>244</v>
      </c>
    </row>
    <row r="180" customHeight="1" spans="1:5">
      <c r="A180" s="47"/>
      <c r="B180" s="57" t="s">
        <v>245</v>
      </c>
      <c r="C180" s="37" t="s">
        <v>95</v>
      </c>
      <c r="D180" s="38">
        <v>600</v>
      </c>
      <c r="E180" s="58"/>
    </row>
    <row r="181" customHeight="1" spans="1:5">
      <c r="A181" s="47"/>
      <c r="B181" s="57" t="s">
        <v>246</v>
      </c>
      <c r="C181" s="37" t="s">
        <v>15</v>
      </c>
      <c r="D181" s="38">
        <v>1000</v>
      </c>
      <c r="E181" s="58"/>
    </row>
    <row r="182" customHeight="1" spans="1:5">
      <c r="A182" s="47"/>
      <c r="B182" s="57" t="s">
        <v>247</v>
      </c>
      <c r="C182" s="37" t="s">
        <v>95</v>
      </c>
      <c r="D182" s="38">
        <v>4</v>
      </c>
      <c r="E182" s="58"/>
    </row>
    <row r="183" ht="30" customHeight="1" spans="1:5">
      <c r="A183" s="47"/>
      <c r="B183" s="57" t="s">
        <v>248</v>
      </c>
      <c r="C183" s="37" t="s">
        <v>15</v>
      </c>
      <c r="D183" s="38">
        <v>50</v>
      </c>
      <c r="E183" s="58"/>
    </row>
    <row r="184" customHeight="1" spans="1:5">
      <c r="A184" s="47"/>
      <c r="B184" s="57" t="s">
        <v>249</v>
      </c>
      <c r="C184" s="37" t="s">
        <v>250</v>
      </c>
      <c r="D184" s="38">
        <v>1</v>
      </c>
      <c r="E184" s="58"/>
    </row>
    <row r="185" customHeight="1" spans="1:5">
      <c r="A185" s="47"/>
      <c r="B185" s="57" t="s">
        <v>251</v>
      </c>
      <c r="C185" s="37" t="s">
        <v>250</v>
      </c>
      <c r="D185" s="38">
        <v>1</v>
      </c>
      <c r="E185" s="58"/>
    </row>
    <row r="186" customHeight="1" spans="1:5">
      <c r="A186" s="47"/>
      <c r="B186" s="57" t="s">
        <v>252</v>
      </c>
      <c r="C186" s="37" t="s">
        <v>1</v>
      </c>
      <c r="D186" s="38">
        <v>1</v>
      </c>
      <c r="E186" s="58"/>
    </row>
    <row r="187" customHeight="1" spans="1:5">
      <c r="A187" s="47"/>
      <c r="B187" s="57" t="s">
        <v>253</v>
      </c>
      <c r="C187" s="37" t="s">
        <v>199</v>
      </c>
      <c r="D187" s="38">
        <v>2</v>
      </c>
      <c r="E187" s="58"/>
    </row>
    <row r="188" customHeight="1" spans="1:5">
      <c r="A188" s="47"/>
      <c r="B188" s="57" t="s">
        <v>254</v>
      </c>
      <c r="C188" s="37" t="s">
        <v>255</v>
      </c>
      <c r="D188" s="38">
        <v>300</v>
      </c>
      <c r="E188" s="58"/>
    </row>
    <row r="189" customHeight="1" spans="1:5">
      <c r="A189" s="47"/>
      <c r="B189" s="57" t="s">
        <v>256</v>
      </c>
      <c r="C189" s="37" t="s">
        <v>170</v>
      </c>
      <c r="D189" s="38">
        <v>1</v>
      </c>
      <c r="E189" s="58"/>
    </row>
    <row r="190" customHeight="1" spans="1:5">
      <c r="A190" s="47">
        <v>3</v>
      </c>
      <c r="B190" s="36" t="s">
        <v>257</v>
      </c>
      <c r="C190" s="37"/>
      <c r="D190" s="38"/>
      <c r="E190" s="39"/>
    </row>
    <row r="191" customHeight="1" spans="1:5">
      <c r="A191" s="47"/>
      <c r="B191" s="57" t="s">
        <v>258</v>
      </c>
      <c r="C191" s="37" t="s">
        <v>170</v>
      </c>
      <c r="D191" s="38">
        <v>2</v>
      </c>
      <c r="E191" s="58"/>
    </row>
    <row r="192" customHeight="1" spans="1:5">
      <c r="A192" s="47"/>
      <c r="B192" s="57" t="s">
        <v>259</v>
      </c>
      <c r="C192" s="37" t="s">
        <v>170</v>
      </c>
      <c r="D192" s="38">
        <v>3</v>
      </c>
      <c r="E192" s="58"/>
    </row>
    <row r="193" customHeight="1" spans="1:5">
      <c r="A193" s="47"/>
      <c r="B193" s="57" t="s">
        <v>260</v>
      </c>
      <c r="C193" s="37" t="s">
        <v>15</v>
      </c>
      <c r="D193" s="38">
        <v>400</v>
      </c>
      <c r="E193" s="58"/>
    </row>
    <row r="194" customHeight="1" spans="1:5">
      <c r="A194" s="47"/>
      <c r="B194" s="57" t="s">
        <v>261</v>
      </c>
      <c r="C194" s="37" t="s">
        <v>262</v>
      </c>
      <c r="D194" s="38">
        <v>1</v>
      </c>
      <c r="E194" s="58"/>
    </row>
    <row r="195" customHeight="1" spans="1:5">
      <c r="A195" s="47"/>
      <c r="B195" s="57" t="s">
        <v>263</v>
      </c>
      <c r="C195" s="37" t="s">
        <v>95</v>
      </c>
      <c r="D195" s="38">
        <v>600</v>
      </c>
      <c r="E195" s="58"/>
    </row>
    <row r="196" customHeight="1" spans="1:5">
      <c r="A196" s="47"/>
      <c r="B196" s="57" t="s">
        <v>264</v>
      </c>
      <c r="C196" s="37" t="s">
        <v>1</v>
      </c>
      <c r="D196" s="38">
        <v>1</v>
      </c>
      <c r="E196" s="58"/>
    </row>
    <row r="197" customHeight="1" spans="1:5">
      <c r="A197" s="47"/>
      <c r="B197" s="57" t="s">
        <v>265</v>
      </c>
      <c r="C197" s="37" t="s">
        <v>266</v>
      </c>
      <c r="D197" s="38">
        <v>2</v>
      </c>
      <c r="E197" s="58"/>
    </row>
    <row r="198" customHeight="1" spans="1:5">
      <c r="A198" s="47"/>
      <c r="B198" s="57" t="s">
        <v>248</v>
      </c>
      <c r="C198" s="37" t="s">
        <v>15</v>
      </c>
      <c r="D198" s="38">
        <v>50</v>
      </c>
      <c r="E198" s="58"/>
    </row>
    <row r="199" ht="28" customHeight="1" spans="1:5">
      <c r="A199" s="47"/>
      <c r="B199" s="57" t="s">
        <v>252</v>
      </c>
      <c r="C199" s="37" t="s">
        <v>1</v>
      </c>
      <c r="D199" s="38">
        <v>1</v>
      </c>
      <c r="E199" s="58"/>
    </row>
    <row r="200" customHeight="1" spans="1:5">
      <c r="A200" s="47"/>
      <c r="B200" s="57" t="s">
        <v>267</v>
      </c>
      <c r="C200" s="37" t="s">
        <v>266</v>
      </c>
      <c r="D200" s="38">
        <v>2</v>
      </c>
      <c r="E200" s="58"/>
    </row>
    <row r="201" customHeight="1" spans="1:5">
      <c r="A201" s="47"/>
      <c r="B201" s="57" t="s">
        <v>247</v>
      </c>
      <c r="C201" s="37" t="s">
        <v>95</v>
      </c>
      <c r="D201" s="38">
        <v>4</v>
      </c>
      <c r="E201" s="58"/>
    </row>
    <row r="202" customHeight="1" spans="1:5">
      <c r="A202" s="47"/>
      <c r="B202" s="57" t="s">
        <v>268</v>
      </c>
      <c r="C202" s="37" t="s">
        <v>86</v>
      </c>
      <c r="D202" s="38">
        <v>10</v>
      </c>
      <c r="E202" s="58"/>
    </row>
    <row r="203" customHeight="1" spans="1:5">
      <c r="A203" s="47" t="s">
        <v>30</v>
      </c>
      <c r="B203" s="36" t="s">
        <v>109</v>
      </c>
      <c r="C203" s="37"/>
      <c r="D203" s="38"/>
      <c r="E203" s="39"/>
    </row>
    <row r="204" customHeight="1" spans="1:5">
      <c r="A204" s="47"/>
      <c r="B204" s="57" t="s">
        <v>111</v>
      </c>
      <c r="C204" s="37" t="s">
        <v>15</v>
      </c>
      <c r="D204" s="38">
        <v>840</v>
      </c>
      <c r="E204" s="58"/>
    </row>
    <row r="205" customHeight="1" spans="1:5">
      <c r="A205" s="47"/>
      <c r="B205" s="57" t="s">
        <v>113</v>
      </c>
      <c r="C205" s="37" t="s">
        <v>266</v>
      </c>
      <c r="D205" s="38">
        <v>3</v>
      </c>
      <c r="E205" s="58"/>
    </row>
    <row r="206" customHeight="1" spans="1:5">
      <c r="A206" s="47"/>
      <c r="B206" s="57" t="s">
        <v>115</v>
      </c>
      <c r="C206" s="37" t="s">
        <v>15</v>
      </c>
      <c r="D206" s="38">
        <v>100</v>
      </c>
      <c r="E206" s="58"/>
    </row>
    <row r="207" customHeight="1" spans="1:5">
      <c r="A207" s="47"/>
      <c r="B207" s="36"/>
      <c r="C207" s="37"/>
      <c r="D207" s="38"/>
      <c r="E207" s="39"/>
    </row>
    <row r="208" customHeight="1" spans="1:5">
      <c r="A208" s="47" t="s">
        <v>32</v>
      </c>
      <c r="B208" s="36" t="s">
        <v>269</v>
      </c>
      <c r="C208" s="37" t="s">
        <v>86</v>
      </c>
      <c r="D208" s="38">
        <v>1</v>
      </c>
      <c r="E208" s="39" t="s">
        <v>270</v>
      </c>
    </row>
    <row r="209" customHeight="1" spans="1:5">
      <c r="A209" s="47"/>
      <c r="B209" s="57" t="s">
        <v>117</v>
      </c>
      <c r="C209" s="37" t="s">
        <v>271</v>
      </c>
      <c r="D209" s="38">
        <v>150000</v>
      </c>
      <c r="E209" s="58"/>
    </row>
    <row r="210" customHeight="1" spans="1:5">
      <c r="A210" s="47"/>
      <c r="B210" s="57" t="s">
        <v>118</v>
      </c>
      <c r="C210" s="37" t="s">
        <v>271</v>
      </c>
      <c r="D210" s="38">
        <v>30000</v>
      </c>
      <c r="E210" s="58"/>
    </row>
    <row r="211" customHeight="1" spans="1:5">
      <c r="A211" s="47"/>
      <c r="B211" s="57" t="s">
        <v>119</v>
      </c>
      <c r="C211" s="37" t="s">
        <v>271</v>
      </c>
      <c r="D211" s="38">
        <v>8000</v>
      </c>
      <c r="E211" s="58"/>
    </row>
    <row r="212" customHeight="1" spans="1:5">
      <c r="A212" s="47"/>
      <c r="B212" s="57" t="s">
        <v>121</v>
      </c>
      <c r="C212" s="37" t="s">
        <v>95</v>
      </c>
      <c r="D212" s="38">
        <v>32000</v>
      </c>
      <c r="E212" s="58"/>
    </row>
    <row r="213" customHeight="1" spans="1:5">
      <c r="A213" s="47"/>
      <c r="B213" s="57" t="s">
        <v>123</v>
      </c>
      <c r="C213" s="37" t="s">
        <v>271</v>
      </c>
      <c r="D213" s="38">
        <v>32000</v>
      </c>
      <c r="E213" s="58"/>
    </row>
    <row r="214" customHeight="1" spans="1:5">
      <c r="A214" s="47"/>
      <c r="B214" s="57" t="s">
        <v>125</v>
      </c>
      <c r="C214" s="37" t="s">
        <v>271</v>
      </c>
      <c r="D214" s="38">
        <v>6500</v>
      </c>
      <c r="E214" s="58"/>
    </row>
    <row r="215" customHeight="1" spans="1:5">
      <c r="A215" s="47"/>
      <c r="B215" s="57" t="s">
        <v>127</v>
      </c>
      <c r="C215" s="37" t="s">
        <v>95</v>
      </c>
      <c r="D215" s="38">
        <v>1000</v>
      </c>
      <c r="E215" s="58"/>
    </row>
    <row r="216" customHeight="1" spans="1:5">
      <c r="A216" s="47"/>
      <c r="B216" s="57" t="s">
        <v>129</v>
      </c>
      <c r="C216" s="37" t="s">
        <v>15</v>
      </c>
      <c r="D216" s="38">
        <v>700</v>
      </c>
      <c r="E216" s="58"/>
    </row>
    <row r="217" customHeight="1" spans="1:5">
      <c r="A217" s="47"/>
      <c r="B217" s="57" t="s">
        <v>131</v>
      </c>
      <c r="C217" s="37" t="s">
        <v>1</v>
      </c>
      <c r="D217" s="38">
        <v>1</v>
      </c>
      <c r="E217" s="58"/>
    </row>
    <row r="218" customHeight="1" spans="1:5">
      <c r="A218" s="47"/>
      <c r="B218" s="57" t="s">
        <v>133</v>
      </c>
      <c r="C218" s="37" t="s">
        <v>95</v>
      </c>
      <c r="D218" s="38">
        <v>800</v>
      </c>
      <c r="E218" s="58"/>
    </row>
    <row r="219" customHeight="1" spans="1:5">
      <c r="A219" s="47"/>
      <c r="B219" s="57" t="s">
        <v>135</v>
      </c>
      <c r="C219" s="37" t="s">
        <v>15</v>
      </c>
      <c r="D219" s="38">
        <v>500</v>
      </c>
      <c r="E219" s="58"/>
    </row>
    <row r="220" customHeight="1" spans="1:5">
      <c r="A220" s="47"/>
      <c r="B220" s="57" t="s">
        <v>137</v>
      </c>
      <c r="C220" s="37" t="s">
        <v>266</v>
      </c>
      <c r="D220" s="38">
        <v>2</v>
      </c>
      <c r="E220" s="58"/>
    </row>
    <row r="221" customHeight="1" spans="1:5">
      <c r="A221" s="47"/>
      <c r="B221" s="57" t="s">
        <v>139</v>
      </c>
      <c r="C221" s="37" t="s">
        <v>1</v>
      </c>
      <c r="D221" s="38">
        <v>1</v>
      </c>
      <c r="E221" s="58"/>
    </row>
    <row r="222" customHeight="1" spans="1:5">
      <c r="A222" s="47" t="s">
        <v>34</v>
      </c>
      <c r="B222" s="36" t="s">
        <v>140</v>
      </c>
      <c r="C222" s="37"/>
      <c r="D222" s="38"/>
      <c r="E222" s="39"/>
    </row>
    <row r="223" customHeight="1" spans="1:5">
      <c r="A223" s="47"/>
      <c r="B223" s="57" t="s">
        <v>141</v>
      </c>
      <c r="C223" s="37" t="s">
        <v>272</v>
      </c>
      <c r="D223" s="38">
        <v>1</v>
      </c>
      <c r="E223" s="58" t="s">
        <v>273</v>
      </c>
    </row>
    <row r="224" customHeight="1" spans="1:5">
      <c r="A224" s="47"/>
      <c r="B224" s="57" t="s">
        <v>142</v>
      </c>
      <c r="C224" s="37" t="s">
        <v>272</v>
      </c>
      <c r="D224" s="38">
        <v>1</v>
      </c>
      <c r="E224" s="58" t="s">
        <v>274</v>
      </c>
    </row>
  </sheetData>
  <autoFilter ref="A1:E224">
    <extLst/>
  </autoFilter>
  <mergeCells count="1">
    <mergeCell ref="A1:E1"/>
  </mergeCells>
  <pageMargins left="0.75" right="0.75" top="1" bottom="1" header="0.5" footer="0.5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zoomScale="70" zoomScaleNormal="70" workbookViewId="0">
      <selection activeCell="R36" sqref="R36"/>
    </sheetView>
  </sheetViews>
  <sheetFormatPr defaultColWidth="8.89166666666667" defaultRowHeight="13.5"/>
  <cols>
    <col min="1" max="1" width="16.4416666666667" customWidth="1"/>
    <col min="2" max="2" width="17.5583333333333" customWidth="1"/>
    <col min="3" max="3" width="9.66666666666667" customWidth="1"/>
    <col min="4" max="4" width="14.1" customWidth="1"/>
    <col min="5" max="5" width="9.66666666666667" customWidth="1"/>
    <col min="6" max="6" width="10.3333333333333" customWidth="1"/>
    <col min="7" max="7" width="10.9333333333333" customWidth="1"/>
    <col min="8" max="8" width="9.65" customWidth="1"/>
    <col min="9" max="9" width="11.45" customWidth="1"/>
    <col min="10" max="10" width="11.7" customWidth="1"/>
    <col min="11" max="11" width="16.4416666666667" customWidth="1"/>
    <col min="12" max="12" width="10.9333333333333" customWidth="1"/>
    <col min="13" max="13" width="11.8666666666667" customWidth="1"/>
    <col min="14" max="14" width="11.55" customWidth="1"/>
    <col min="15" max="15" width="11.35" customWidth="1"/>
    <col min="16" max="16" width="13.6666666666667" customWidth="1"/>
    <col min="17" max="17" width="18.6666666666667" customWidth="1"/>
  </cols>
  <sheetData>
    <row r="1" ht="49" customHeight="1" spans="1:22">
      <c r="A1" s="13"/>
      <c r="B1" s="13"/>
      <c r="C1" s="13"/>
      <c r="D1" s="13"/>
      <c r="E1" s="13"/>
      <c r="F1" s="13"/>
      <c r="H1" s="14" t="s">
        <v>275</v>
      </c>
      <c r="I1" s="14" t="s">
        <v>276</v>
      </c>
      <c r="J1" s="14" t="s">
        <v>277</v>
      </c>
      <c r="K1" s="5"/>
      <c r="L1" s="5"/>
      <c r="M1" s="14" t="s">
        <v>278</v>
      </c>
      <c r="N1" s="14" t="s">
        <v>279</v>
      </c>
      <c r="O1" s="14" t="s">
        <v>280</v>
      </c>
      <c r="P1" s="5"/>
      <c r="Q1" s="5"/>
      <c r="R1" s="5"/>
      <c r="S1" s="5"/>
      <c r="T1" s="5"/>
      <c r="U1" s="5"/>
      <c r="V1" s="5"/>
    </row>
    <row r="2" ht="72" customHeight="1" spans="1:22">
      <c r="A2" s="14"/>
      <c r="B2" s="15" t="s">
        <v>188</v>
      </c>
      <c r="C2" s="15" t="s">
        <v>189</v>
      </c>
      <c r="D2" s="14" t="s">
        <v>281</v>
      </c>
      <c r="E2" s="14" t="s">
        <v>67</v>
      </c>
      <c r="F2" s="14" t="s">
        <v>282</v>
      </c>
      <c r="H2" s="14" t="s">
        <v>283</v>
      </c>
      <c r="I2" s="14" t="s">
        <v>284</v>
      </c>
      <c r="J2" s="14" t="s">
        <v>285</v>
      </c>
      <c r="K2" s="5"/>
      <c r="L2" s="5"/>
      <c r="M2" s="14" t="s">
        <v>286</v>
      </c>
      <c r="N2" s="14" t="s">
        <v>287</v>
      </c>
      <c r="O2" s="14" t="s">
        <v>288</v>
      </c>
      <c r="P2" s="14" t="s">
        <v>289</v>
      </c>
      <c r="Q2" s="14" t="s">
        <v>290</v>
      </c>
      <c r="R2" s="14" t="s">
        <v>291</v>
      </c>
      <c r="S2" s="14" t="s">
        <v>292</v>
      </c>
      <c r="T2" s="14" t="s">
        <v>293</v>
      </c>
      <c r="U2" s="14" t="s">
        <v>294</v>
      </c>
      <c r="V2" s="14" t="s">
        <v>295</v>
      </c>
    </row>
    <row r="3" spans="1:22">
      <c r="A3" s="5" t="s">
        <v>296</v>
      </c>
      <c r="B3" s="2" t="s">
        <v>192</v>
      </c>
      <c r="C3" s="3" t="s">
        <v>15</v>
      </c>
      <c r="D3" s="16">
        <f t="shared" ref="D3:D9" si="0">D25+F25+G25+H25+I25+J25+K25+L25+M25+N25+O25+P25</f>
        <v>10231.6242</v>
      </c>
      <c r="E3" s="5">
        <f>排水管道工程量1!J2</f>
        <v>1469</v>
      </c>
      <c r="F3" s="17">
        <v>2939.89</v>
      </c>
      <c r="H3" s="3">
        <v>5.5</v>
      </c>
      <c r="I3" s="3">
        <f>ROUND(J3+2*(H3*0.75),0)</f>
        <v>13</v>
      </c>
      <c r="J3" s="3">
        <f>4.01+0.6</f>
        <v>4.61</v>
      </c>
      <c r="K3" s="3" t="s">
        <v>296</v>
      </c>
      <c r="L3" s="3" t="s">
        <v>297</v>
      </c>
      <c r="M3" s="3">
        <f t="shared" ref="M3:M8" si="1">S3</f>
        <v>13</v>
      </c>
      <c r="N3" s="3">
        <f t="shared" ref="N3:N8" si="2">S3</f>
        <v>13</v>
      </c>
      <c r="O3" s="3">
        <f t="shared" ref="O3:O8" si="3">S3*0.95</f>
        <v>12.35</v>
      </c>
      <c r="P3" s="3">
        <f>ROUND(3.14*(2.4/2+0.23)^2*1,2)</f>
        <v>6.42</v>
      </c>
      <c r="Q3" s="3">
        <v>4.367</v>
      </c>
      <c r="R3" s="17">
        <f>(I3+J3)*(H3-0.66)/2*1</f>
        <v>42.6162</v>
      </c>
      <c r="S3" s="3">
        <f>I3*1</f>
        <v>13</v>
      </c>
      <c r="T3" s="3">
        <f t="shared" ref="T3:T8" si="4">O3*0.6</f>
        <v>7.41</v>
      </c>
      <c r="U3" s="3">
        <f t="shared" ref="U3:U8" si="5">R3-P3-Q3-T3</f>
        <v>24.4192</v>
      </c>
      <c r="V3" s="3">
        <f t="shared" ref="V3:V8" si="6">P3+Q3+T3</f>
        <v>18.197</v>
      </c>
    </row>
    <row r="4" spans="1:22">
      <c r="A4" s="5" t="s">
        <v>298</v>
      </c>
      <c r="B4" s="2" t="s">
        <v>194</v>
      </c>
      <c r="C4" s="3" t="s">
        <v>15</v>
      </c>
      <c r="D4" s="16">
        <f t="shared" si="0"/>
        <v>9297.1078</v>
      </c>
      <c r="E4" s="5">
        <f>排水管道工程量1!J3</f>
        <v>721</v>
      </c>
      <c r="F4" s="17">
        <v>2397.35</v>
      </c>
      <c r="H4" s="3">
        <v>5.5</v>
      </c>
      <c r="I4" s="3">
        <f t="shared" ref="I3:I7" si="7">ROUND(J4+2*(H4*0.75),0)</f>
        <v>13</v>
      </c>
      <c r="J4" s="3">
        <f>3.74+0.6</f>
        <v>4.34</v>
      </c>
      <c r="K4" s="3" t="s">
        <v>298</v>
      </c>
      <c r="L4" s="3" t="s">
        <v>299</v>
      </c>
      <c r="M4" s="3">
        <f t="shared" si="1"/>
        <v>13</v>
      </c>
      <c r="N4" s="3">
        <f t="shared" si="2"/>
        <v>13</v>
      </c>
      <c r="O4" s="3">
        <f t="shared" si="3"/>
        <v>12.35</v>
      </c>
      <c r="P4" s="3">
        <f>ROUND(3.14*(2.2/2+0.22)^2*1,2)</f>
        <v>5.47</v>
      </c>
      <c r="Q4" s="3">
        <v>3.845</v>
      </c>
      <c r="R4" s="17">
        <f>(I4+J4)*(H4-0.66)/2*1</f>
        <v>41.9628</v>
      </c>
      <c r="S4" s="3">
        <f>I4*1</f>
        <v>13</v>
      </c>
      <c r="T4" s="3">
        <f t="shared" si="4"/>
        <v>7.41</v>
      </c>
      <c r="U4" s="3">
        <f t="shared" si="5"/>
        <v>25.2378</v>
      </c>
      <c r="V4" s="3">
        <f t="shared" si="6"/>
        <v>16.725</v>
      </c>
    </row>
    <row r="5" spans="1:22">
      <c r="A5" s="5" t="s">
        <v>298</v>
      </c>
      <c r="B5" s="2" t="s">
        <v>196</v>
      </c>
      <c r="C5" s="3" t="s">
        <v>15</v>
      </c>
      <c r="D5" s="16">
        <f t="shared" si="0"/>
        <v>8419.522</v>
      </c>
      <c r="E5" s="5">
        <f>排水管道工程量1!J4</f>
        <v>1224</v>
      </c>
      <c r="F5" s="17">
        <v>2196.46</v>
      </c>
      <c r="H5" s="3">
        <v>5.5</v>
      </c>
      <c r="I5" s="3">
        <f t="shared" si="7"/>
        <v>12</v>
      </c>
      <c r="J5" s="3">
        <f>3.4+0.6</f>
        <v>4</v>
      </c>
      <c r="K5" s="3" t="s">
        <v>298</v>
      </c>
      <c r="L5" s="3" t="s">
        <v>196</v>
      </c>
      <c r="M5" s="3">
        <f t="shared" si="1"/>
        <v>12</v>
      </c>
      <c r="N5" s="3">
        <f t="shared" si="2"/>
        <v>12</v>
      </c>
      <c r="O5" s="3">
        <f t="shared" si="3"/>
        <v>11.4</v>
      </c>
      <c r="P5" s="3">
        <f>ROUND(3.14*(2/2+0.2)^2*1,2)</f>
        <v>4.52</v>
      </c>
      <c r="Q5" s="3">
        <v>3.178</v>
      </c>
      <c r="R5" s="17">
        <f>(I5+J5)*(H5-0.66)/2*1</f>
        <v>38.72</v>
      </c>
      <c r="S5" s="3">
        <f>I5*1</f>
        <v>12</v>
      </c>
      <c r="T5" s="3">
        <f t="shared" si="4"/>
        <v>6.84</v>
      </c>
      <c r="U5" s="3">
        <f t="shared" si="5"/>
        <v>24.182</v>
      </c>
      <c r="V5" s="3">
        <f t="shared" si="6"/>
        <v>14.538</v>
      </c>
    </row>
    <row r="6" spans="1:22">
      <c r="A6" s="5"/>
      <c r="B6" s="18" t="s">
        <v>197</v>
      </c>
      <c r="C6" s="19" t="s">
        <v>15</v>
      </c>
      <c r="D6" s="20"/>
      <c r="E6" s="21">
        <f>排水管道工程量1!J5</f>
        <v>1738</v>
      </c>
      <c r="F6" s="17"/>
      <c r="H6" s="5"/>
      <c r="I6" s="5"/>
      <c r="J6" s="3"/>
      <c r="K6" s="3" t="s">
        <v>300</v>
      </c>
      <c r="L6" s="3" t="s">
        <v>301</v>
      </c>
      <c r="M6" s="3">
        <f t="shared" si="1"/>
        <v>13</v>
      </c>
      <c r="N6" s="3">
        <f t="shared" si="2"/>
        <v>13</v>
      </c>
      <c r="O6" s="3">
        <f t="shared" si="3"/>
        <v>12.35</v>
      </c>
      <c r="P6" s="3">
        <f>ROUND(3.14*(1.8/2+0.18)^2*1,2)</f>
        <v>3.66</v>
      </c>
      <c r="Q6" s="3">
        <v>2.574</v>
      </c>
      <c r="R6" s="17">
        <f>(I7+J7)*(H7-0.66)/2</f>
        <v>43.6492</v>
      </c>
      <c r="S6" s="3">
        <f>I7*1</f>
        <v>13</v>
      </c>
      <c r="T6" s="3">
        <f t="shared" si="4"/>
        <v>7.41</v>
      </c>
      <c r="U6" s="3">
        <f t="shared" si="5"/>
        <v>30.0052</v>
      </c>
      <c r="V6" s="3">
        <f t="shared" si="6"/>
        <v>13.644</v>
      </c>
    </row>
    <row r="7" spans="1:22">
      <c r="A7" s="2" t="s">
        <v>300</v>
      </c>
      <c r="B7" s="2" t="s">
        <v>197</v>
      </c>
      <c r="C7" s="3" t="s">
        <v>15</v>
      </c>
      <c r="D7" s="16">
        <f>D28+F28+G28+H28+I28+J28+K28+L28+M28+N28+O28+P28</f>
        <v>7958.9752</v>
      </c>
      <c r="E7" s="5">
        <v>1177</v>
      </c>
      <c r="F7" s="17">
        <v>1838.94</v>
      </c>
      <c r="H7" s="3">
        <v>5.9</v>
      </c>
      <c r="I7" s="3">
        <f t="shared" si="7"/>
        <v>13</v>
      </c>
      <c r="J7" s="3">
        <f>3.06+0.6</f>
        <v>3.66</v>
      </c>
      <c r="K7" s="3" t="s">
        <v>302</v>
      </c>
      <c r="L7" s="3" t="s">
        <v>301</v>
      </c>
      <c r="M7" s="3">
        <f t="shared" si="1"/>
        <v>8</v>
      </c>
      <c r="N7" s="3">
        <f t="shared" si="2"/>
        <v>8</v>
      </c>
      <c r="O7" s="3">
        <f t="shared" si="3"/>
        <v>7.6</v>
      </c>
      <c r="P7" s="3">
        <f>ROUND(3.14*(1.8/2+0.18)^2*1,2)</f>
        <v>3.66</v>
      </c>
      <c r="Q7" s="3">
        <v>2.57</v>
      </c>
      <c r="R7" s="17">
        <f>(I8+J8)*(H8-0.66)/2*1</f>
        <v>19.4722</v>
      </c>
      <c r="S7" s="3">
        <f>I8*1</f>
        <v>8</v>
      </c>
      <c r="T7" s="3">
        <f t="shared" si="4"/>
        <v>4.56</v>
      </c>
      <c r="U7" s="3">
        <f t="shared" si="5"/>
        <v>8.6822</v>
      </c>
      <c r="V7" s="3">
        <f t="shared" si="6"/>
        <v>10.79</v>
      </c>
    </row>
    <row r="8" spans="1:22">
      <c r="A8" s="5" t="s">
        <v>302</v>
      </c>
      <c r="B8" s="2" t="s">
        <v>197</v>
      </c>
      <c r="C8" s="3" t="s">
        <v>15</v>
      </c>
      <c r="D8" s="16">
        <f>D29+F29+G29+H29+I29+J29+K29+L29+M29+N29+O29+P29</f>
        <v>6449.8872</v>
      </c>
      <c r="E8" s="5">
        <v>462</v>
      </c>
      <c r="F8" s="17"/>
      <c r="H8" s="3">
        <v>4</v>
      </c>
      <c r="I8" s="3">
        <f>ROUND(J8+2*(H8*0.5),0)</f>
        <v>8</v>
      </c>
      <c r="J8" s="3">
        <f>3.06+0.6</f>
        <v>3.66</v>
      </c>
      <c r="K8" s="3"/>
      <c r="L8" s="3" t="s">
        <v>303</v>
      </c>
      <c r="M8" s="3">
        <f t="shared" si="1"/>
        <v>6</v>
      </c>
      <c r="N8" s="3">
        <f t="shared" si="2"/>
        <v>6</v>
      </c>
      <c r="O8" s="3">
        <f t="shared" si="3"/>
        <v>5.7</v>
      </c>
      <c r="P8" s="3">
        <f>ROUND(3.14*(1.2/2+0.12)^2*1,2)</f>
        <v>1.63</v>
      </c>
      <c r="Q8" s="3">
        <v>1.144</v>
      </c>
      <c r="R8" s="17">
        <f>(I13+J13)*(H13-0.66)/2</f>
        <v>12.2688</v>
      </c>
      <c r="S8" s="3">
        <f>I13*1</f>
        <v>6</v>
      </c>
      <c r="T8" s="3">
        <f t="shared" si="4"/>
        <v>3.42</v>
      </c>
      <c r="U8" s="3">
        <f t="shared" si="5"/>
        <v>6.0748</v>
      </c>
      <c r="V8" s="3">
        <f t="shared" si="6"/>
        <v>6.194</v>
      </c>
    </row>
    <row r="9" spans="1:22">
      <c r="A9" s="5"/>
      <c r="B9" s="2" t="s">
        <v>304</v>
      </c>
      <c r="C9" s="3" t="s">
        <v>15</v>
      </c>
      <c r="D9" s="16">
        <v>6050</v>
      </c>
      <c r="E9" s="5"/>
      <c r="F9" s="17">
        <v>1152.61</v>
      </c>
      <c r="H9" s="3"/>
      <c r="I9" s="3"/>
      <c r="J9" s="3"/>
      <c r="K9" s="3"/>
      <c r="L9" s="3"/>
      <c r="M9" s="3"/>
      <c r="N9" s="3"/>
      <c r="O9" s="3"/>
      <c r="P9" s="3"/>
      <c r="Q9" s="3"/>
      <c r="R9" s="17"/>
      <c r="S9" s="3"/>
      <c r="T9" s="3"/>
      <c r="U9" s="3"/>
      <c r="V9" s="3"/>
    </row>
    <row r="10" spans="1:22">
      <c r="A10" s="5"/>
      <c r="B10" s="2" t="s">
        <v>305</v>
      </c>
      <c r="C10" s="3" t="s">
        <v>15</v>
      </c>
      <c r="D10" s="16">
        <v>5350</v>
      </c>
      <c r="E10" s="5"/>
      <c r="F10" s="17">
        <v>1460.18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17"/>
      <c r="S10" s="3"/>
      <c r="T10" s="3"/>
      <c r="U10" s="3"/>
      <c r="V10" s="3"/>
    </row>
    <row r="11" spans="1:22">
      <c r="A11" s="5"/>
      <c r="B11" s="2" t="s">
        <v>306</v>
      </c>
      <c r="C11" s="3" t="s">
        <v>15</v>
      </c>
      <c r="D11" s="16">
        <v>4850</v>
      </c>
      <c r="E11" s="5"/>
      <c r="F11" s="17">
        <v>1361.06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17"/>
      <c r="S11" s="3"/>
      <c r="T11" s="3"/>
      <c r="U11" s="3"/>
      <c r="V11" s="3"/>
    </row>
    <row r="12" spans="1:22">
      <c r="A12" s="5"/>
      <c r="B12" s="2" t="s">
        <v>307</v>
      </c>
      <c r="C12" s="3" t="s">
        <v>15</v>
      </c>
      <c r="D12" s="16">
        <v>4250</v>
      </c>
      <c r="E12" s="5"/>
      <c r="F12" s="17">
        <v>1192.2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17"/>
      <c r="S12" s="3"/>
      <c r="T12" s="3"/>
      <c r="U12" s="3"/>
      <c r="V12" s="3"/>
    </row>
    <row r="13" spans="1:22">
      <c r="A13" s="5"/>
      <c r="B13" s="2" t="s">
        <v>198</v>
      </c>
      <c r="C13" s="3" t="s">
        <v>15</v>
      </c>
      <c r="D13" s="16">
        <f>D30+F30+G30+H30+I30+J30+K30+L30+M30+N30+O30+P30</f>
        <v>3697.9248</v>
      </c>
      <c r="E13" s="5">
        <f>排水管道工程量1!J6</f>
        <v>2164</v>
      </c>
      <c r="F13" s="17">
        <v>982.3</v>
      </c>
      <c r="H13" s="3">
        <v>3.5</v>
      </c>
      <c r="I13" s="3">
        <f t="shared" ref="I13:I20" si="8">ROUND(J13+2*(H13*0.5),0)</f>
        <v>6</v>
      </c>
      <c r="J13" s="3">
        <f>2.04+0.6</f>
        <v>2.64</v>
      </c>
      <c r="K13" s="3"/>
      <c r="L13" s="3" t="s">
        <v>308</v>
      </c>
      <c r="M13" s="3">
        <f>S13</f>
        <v>6</v>
      </c>
      <c r="N13" s="3">
        <f>S13</f>
        <v>6</v>
      </c>
      <c r="O13" s="3">
        <f>S13*0.95</f>
        <v>5.7</v>
      </c>
      <c r="P13" s="3">
        <f>ROUND(3.14*(1/2+0.1)^2*1,2)</f>
        <v>1.13</v>
      </c>
      <c r="Q13" s="3">
        <v>0.961</v>
      </c>
      <c r="R13" s="17">
        <f>(I14+J14)*(H14-0.66)/2</f>
        <v>11.786</v>
      </c>
      <c r="S13" s="3">
        <f>I14*1</f>
        <v>6</v>
      </c>
      <c r="T13" s="3">
        <f>O13*0.6</f>
        <v>3.42</v>
      </c>
      <c r="U13" s="3">
        <f>R13-P13-Q13-T13</f>
        <v>6.275</v>
      </c>
      <c r="V13" s="3">
        <f>P13+Q13+T13</f>
        <v>5.511</v>
      </c>
    </row>
    <row r="14" spans="1:22">
      <c r="A14" s="5"/>
      <c r="B14" s="2" t="s">
        <v>200</v>
      </c>
      <c r="C14" s="3" t="s">
        <v>15</v>
      </c>
      <c r="D14" s="16">
        <f>D31+F31+G31+H31+I31+J31+K31+L31+M31+N31+O31+P31</f>
        <v>2974.575</v>
      </c>
      <c r="E14" s="5">
        <f>排水管道工程量1!J7</f>
        <v>6429</v>
      </c>
      <c r="F14" s="17">
        <v>595.58</v>
      </c>
      <c r="H14" s="3">
        <v>3.5</v>
      </c>
      <c r="I14" s="3">
        <f t="shared" si="8"/>
        <v>6</v>
      </c>
      <c r="J14" s="3">
        <f>1.7+0.6</f>
        <v>2.3</v>
      </c>
      <c r="K14" s="3"/>
      <c r="L14" s="3" t="s">
        <v>309</v>
      </c>
      <c r="M14" s="3">
        <f>S14</f>
        <v>4</v>
      </c>
      <c r="N14" s="3">
        <f>S14</f>
        <v>4</v>
      </c>
      <c r="O14" s="3">
        <f>S14*0.95</f>
        <v>3.8</v>
      </c>
      <c r="P14" s="3">
        <f>ROUND(3.14*(0.8/2+0.08)^2*1,2)</f>
        <v>0.72</v>
      </c>
      <c r="Q14" s="3">
        <v>0.509</v>
      </c>
      <c r="R14" s="17">
        <f>(I15+J15)*(H15-0.66)/2</f>
        <v>5.4832</v>
      </c>
      <c r="S14" s="3">
        <f>I15*1</f>
        <v>4</v>
      </c>
      <c r="T14" s="3">
        <f>O14*0.6</f>
        <v>2.28</v>
      </c>
      <c r="U14" s="3">
        <f>R14-P14-Q14-T14</f>
        <v>1.9742</v>
      </c>
      <c r="V14" s="3">
        <f>P14+Q14+T14</f>
        <v>3.509</v>
      </c>
    </row>
    <row r="15" spans="1:22">
      <c r="A15" s="5"/>
      <c r="B15" s="2" t="s">
        <v>201</v>
      </c>
      <c r="C15" s="3" t="s">
        <v>15</v>
      </c>
      <c r="D15" s="16">
        <f>D32+F32+G32+H32+I32+J32+K32+L32+M32+N32+O32+P32</f>
        <v>1931.1042</v>
      </c>
      <c r="E15" s="5">
        <f>排水管道工程量1!J8</f>
        <v>8694</v>
      </c>
      <c r="F15" s="17">
        <v>366.37</v>
      </c>
      <c r="H15" s="3">
        <v>2.5</v>
      </c>
      <c r="I15" s="3">
        <f t="shared" si="8"/>
        <v>4</v>
      </c>
      <c r="J15" s="3">
        <f>1.36+0.6</f>
        <v>1.96</v>
      </c>
      <c r="K15" s="3"/>
      <c r="L15" s="3" t="s">
        <v>203</v>
      </c>
      <c r="M15" s="3">
        <f>S15</f>
        <v>4</v>
      </c>
      <c r="N15" s="3">
        <f>S15</f>
        <v>4</v>
      </c>
      <c r="O15" s="3">
        <f>S15*0.95</f>
        <v>3.8</v>
      </c>
      <c r="P15" s="3">
        <f>ROUND(3.14*(0.6/2+0.06)^2*1,2)</f>
        <v>0.41</v>
      </c>
      <c r="Q15" s="3">
        <v>0.286</v>
      </c>
      <c r="R15" s="17">
        <f>(I17+J17)*(H17-0.66)/2</f>
        <v>5.1704</v>
      </c>
      <c r="S15" s="3">
        <f>I17*1</f>
        <v>4</v>
      </c>
      <c r="T15" s="3">
        <f>O15*0.6</f>
        <v>2.28</v>
      </c>
      <c r="U15" s="3">
        <f>R15-P15-Q15-T15</f>
        <v>2.1944</v>
      </c>
      <c r="V15" s="3">
        <f>P15+Q15+T15</f>
        <v>2.976</v>
      </c>
    </row>
    <row r="16" spans="1:22">
      <c r="A16" s="5"/>
      <c r="B16" s="2" t="s">
        <v>202</v>
      </c>
      <c r="C16" s="3" t="s">
        <v>15</v>
      </c>
      <c r="D16" s="16"/>
      <c r="E16" s="5">
        <f>排水管道工程量1!J9</f>
        <v>233</v>
      </c>
      <c r="F16" s="17"/>
      <c r="H16" s="3"/>
      <c r="I16" s="3"/>
      <c r="J16" s="3"/>
      <c r="K16" s="3"/>
      <c r="L16" s="3" t="s">
        <v>310</v>
      </c>
      <c r="M16" s="3">
        <f>S16</f>
        <v>4</v>
      </c>
      <c r="N16" s="3">
        <f>S16</f>
        <v>4</v>
      </c>
      <c r="O16" s="3">
        <f>S16*0.95</f>
        <v>3.8</v>
      </c>
      <c r="P16" s="3">
        <f>ROUND(3.14*(0.5/2+0.05)^2*1,2)</f>
        <v>0.28</v>
      </c>
      <c r="Q16" s="3">
        <v>0.25</v>
      </c>
      <c r="R16" s="17">
        <f>(I19+J19)*(H19-0.66)/2</f>
        <v>5.1704</v>
      </c>
      <c r="S16" s="3">
        <f>I19*1</f>
        <v>4</v>
      </c>
      <c r="T16" s="3">
        <f>O16*0.6</f>
        <v>2.28</v>
      </c>
      <c r="U16" s="3">
        <f>R16-P16-Q16-T16</f>
        <v>2.3604</v>
      </c>
      <c r="V16" s="3">
        <f>P16+Q16+T16</f>
        <v>2.81</v>
      </c>
    </row>
    <row r="17" spans="1:22">
      <c r="A17" s="5"/>
      <c r="B17" s="2" t="s">
        <v>203</v>
      </c>
      <c r="C17" s="3" t="s">
        <v>15</v>
      </c>
      <c r="D17" s="16">
        <f>D33+F33+G33+H33+I33+J33+K33+L33+M33+N33+O33+P33</f>
        <v>1581.8544</v>
      </c>
      <c r="E17" s="5">
        <f>排水管道工程量1!J10</f>
        <v>7741</v>
      </c>
      <c r="F17" s="17">
        <v>233.63</v>
      </c>
      <c r="H17" s="3">
        <v>2.5</v>
      </c>
      <c r="I17" s="3">
        <f t="shared" si="8"/>
        <v>4</v>
      </c>
      <c r="J17" s="3">
        <f>1.02+0.6</f>
        <v>1.62</v>
      </c>
      <c r="K17" s="3"/>
      <c r="L17" s="3" t="s">
        <v>206</v>
      </c>
      <c r="M17" s="3">
        <f>S17</f>
        <v>3</v>
      </c>
      <c r="N17" s="3">
        <f>S17</f>
        <v>3</v>
      </c>
      <c r="O17" s="3">
        <f>S17*0.95</f>
        <v>2.85</v>
      </c>
      <c r="P17" s="3">
        <f>ROUND(3.14*(0.3/2+0.03)^2*1,2)</f>
        <v>0.1</v>
      </c>
      <c r="Q17" s="3">
        <v>0.21</v>
      </c>
      <c r="R17" s="17">
        <f>(I20+J20)*(H20-0.66)/2</f>
        <v>1.7472</v>
      </c>
      <c r="S17" s="3">
        <f>I20*1</f>
        <v>3</v>
      </c>
      <c r="T17" s="3">
        <f>O17*0.4</f>
        <v>1.14</v>
      </c>
      <c r="U17" s="3">
        <f>R17-P17-Q17-T17</f>
        <v>0.2972</v>
      </c>
      <c r="V17" s="3">
        <f>P17+Q17+T17</f>
        <v>1.45</v>
      </c>
    </row>
    <row r="18" spans="1:22">
      <c r="A18" s="5"/>
      <c r="B18" s="2" t="s">
        <v>204</v>
      </c>
      <c r="C18" s="3" t="s">
        <v>15</v>
      </c>
      <c r="D18" s="16"/>
      <c r="E18" s="5">
        <f>排水管道工程量1!J11</f>
        <v>865</v>
      </c>
      <c r="F18" s="17"/>
      <c r="H18" s="3">
        <v>2.5</v>
      </c>
      <c r="I18" s="3">
        <f t="shared" si="8"/>
        <v>4</v>
      </c>
      <c r="J18" s="3">
        <f>1.02+0.6</f>
        <v>1.62</v>
      </c>
      <c r="K18" s="3" t="s">
        <v>311</v>
      </c>
      <c r="L18" s="5"/>
      <c r="M18" s="3" t="s">
        <v>11</v>
      </c>
      <c r="N18" s="3" t="s">
        <v>11</v>
      </c>
      <c r="O18" s="3"/>
      <c r="P18" s="3"/>
      <c r="Q18" s="3" t="s">
        <v>312</v>
      </c>
      <c r="R18" s="3" t="s">
        <v>13</v>
      </c>
      <c r="S18" s="3" t="s">
        <v>11</v>
      </c>
      <c r="T18" s="3" t="s">
        <v>13</v>
      </c>
      <c r="U18" s="3" t="s">
        <v>13</v>
      </c>
      <c r="V18" s="3" t="s">
        <v>13</v>
      </c>
    </row>
    <row r="19" spans="1:22">
      <c r="A19" s="5"/>
      <c r="B19" s="2" t="s">
        <v>205</v>
      </c>
      <c r="C19" s="3" t="s">
        <v>15</v>
      </c>
      <c r="D19" s="16">
        <f>D34+F34+G34+H34+I34+J34+K34+L34+M34+N34+O34+P34</f>
        <v>1478.0004</v>
      </c>
      <c r="E19" s="5">
        <f>排水管道工程量1!J12</f>
        <v>4570.66666666667</v>
      </c>
      <c r="F19" s="17">
        <v>200.88</v>
      </c>
      <c r="H19" s="3">
        <v>2.5</v>
      </c>
      <c r="I19" s="3">
        <f t="shared" si="8"/>
        <v>4</v>
      </c>
      <c r="J19" s="3">
        <f>1.02+0.6</f>
        <v>1.62</v>
      </c>
      <c r="K19" s="3" t="s">
        <v>313</v>
      </c>
      <c r="L19" s="5"/>
      <c r="M19" s="4">
        <v>75</v>
      </c>
      <c r="N19" s="4">
        <v>30</v>
      </c>
      <c r="O19" s="3"/>
      <c r="P19" s="3"/>
      <c r="Q19" s="4">
        <v>455</v>
      </c>
      <c r="R19" s="4">
        <v>10</v>
      </c>
      <c r="S19" s="4">
        <v>20</v>
      </c>
      <c r="T19" s="4">
        <v>85</v>
      </c>
      <c r="U19" s="4">
        <v>16</v>
      </c>
      <c r="V19" s="4">
        <v>20</v>
      </c>
    </row>
    <row r="20" spans="1:22">
      <c r="A20" s="5"/>
      <c r="B20" s="2" t="s">
        <v>206</v>
      </c>
      <c r="C20" s="3" t="s">
        <v>15</v>
      </c>
      <c r="D20" s="16">
        <f>D35+F35+G35+H35+I35+J35+K35+L35+M35+N35+O35+P35</f>
        <v>902.0972</v>
      </c>
      <c r="E20" s="5">
        <f>排水管道工程量1!J13</f>
        <v>12108</v>
      </c>
      <c r="F20" s="17">
        <v>138.05</v>
      </c>
      <c r="H20" s="3">
        <v>1.5</v>
      </c>
      <c r="I20" s="3">
        <f t="shared" si="8"/>
        <v>3</v>
      </c>
      <c r="J20" s="3">
        <f>0.3+0.03*2+0.4*2</f>
        <v>1.16</v>
      </c>
      <c r="K20" s="5"/>
      <c r="L20" s="5"/>
      <c r="M20" s="3"/>
      <c r="N20" s="3"/>
      <c r="O20" s="3"/>
      <c r="P20" s="3"/>
      <c r="Q20" s="3" t="s">
        <v>314</v>
      </c>
      <c r="R20" s="3"/>
      <c r="S20" s="3"/>
      <c r="T20" s="3"/>
      <c r="U20" s="3"/>
      <c r="V20" s="5"/>
    </row>
    <row r="21" spans="7:22">
      <c r="G21" s="22"/>
      <c r="H21" s="3"/>
      <c r="I21" s="3"/>
      <c r="J21" s="3"/>
      <c r="K21" s="5"/>
      <c r="L21" s="5"/>
      <c r="M21" s="3"/>
      <c r="N21" s="3"/>
      <c r="O21" s="3"/>
      <c r="P21" s="3"/>
      <c r="Q21" s="4">
        <v>200</v>
      </c>
      <c r="R21" s="3"/>
      <c r="S21" s="3"/>
      <c r="T21" s="3"/>
      <c r="U21" s="3"/>
      <c r="V21" s="5"/>
    </row>
    <row r="24" s="12" customFormat="1" ht="43" customHeight="1" spans="1:16">
      <c r="A24" s="14"/>
      <c r="B24" s="15" t="s">
        <v>188</v>
      </c>
      <c r="C24" s="15" t="s">
        <v>189</v>
      </c>
      <c r="D24" s="14" t="s">
        <v>315</v>
      </c>
      <c r="E24" s="14" t="s">
        <v>316</v>
      </c>
      <c r="F24" s="14" t="s">
        <v>317</v>
      </c>
      <c r="G24" s="14" t="s">
        <v>318</v>
      </c>
      <c r="H24" s="14" t="s">
        <v>319</v>
      </c>
      <c r="I24" s="14" t="s">
        <v>320</v>
      </c>
      <c r="J24" s="14" t="s">
        <v>321</v>
      </c>
      <c r="K24" s="14" t="s">
        <v>322</v>
      </c>
      <c r="L24" s="14" t="s">
        <v>323</v>
      </c>
      <c r="M24" s="14" t="s">
        <v>324</v>
      </c>
      <c r="N24" s="14" t="s">
        <v>325</v>
      </c>
      <c r="O24" s="14" t="s">
        <v>326</v>
      </c>
      <c r="P24" s="14" t="s">
        <v>327</v>
      </c>
    </row>
    <row r="25" spans="1:16">
      <c r="A25" s="3" t="s">
        <v>296</v>
      </c>
      <c r="B25" s="3" t="s">
        <v>297</v>
      </c>
      <c r="C25" s="3" t="s">
        <v>15</v>
      </c>
      <c r="D25" s="3">
        <v>4728.98</v>
      </c>
      <c r="E25" s="3"/>
      <c r="F25" s="3">
        <f t="shared" ref="F25:F30" si="9">M3*M$19</f>
        <v>975</v>
      </c>
      <c r="G25" s="3">
        <f t="shared" ref="G25:G30" si="10">N3*N$19</f>
        <v>390</v>
      </c>
      <c r="H25" s="17">
        <f t="shared" ref="H25:M25" si="11">Q3*Q$19</f>
        <v>1986.985</v>
      </c>
      <c r="I25" s="23">
        <f t="shared" si="11"/>
        <v>426.162</v>
      </c>
      <c r="J25" s="3">
        <f t="shared" si="11"/>
        <v>260</v>
      </c>
      <c r="K25" s="3">
        <f t="shared" si="11"/>
        <v>629.85</v>
      </c>
      <c r="L25" s="23">
        <f t="shared" si="11"/>
        <v>390.7072</v>
      </c>
      <c r="M25" s="3">
        <f t="shared" si="11"/>
        <v>363.94</v>
      </c>
      <c r="N25" s="3">
        <v>20</v>
      </c>
      <c r="O25" s="3">
        <v>48</v>
      </c>
      <c r="P25" s="3">
        <v>12</v>
      </c>
    </row>
    <row r="26" spans="1:16">
      <c r="A26" s="3" t="s">
        <v>298</v>
      </c>
      <c r="B26" s="3" t="s">
        <v>299</v>
      </c>
      <c r="C26" s="3" t="s">
        <v>15</v>
      </c>
      <c r="D26" s="3">
        <v>4054.85</v>
      </c>
      <c r="E26" s="3"/>
      <c r="F26" s="3">
        <f t="shared" si="9"/>
        <v>975</v>
      </c>
      <c r="G26" s="3">
        <f t="shared" si="10"/>
        <v>390</v>
      </c>
      <c r="H26" s="17">
        <f t="shared" ref="H26:M26" si="12">Q4*Q$19</f>
        <v>1749.475</v>
      </c>
      <c r="I26" s="23">
        <f t="shared" si="12"/>
        <v>419.628</v>
      </c>
      <c r="J26" s="3">
        <f t="shared" si="12"/>
        <v>260</v>
      </c>
      <c r="K26" s="3">
        <f t="shared" si="12"/>
        <v>629.85</v>
      </c>
      <c r="L26" s="23">
        <f t="shared" si="12"/>
        <v>403.8048</v>
      </c>
      <c r="M26" s="3">
        <f t="shared" si="12"/>
        <v>334.5</v>
      </c>
      <c r="N26" s="3">
        <v>20</v>
      </c>
      <c r="O26" s="3">
        <v>48</v>
      </c>
      <c r="P26" s="3">
        <v>12</v>
      </c>
    </row>
    <row r="27" spans="1:16">
      <c r="A27" s="3" t="s">
        <v>298</v>
      </c>
      <c r="B27" s="3" t="s">
        <v>196</v>
      </c>
      <c r="C27" s="3" t="s">
        <v>15</v>
      </c>
      <c r="D27" s="3">
        <v>3747.26</v>
      </c>
      <c r="E27" s="3">
        <v>3103.31</v>
      </c>
      <c r="F27" s="3">
        <f t="shared" si="9"/>
        <v>900</v>
      </c>
      <c r="G27" s="3">
        <f t="shared" si="10"/>
        <v>360</v>
      </c>
      <c r="H27" s="17">
        <f t="shared" ref="H27:M27" si="13">Q5*Q$19</f>
        <v>1445.99</v>
      </c>
      <c r="I27" s="23">
        <f t="shared" si="13"/>
        <v>387.2</v>
      </c>
      <c r="J27" s="3">
        <f t="shared" si="13"/>
        <v>240</v>
      </c>
      <c r="K27" s="3">
        <f t="shared" si="13"/>
        <v>581.4</v>
      </c>
      <c r="L27" s="23">
        <f t="shared" si="13"/>
        <v>386.912</v>
      </c>
      <c r="M27" s="3">
        <f t="shared" si="13"/>
        <v>290.76</v>
      </c>
      <c r="N27" s="3">
        <v>20</v>
      </c>
      <c r="O27" s="3">
        <v>48</v>
      </c>
      <c r="P27" s="3">
        <v>12</v>
      </c>
    </row>
    <row r="28" spans="1:16">
      <c r="A28" s="3" t="s">
        <v>300</v>
      </c>
      <c r="B28" s="3" t="s">
        <v>301</v>
      </c>
      <c r="C28" s="3" t="s">
        <v>15</v>
      </c>
      <c r="D28" s="3">
        <v>3263.5</v>
      </c>
      <c r="E28" s="3"/>
      <c r="F28" s="3">
        <f t="shared" si="9"/>
        <v>975</v>
      </c>
      <c r="G28" s="3">
        <f t="shared" si="10"/>
        <v>390</v>
      </c>
      <c r="H28" s="17">
        <f t="shared" ref="H28:M28" si="14">Q6*Q$19</f>
        <v>1171.17</v>
      </c>
      <c r="I28" s="23">
        <f t="shared" si="14"/>
        <v>436.492</v>
      </c>
      <c r="J28" s="3">
        <f t="shared" si="14"/>
        <v>260</v>
      </c>
      <c r="K28" s="3">
        <f t="shared" si="14"/>
        <v>629.85</v>
      </c>
      <c r="L28" s="23">
        <f t="shared" si="14"/>
        <v>480.0832</v>
      </c>
      <c r="M28" s="3">
        <f t="shared" si="14"/>
        <v>272.88</v>
      </c>
      <c r="N28" s="3">
        <v>20</v>
      </c>
      <c r="O28" s="3">
        <v>48</v>
      </c>
      <c r="P28" s="3">
        <v>12</v>
      </c>
    </row>
    <row r="29" spans="1:16">
      <c r="A29" s="3" t="s">
        <v>302</v>
      </c>
      <c r="B29" s="3" t="s">
        <v>301</v>
      </c>
      <c r="C29" s="3" t="s">
        <v>15</v>
      </c>
      <c r="D29" s="3">
        <v>3263.5</v>
      </c>
      <c r="E29" s="3"/>
      <c r="F29" s="3">
        <f t="shared" si="9"/>
        <v>600</v>
      </c>
      <c r="G29" s="3">
        <f t="shared" si="10"/>
        <v>240</v>
      </c>
      <c r="H29" s="17">
        <f t="shared" ref="H29:M29" si="15">Q7*Q$19</f>
        <v>1169.35</v>
      </c>
      <c r="I29" s="23">
        <f t="shared" si="15"/>
        <v>194.722</v>
      </c>
      <c r="J29" s="3">
        <f t="shared" si="15"/>
        <v>160</v>
      </c>
      <c r="K29" s="3">
        <f t="shared" si="15"/>
        <v>387.6</v>
      </c>
      <c r="L29" s="23">
        <f t="shared" si="15"/>
        <v>138.9152</v>
      </c>
      <c r="M29" s="3">
        <f t="shared" si="15"/>
        <v>215.8</v>
      </c>
      <c r="N29" s="3">
        <v>20</v>
      </c>
      <c r="O29" s="3">
        <v>48</v>
      </c>
      <c r="P29" s="3">
        <v>12</v>
      </c>
    </row>
    <row r="30" spans="1:16">
      <c r="A30" s="3"/>
      <c r="B30" s="3" t="s">
        <v>303</v>
      </c>
      <c r="C30" s="3" t="s">
        <v>15</v>
      </c>
      <c r="D30" s="3">
        <v>1712.94</v>
      </c>
      <c r="E30" s="3"/>
      <c r="F30" s="3">
        <f t="shared" si="9"/>
        <v>450</v>
      </c>
      <c r="G30" s="3">
        <f t="shared" si="10"/>
        <v>180</v>
      </c>
      <c r="H30" s="17">
        <f t="shared" ref="H30:M30" si="16">Q8*Q$19</f>
        <v>520.52</v>
      </c>
      <c r="I30" s="23">
        <f t="shared" si="16"/>
        <v>122.688</v>
      </c>
      <c r="J30" s="3">
        <f t="shared" si="16"/>
        <v>120</v>
      </c>
      <c r="K30" s="3">
        <f t="shared" si="16"/>
        <v>290.7</v>
      </c>
      <c r="L30" s="23">
        <f t="shared" si="16"/>
        <v>97.1968</v>
      </c>
      <c r="M30" s="3">
        <f t="shared" si="16"/>
        <v>123.88</v>
      </c>
      <c r="N30" s="3">
        <v>20</v>
      </c>
      <c r="O30" s="3">
        <v>48</v>
      </c>
      <c r="P30" s="3">
        <v>12</v>
      </c>
    </row>
    <row r="31" spans="1:16">
      <c r="A31" s="3"/>
      <c r="B31" s="3" t="s">
        <v>308</v>
      </c>
      <c r="C31" s="3" t="s">
        <v>15</v>
      </c>
      <c r="D31" s="3">
        <v>1088.14</v>
      </c>
      <c r="E31" s="3"/>
      <c r="F31" s="3">
        <f>M13*M$19</f>
        <v>450</v>
      </c>
      <c r="G31" s="3">
        <f>N13*N$19</f>
        <v>180</v>
      </c>
      <c r="H31" s="17">
        <f t="shared" ref="H31:M31" si="17">Q13*Q$19</f>
        <v>437.255</v>
      </c>
      <c r="I31" s="23">
        <f t="shared" si="17"/>
        <v>117.86</v>
      </c>
      <c r="J31" s="3">
        <f t="shared" si="17"/>
        <v>120</v>
      </c>
      <c r="K31" s="3">
        <f t="shared" si="17"/>
        <v>290.7</v>
      </c>
      <c r="L31" s="23">
        <f t="shared" si="17"/>
        <v>100.4</v>
      </c>
      <c r="M31" s="3">
        <f t="shared" si="17"/>
        <v>110.22</v>
      </c>
      <c r="N31" s="3">
        <v>20</v>
      </c>
      <c r="O31" s="3">
        <v>48</v>
      </c>
      <c r="P31" s="3">
        <v>12</v>
      </c>
    </row>
    <row r="32" spans="1:16">
      <c r="A32" s="3"/>
      <c r="B32" s="3" t="s">
        <v>309</v>
      </c>
      <c r="C32" s="3" t="s">
        <v>15</v>
      </c>
      <c r="D32" s="3">
        <v>769.11</v>
      </c>
      <c r="E32" s="3">
        <v>548.04</v>
      </c>
      <c r="F32" s="3">
        <f>M14*M$19</f>
        <v>300</v>
      </c>
      <c r="G32" s="3">
        <f>N14*N$19</f>
        <v>120</v>
      </c>
      <c r="H32" s="17">
        <f t="shared" ref="H32:M32" si="18">Q14*Q$19</f>
        <v>231.595</v>
      </c>
      <c r="I32" s="23">
        <f t="shared" si="18"/>
        <v>54.832</v>
      </c>
      <c r="J32" s="3">
        <f t="shared" si="18"/>
        <v>80</v>
      </c>
      <c r="K32" s="3">
        <f t="shared" si="18"/>
        <v>193.8</v>
      </c>
      <c r="L32" s="23">
        <f t="shared" si="18"/>
        <v>31.5872</v>
      </c>
      <c r="M32" s="3">
        <f t="shared" si="18"/>
        <v>70.18</v>
      </c>
      <c r="N32" s="3">
        <v>20</v>
      </c>
      <c r="O32" s="3">
        <v>48</v>
      </c>
      <c r="P32" s="3">
        <v>12</v>
      </c>
    </row>
    <row r="33" spans="1:16">
      <c r="A33" s="3"/>
      <c r="B33" s="3" t="s">
        <v>203</v>
      </c>
      <c r="C33" s="3" t="s">
        <v>15</v>
      </c>
      <c r="D33" s="3">
        <v>531.59</v>
      </c>
      <c r="E33" s="3">
        <v>348.29</v>
      </c>
      <c r="F33" s="3">
        <f>M15*M$19</f>
        <v>300</v>
      </c>
      <c r="G33" s="3">
        <f>N15*N$19</f>
        <v>120</v>
      </c>
      <c r="H33" s="17">
        <f t="shared" ref="H33:M33" si="19">Q15*Q$19</f>
        <v>130.13</v>
      </c>
      <c r="I33" s="23">
        <f t="shared" si="19"/>
        <v>51.704</v>
      </c>
      <c r="J33" s="3">
        <f t="shared" si="19"/>
        <v>80</v>
      </c>
      <c r="K33" s="3">
        <f t="shared" si="19"/>
        <v>193.8</v>
      </c>
      <c r="L33" s="23">
        <f t="shared" si="19"/>
        <v>35.1104</v>
      </c>
      <c r="M33" s="3">
        <f t="shared" si="19"/>
        <v>59.52</v>
      </c>
      <c r="N33" s="3">
        <v>20</v>
      </c>
      <c r="O33" s="3">
        <v>48</v>
      </c>
      <c r="P33" s="3">
        <v>12</v>
      </c>
    </row>
    <row r="34" spans="1:16">
      <c r="A34" s="3"/>
      <c r="B34" s="3" t="s">
        <v>310</v>
      </c>
      <c r="C34" s="3" t="s">
        <v>15</v>
      </c>
      <c r="D34" s="3">
        <v>444.78</v>
      </c>
      <c r="E34" s="3">
        <v>292.13</v>
      </c>
      <c r="F34" s="3">
        <f>M16*M$19</f>
        <v>300</v>
      </c>
      <c r="G34" s="3">
        <f>N16*N$19</f>
        <v>120</v>
      </c>
      <c r="H34" s="17">
        <f t="shared" ref="H34:M34" si="20">Q16*Q$19</f>
        <v>113.75</v>
      </c>
      <c r="I34" s="23">
        <f t="shared" si="20"/>
        <v>51.704</v>
      </c>
      <c r="J34" s="3">
        <f t="shared" si="20"/>
        <v>80</v>
      </c>
      <c r="K34" s="3">
        <f t="shared" si="20"/>
        <v>193.8</v>
      </c>
      <c r="L34" s="23">
        <f t="shared" si="20"/>
        <v>37.7664</v>
      </c>
      <c r="M34" s="3">
        <f t="shared" si="20"/>
        <v>56.2</v>
      </c>
      <c r="N34" s="3">
        <v>20</v>
      </c>
      <c r="O34" s="3">
        <v>48</v>
      </c>
      <c r="P34" s="3">
        <v>12</v>
      </c>
    </row>
    <row r="35" spans="1:16">
      <c r="A35" s="3"/>
      <c r="B35" s="3" t="s">
        <v>206</v>
      </c>
      <c r="C35" s="3" t="s">
        <v>15</v>
      </c>
      <c r="D35" s="3">
        <v>256.97</v>
      </c>
      <c r="E35" s="3">
        <v>190.83</v>
      </c>
      <c r="F35" s="3">
        <f>M17*M$19</f>
        <v>225</v>
      </c>
      <c r="G35" s="3">
        <f>N17*N$19</f>
        <v>90</v>
      </c>
      <c r="H35" s="3">
        <f>Q17*Q21</f>
        <v>42</v>
      </c>
      <c r="I35" s="23">
        <f>R17*R$19</f>
        <v>17.472</v>
      </c>
      <c r="J35" s="3">
        <f>S17*S$19</f>
        <v>60</v>
      </c>
      <c r="K35" s="3">
        <f>T17*T$19</f>
        <v>96.9</v>
      </c>
      <c r="L35" s="23">
        <f>U17*U$19</f>
        <v>4.7552</v>
      </c>
      <c r="M35" s="3">
        <f>V17*V$19</f>
        <v>29</v>
      </c>
      <c r="N35" s="3">
        <v>20</v>
      </c>
      <c r="O35" s="3">
        <v>48</v>
      </c>
      <c r="P35" s="3">
        <v>12</v>
      </c>
    </row>
    <row r="36" spans="3:18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</sheetData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zoomScale="130" zoomScaleNormal="130" workbookViewId="0">
      <selection activeCell="B18" sqref="B18"/>
    </sheetView>
  </sheetViews>
  <sheetFormatPr defaultColWidth="8.89166666666667" defaultRowHeight="13.5" outlineLevelRow="3" outlineLevelCol="3"/>
  <cols>
    <col min="1" max="1" width="17.4416666666667" customWidth="1"/>
    <col min="2" max="2" width="17.5583333333333" customWidth="1"/>
    <col min="3" max="3" width="12.3916666666667" customWidth="1"/>
    <col min="4" max="4" width="31" customWidth="1"/>
  </cols>
  <sheetData>
    <row r="1" spans="1:4">
      <c r="A1" s="5" t="s">
        <v>328</v>
      </c>
      <c r="B1" s="5"/>
      <c r="C1" s="5"/>
      <c r="D1" s="5"/>
    </row>
    <row r="2" spans="1:4">
      <c r="A2" s="5" t="s">
        <v>329</v>
      </c>
      <c r="B2" s="5" t="s">
        <v>330</v>
      </c>
      <c r="C2" s="5" t="s">
        <v>331</v>
      </c>
      <c r="D2" s="5" t="s">
        <v>332</v>
      </c>
    </row>
    <row r="3" spans="1:4">
      <c r="A3" s="5" t="s">
        <v>193</v>
      </c>
      <c r="B3" s="5" t="s">
        <v>333</v>
      </c>
      <c r="C3" s="11">
        <f>ROUND(D3*1.05,0)</f>
        <v>108</v>
      </c>
      <c r="D3" s="5">
        <v>103.31</v>
      </c>
    </row>
    <row r="4" spans="1:4">
      <c r="A4" s="5" t="s">
        <v>334</v>
      </c>
      <c r="B4" s="5" t="s">
        <v>335</v>
      </c>
      <c r="C4" s="11">
        <f>ROUND(D4*1.05,0)</f>
        <v>100</v>
      </c>
      <c r="D4" s="5">
        <v>95</v>
      </c>
    </row>
  </sheetData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zoomScale="130" zoomScaleNormal="130" workbookViewId="0">
      <selection activeCell="D25" sqref="D25:D35"/>
    </sheetView>
  </sheetViews>
  <sheetFormatPr defaultColWidth="8.89166666666667" defaultRowHeight="13.5" outlineLevelCol="4"/>
  <cols>
    <col min="1" max="1" width="35.5583333333333" customWidth="1"/>
    <col min="2" max="2" width="9.66666666666667" customWidth="1"/>
    <col min="3" max="3" width="6.66666666666667" hidden="1" customWidth="1"/>
    <col min="4" max="4" width="12.0583333333333" customWidth="1"/>
    <col min="5" max="5" width="9.66666666666667" hidden="1" customWidth="1"/>
  </cols>
  <sheetData>
    <row r="1" ht="22" customHeight="1"/>
    <row r="2" ht="22" customHeight="1" spans="1:5">
      <c r="A2" s="1" t="s">
        <v>210</v>
      </c>
      <c r="B2" s="1" t="s">
        <v>189</v>
      </c>
      <c r="C2" s="1" t="s">
        <v>67</v>
      </c>
      <c r="D2" s="1" t="s">
        <v>331</v>
      </c>
      <c r="E2" s="1" t="s">
        <v>316</v>
      </c>
    </row>
    <row r="3" ht="22" customHeight="1" spans="1:5">
      <c r="A3" s="7" t="s">
        <v>211</v>
      </c>
      <c r="B3" s="3" t="s">
        <v>86</v>
      </c>
      <c r="C3" s="3">
        <f>排水管道工程量1!J18</f>
        <v>27</v>
      </c>
      <c r="D3" s="8">
        <v>24500</v>
      </c>
      <c r="E3" s="9"/>
    </row>
    <row r="4" ht="22" customHeight="1" spans="1:5">
      <c r="A4" s="10" t="s">
        <v>213</v>
      </c>
      <c r="B4" s="3" t="s">
        <v>86</v>
      </c>
      <c r="C4" s="3">
        <f>排水管道工程量1!J19</f>
        <v>13</v>
      </c>
      <c r="D4" s="8">
        <v>21000</v>
      </c>
      <c r="E4" s="9"/>
    </row>
    <row r="5" ht="22" customHeight="1" spans="1:5">
      <c r="A5" s="10" t="s">
        <v>214</v>
      </c>
      <c r="B5" s="3" t="s">
        <v>86</v>
      </c>
      <c r="C5" s="3">
        <f>排水管道工程量1!J20</f>
        <v>23</v>
      </c>
      <c r="D5" s="8">
        <v>19000</v>
      </c>
      <c r="E5" s="9">
        <v>10106.67</v>
      </c>
    </row>
    <row r="6" ht="22" customHeight="1" spans="1:5">
      <c r="A6" s="10" t="s">
        <v>85</v>
      </c>
      <c r="B6" s="3" t="s">
        <v>86</v>
      </c>
      <c r="C6" s="3">
        <f>排水管道工程量1!J21</f>
        <v>32</v>
      </c>
      <c r="D6" s="8">
        <v>17000</v>
      </c>
      <c r="E6" s="9"/>
    </row>
    <row r="7" ht="22" customHeight="1" spans="1:5">
      <c r="A7" s="10" t="s">
        <v>336</v>
      </c>
      <c r="B7" s="3" t="s">
        <v>86</v>
      </c>
      <c r="C7" s="3"/>
      <c r="D7" s="8">
        <v>15000</v>
      </c>
      <c r="E7" s="9"/>
    </row>
    <row r="8" ht="22" customHeight="1" spans="1:5">
      <c r="A8" s="7" t="s">
        <v>337</v>
      </c>
      <c r="B8" s="3" t="s">
        <v>86</v>
      </c>
      <c r="C8" s="3"/>
      <c r="D8" s="8">
        <v>13000</v>
      </c>
      <c r="E8" s="9"/>
    </row>
    <row r="9" ht="22" customHeight="1" spans="1:5">
      <c r="A9" s="7" t="s">
        <v>215</v>
      </c>
      <c r="B9" s="3" t="s">
        <v>86</v>
      </c>
      <c r="C9" s="3">
        <f>排水管道工程量1!J22</f>
        <v>29</v>
      </c>
      <c r="D9" s="8">
        <v>11000</v>
      </c>
      <c r="E9" s="9"/>
    </row>
    <row r="10" ht="22" customHeight="1" spans="1:5">
      <c r="A10" s="7" t="s">
        <v>104</v>
      </c>
      <c r="B10" s="3" t="s">
        <v>86</v>
      </c>
      <c r="C10" s="3">
        <f>排水管道工程量1!J23</f>
        <v>119</v>
      </c>
      <c r="D10" s="8">
        <v>9300</v>
      </c>
      <c r="E10" s="9">
        <v>9305.26</v>
      </c>
    </row>
    <row r="11" ht="22" customHeight="1" spans="1:5">
      <c r="A11" s="7" t="s">
        <v>88</v>
      </c>
      <c r="B11" s="3" t="s">
        <v>86</v>
      </c>
      <c r="C11" s="3">
        <f>排水管道工程量1!J24</f>
        <v>330</v>
      </c>
      <c r="D11" s="8">
        <v>7800</v>
      </c>
      <c r="E11" s="9">
        <v>7772.22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总估算表</vt:lpstr>
      <vt:lpstr>总  估  算  表</vt:lpstr>
      <vt:lpstr>一级明细汇总表</vt:lpstr>
      <vt:lpstr>估算明细表</vt:lpstr>
      <vt:lpstr>管道最新工程量估算明细</vt:lpstr>
      <vt:lpstr>排水管道工程量1</vt:lpstr>
      <vt:lpstr>排水管道单价</vt:lpstr>
      <vt:lpstr>路面恢复工程单价</vt:lpstr>
      <vt:lpstr>检查井单价</vt:lpstr>
      <vt:lpstr>雨水口降水井单价</vt:lpstr>
      <vt:lpstr>其他工程量单价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WPS_1178778167</cp:lastModifiedBy>
  <dcterms:created xsi:type="dcterms:W3CDTF">2006-09-16T00:00:00Z</dcterms:created>
  <cp:lastPrinted>2022-02-28T07:43:00Z</cp:lastPrinted>
  <dcterms:modified xsi:type="dcterms:W3CDTF">2024-04-30T06:54:58Z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83E7AF173BFC4457839C1BC927C2A7B0_13</vt:lpwstr>
  </property>
</Properties>
</file>