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86" firstSheet="1" activeTab="7"/>
  </bookViews>
  <sheets>
    <sheet name="投资结构表" sheetId="22" state="hidden" r:id="rId1"/>
    <sheet name="总概算表" sheetId="38" r:id="rId2"/>
    <sheet name="Sheet9" sheetId="46" state="hidden" r:id="rId3"/>
    <sheet name="表3-1（总）" sheetId="4" state="hidden" r:id="rId4"/>
    <sheet name="表3-2" sheetId="5" state="hidden" r:id="rId5"/>
    <sheet name="标段划分" sheetId="36" state="hidden" r:id="rId6"/>
    <sheet name="Sheet1" sheetId="35" state="hidden" r:id="rId7"/>
    <sheet name="工程施工费" sheetId="45" r:id="rId8"/>
    <sheet name="表5-4" sheetId="8" state="hidden" r:id="rId9"/>
    <sheet name="表7" sheetId="10" state="hidden" r:id="rId10"/>
    <sheet name="附表1 " sheetId="11" r:id="rId11"/>
    <sheet name="附表2" sheetId="12" r:id="rId12"/>
    <sheet name="附表2-1" sheetId="13" state="hidden" r:id="rId13"/>
    <sheet name="附表3" sheetId="14" state="hidden" r:id="rId14"/>
    <sheet name="附表4" sheetId="19" r:id="rId15"/>
    <sheet name="附表5" sheetId="21" state="hidden" r:id="rId16"/>
    <sheet name="附表6" sheetId="20" state="hidden" r:id="rId17"/>
    <sheet name="费率" sheetId="18" state="hidden" r:id="rId18"/>
  </sheets>
  <externalReferences>
    <externalReference r:id="rId19"/>
    <externalReference r:id="rId20"/>
    <externalReference r:id="rId21"/>
  </externalReferences>
  <definedNames>
    <definedName name="_xlnm._FilterDatabase" localSheetId="3" hidden="1">'表3-1（总）'!$C$1:$C$511</definedName>
    <definedName name="_xlnm._FilterDatabase" localSheetId="7" hidden="1">工程施工费!$B$1:$B$96</definedName>
    <definedName name="_xlnm._FilterDatabase" localSheetId="13" hidden="1">附表3!$B$1:$B$24</definedName>
    <definedName name="_Fill" hidden="1">[1]eqpmad2!#REF!</definedName>
    <definedName name="_xlnm._FilterDatabase" localSheetId="16" hidden="1">附表6!$B$1:$B$84</definedName>
    <definedName name="a" hidden="1">{"'现金流量表（全部投资）'!$B$4:$P$23"}</definedName>
    <definedName name="anscount" hidden="1">5</definedName>
    <definedName name="b" hidden="1">{"'现金流量表（全部投资）'!$B$4:$P$23"}</definedName>
    <definedName name="cc" hidden="1">{"'现金流量表（全部投资）'!$B$4:$P$23"}</definedName>
    <definedName name="Database" hidden="1">#REF!</definedName>
    <definedName name="dd" hidden="1">{"'现金流量表（全部投资）'!$B$4:$P$23"}</definedName>
    <definedName name="ee" hidden="1">{"'现金流量表（全部投资）'!$B$4:$P$23"}</definedName>
    <definedName name="HTML_CodePage" hidden="1">936</definedName>
    <definedName name="HTML_Control" hidden="1">{"'现金流量表（全部投资）'!$B$4:$P$23"}</definedName>
    <definedName name="HTML_Description" hidden="1">"lin zijian"</definedName>
    <definedName name="HTML_Email" hidden="1">""</definedName>
    <definedName name="HTML_Header" hidden="1">"现金流量表（全部投资）"</definedName>
    <definedName name="HTML_LastUpdate" hidden="1">"96-12-2"</definedName>
    <definedName name="HTML_LineAfter" hidden="1">TRUE</definedName>
    <definedName name="HTML_LineBefore" hidden="1">TRUE</definedName>
    <definedName name="HTML_Name" hidden="1">"linzijia"</definedName>
    <definedName name="HTML_OBDlg2" hidden="1">TRUE</definedName>
    <definedName name="HTML_OBDlg4" hidden="1">TRUE</definedName>
    <definedName name="HTML_OS" hidden="1">0</definedName>
    <definedName name="HTML_PathFile" hidden="1">"C:\lin\bk\MyHTML.htm"</definedName>
    <definedName name="HTML_Title" hidden="1">"PROJECT11"</definedName>
    <definedName name="KL" hidden="1">[2]Sheet2!$E:$E,[2]Sheet2!$N:$P</definedName>
    <definedName name="limcount" hidden="1">5</definedName>
    <definedName name="M10砂浆" localSheetId="15">附表5!$M$11</definedName>
    <definedName name="M5砂浆" localSheetId="15">附表5!$M$9</definedName>
    <definedName name="M7.5砂浆" localSheetId="16">附表5!$M$10</definedName>
    <definedName name="_xlnm.Print_Area" localSheetId="3">'表3-1（总）'!$A$1:$H$503</definedName>
    <definedName name="_xlnm.Print_Area" localSheetId="4">'表3-2'!$A$1:$P$10</definedName>
    <definedName name="_xlnm.Print_Area" localSheetId="9">表7!$A$1:$P$18</definedName>
    <definedName name="_xlnm.Print_Area" localSheetId="10">'附表1 '!$A$1:$D$38</definedName>
    <definedName name="_xlnm.Print_Area" localSheetId="11">附表2!$A$1:$N$15</definedName>
    <definedName name="_xlnm.Print_Area" localSheetId="12">'附表2-1'!$A$1:$H$50</definedName>
    <definedName name="_xlnm.Print_Area" localSheetId="13">附表3!$A$1:$D$24</definedName>
    <definedName name="_xlnm.Print_Area" localSheetId="14">附表4!$A$1:$W$14</definedName>
    <definedName name="_xlnm.Print_Area" localSheetId="15">附表5!$A$1:$M$11</definedName>
    <definedName name="_xlnm.Print_Area" localSheetId="16">附表6!$A$1:$F$84</definedName>
    <definedName name="_xlnm.Print_Area" localSheetId="7">工程施工费!$A$1:$G$15</definedName>
    <definedName name="_xlnm.Print_Area" localSheetId="1">总概算表!$A$1:$F$18</definedName>
    <definedName name="_xlnm.Print_Titles" localSheetId="3">'表3-1（总）'!$1:$4</definedName>
    <definedName name="_xlnm.Print_Titles" localSheetId="10">'附表1 '!$1:$1</definedName>
    <definedName name="_xlnm.Print_Titles" localSheetId="12">'附表2-1'!$1:$2</definedName>
    <definedName name="_xlnm.Print_Titles" localSheetId="13">附表3!$1:$2</definedName>
    <definedName name="_xlnm.Print_Titles" localSheetId="14">附表4!$1:$5</definedName>
    <definedName name="_xlnm.Print_Titles" localSheetId="16">附表6!$1:$1</definedName>
    <definedName name="_xlnm.Print_Titles" localSheetId="7">工程施工费!$1:$3</definedName>
    <definedName name="_xlnm.Print_Titles" hidden="1">#REF!</definedName>
    <definedName name="sencount" hidden="1">1</definedName>
    <definedName name="ss" hidden="1">{"'现金流量表（全部投资）'!$B$4:$P$23"}</definedName>
    <definedName name="Z_D416CCE0_90DA_11D2_8B33_444553540000_.wvu.Cols" hidden="1">[3]材料表!$E:$E,[3]材料表!$J:$L</definedName>
    <definedName name="Z_D416CCE0_90DA_11D2_8B33_444553540000_.wvu.PrintTitles" hidden="1">#REF!</definedName>
    <definedName name="Z_E7D01C20_B8FC_11D1_9E4F_B5D6E120E308_.wvu.Cols" hidden="1">[3]材料表!$E:$E,[3]材料表!$J:$L</definedName>
    <definedName name="Z_E7D01C20_B8FC_11D1_9E4F_B5D6E120E308_.wvu.PrintTitles" hidden="1">#REF!</definedName>
    <definedName name="安措">费率!$I$12</definedName>
    <definedName name="安间">费率!$F$23</definedName>
    <definedName name="板方材">附表3!$D$19</definedName>
    <definedName name="板方材限价">附表2!$N$15</definedName>
    <definedName name="板枋材">附表2!$M$15</definedName>
    <definedName name="采后处理中心" hidden="1">1</definedName>
    <definedName name="草籽">附表3!$D$21</definedName>
    <definedName name="拆补">'表5-4'!$F$8</definedName>
    <definedName name="柴油">附表2!$M$13</definedName>
    <definedName name="柴油限价">附表2!$N$13</definedName>
    <definedName name="此次" hidden="1">{"'现金流量表（全部投资）'!$B$4:$P$23"}</definedName>
    <definedName name="粗砂限价">附表2!$N$11</definedName>
    <definedName name="道路砂砾">附表2!$M$10</definedName>
    <definedName name="电">附表3!$D$5</definedName>
    <definedName name="电动葫芦3" localSheetId="14">附表4!#REF!</definedName>
    <definedName name="电动葫芦3" localSheetId="16">附表4!#REF!</definedName>
    <definedName name="电焊机直流30" localSheetId="14">附表4!#REF!</definedName>
    <definedName name="电焊机直流30" localSheetId="16">附表4!#REF!</definedName>
    <definedName name="电焊条">附表3!$D$10</definedName>
    <definedName name="镀锌铁皮">附表3!$D$6</definedName>
    <definedName name="风">附表3!$D$3</definedName>
    <definedName name="钢板">附表3!$D$14</definedName>
    <definedName name="钢筋10上">附表2!$M$7</definedName>
    <definedName name="钢筋10下">附表2!#REF!</definedName>
    <definedName name="钢筋限价">附表2!#REF!</definedName>
    <definedName name="工10020">附表6!#REF!</definedName>
    <definedName name="工10203">附表6!#REF!</definedName>
    <definedName name="工10205">附表6!#REF!</definedName>
    <definedName name="工10218">附表6!$F$22</definedName>
    <definedName name="工10219">附表6!#REF!</definedName>
    <definedName name="工10222">附表6!$F$44</definedName>
    <definedName name="工10304">附表6!#REF!</definedName>
    <definedName name="工10305">附表6!#REF!</definedName>
    <definedName name="工10306">附表6!$F$64</definedName>
    <definedName name="工10307">附表6!$F$84</definedName>
    <definedName name="工10322">附表6!$F$64</definedName>
    <definedName name="工10323">附表6!$F$84</definedName>
    <definedName name="工10334">附表6!#REF!</definedName>
    <definedName name="工10335">附表6!#REF!</definedName>
    <definedName name="工10345">附表6!#REF!</definedName>
    <definedName name="工10378">附表6!#REF!</definedName>
    <definedName name="工30003">附表6!#REF!</definedName>
    <definedName name="工30003a">附表6!#REF!</definedName>
    <definedName name="工30018">附表6!#REF!</definedName>
    <definedName name="工30019">附表6!#REF!</definedName>
    <definedName name="工30020">附表6!#REF!</definedName>
    <definedName name="工40030">附表6!#REF!</definedName>
    <definedName name="工40107">附表6!#REF!</definedName>
    <definedName name="工40161">附表6!#REF!</definedName>
    <definedName name="工40186">附表6!#REF!</definedName>
    <definedName name="工40200b">附表6!#REF!</definedName>
    <definedName name="工40222b">附表6!#REF!</definedName>
    <definedName name="工40228">附表6!#REF!</definedName>
    <definedName name="工40232">附表6!#REF!</definedName>
    <definedName name="工40248">附表6!#REF!</definedName>
    <definedName name="工40249">附表6!#REF!</definedName>
    <definedName name="工40250">附表6!#REF!</definedName>
    <definedName name="工40252">附表6!#REF!</definedName>
    <definedName name="工40253">附表6!#REF!</definedName>
    <definedName name="工40255b">附表6!#REF!</definedName>
    <definedName name="工50125g">附表6!#REF!</definedName>
    <definedName name="工50126">附表6!#REF!</definedName>
    <definedName name="工80001">附表6!#REF!</definedName>
    <definedName name="工80018">附表6!#REF!</definedName>
    <definedName name="工80025">附表6!#REF!</definedName>
    <definedName name="工80025a">附表6!#REF!</definedName>
    <definedName name="工80025b">附表6!#REF!</definedName>
    <definedName name="工80026">附表6!#REF!</definedName>
    <definedName name="工80035">附表6!#REF!</definedName>
    <definedName name="工90007">附表6!#REF!</definedName>
    <definedName name="管材" hidden="1">{"'现金流量表（全部投资）'!$B$4:$P$23"}</definedName>
    <definedName name="混措">费率!$I$9</definedName>
    <definedName name="混间">费率!$F$20</definedName>
    <definedName name="混凝土拌制">附表6!#REF!</definedName>
    <definedName name="机电安装111" hidden="1">#REF!</definedName>
    <definedName name="机深翻">#REF!</definedName>
    <definedName name="机油">附表3!$D$16</definedName>
    <definedName name="甲类">'附表1 '!$D$19</definedName>
    <definedName name="甲类工">'附表1 '!$D$19</definedName>
    <definedName name="接头">附表3!$D$20</definedName>
    <definedName name="锯材限价">附表2!$N$14</definedName>
    <definedName name="聚乙烯油膏">附表3!$D$18</definedName>
    <definedName name="卷扬机3" localSheetId="14">附表4!#REF!</definedName>
    <definedName name="卷扬机3" localSheetId="16">附表4!#REF!</definedName>
    <definedName name="卡扣">附表3!$D$12</definedName>
    <definedName name="卡扣件">附表3!$D$12</definedName>
    <definedName name="块石">附表2!$M$8</definedName>
    <definedName name="块石限价">附表2!$N$8</definedName>
    <definedName name="利润">费率!$B$26</definedName>
    <definedName name="沥青">附表3!$D$17</definedName>
    <definedName name="履带拖拉机74" localSheetId="14">附表4!#REF!</definedName>
    <definedName name="履带拖拉机74" localSheetId="16">附表4!#REF!</definedName>
    <definedName name="逆止阀">附表3!$D$21</definedName>
    <definedName name="农措">费率!$I$10</definedName>
    <definedName name="农间">费率!$F$21</definedName>
    <definedName name="刨毛机" localSheetId="14">附表4!#REF!</definedName>
    <definedName name="刨毛机" localSheetId="16">附表4!#REF!</definedName>
    <definedName name="其措">费率!$I$11</definedName>
    <definedName name="其间">费率!$F$22</definedName>
    <definedName name="其他费用">#REF!</definedName>
    <definedName name="汽油">附表2!$M$12</definedName>
    <definedName name="汽油限价">附表2!$N$12</definedName>
    <definedName name="砌措">费率!$I$8</definedName>
    <definedName name="砌间">费率!$F$19</definedName>
    <definedName name="强制式混凝土搅拌机0.35" localSheetId="14">附表4!#REF!</definedName>
    <definedName name="强制式混凝土搅拌机0.35" localSheetId="16">附表4!#REF!</definedName>
    <definedName name="清单" hidden="1">{"'现金流量表（全部投资）'!$B$4:$P$23"}</definedName>
    <definedName name="砂">附表2!$M$11</definedName>
    <definedName name="砂浆7.5" localSheetId="14">附表5!$M$10</definedName>
    <definedName name="砂浆7.5" localSheetId="15">附表5!$M$10</definedName>
    <definedName name="砂浆7.5" localSheetId="16">附表5!$M$10</definedName>
    <definedName name="深翻耕" localSheetId="7">工程施工费!#REF!</definedName>
    <definedName name="深翻耕">#REF!</definedName>
    <definedName name="石措">费率!$I$7</definedName>
    <definedName name="石间">费率!$F$18</definedName>
    <definedName name="双" hidden="1">{"'现金流量表（全部投资）'!$B$4:$P$23"}</definedName>
    <definedName name="双胶轮车">附表4!#REF!</definedName>
    <definedName name="水">附表3!$D$4</definedName>
    <definedName name="水价">附表3!$D$4</definedName>
    <definedName name="水泥42.5">附表2!$M$5</definedName>
    <definedName name="水泥限价">附表2!$N$5</definedName>
    <definedName name="税金">费率!$B$31</definedName>
    <definedName name="碎石">附表2!$M$9</definedName>
    <definedName name="碎石限价">附表2!$N$9</definedName>
    <definedName name="铁钉">附表3!$D$7</definedName>
    <definedName name="铁件">附表3!$D$8</definedName>
    <definedName name="铁丝">附表3!$D$9</definedName>
    <definedName name="砼C10" localSheetId="15">附表5!$M$5</definedName>
    <definedName name="砼C15" localSheetId="15">附表5!$M$6</definedName>
    <definedName name="砼C20" localSheetId="14">附表5!$M$7</definedName>
    <definedName name="砼C20" localSheetId="15">附表5!$M$7</definedName>
    <definedName name="砼C20" localSheetId="16">附表5!$M$7</definedName>
    <definedName name="砼C25" localSheetId="15">附表5!$M$8</definedName>
    <definedName name="土措">费率!$I$6</definedName>
    <definedName name="土间">费率!$F$17</definedName>
    <definedName name="推土机59" localSheetId="16">附表4!$C$8</definedName>
    <definedName name="推土机74" localSheetId="16">附表4!$C$9</definedName>
    <definedName name="拖拉机55">附表4!$C$11</definedName>
    <definedName name="拖拉机59">附表4!$C$10</definedName>
    <definedName name="蛙式打夯机2.8" localSheetId="14">附表4!#REF!</definedName>
    <definedName name="蛙式打夯机2.8" localSheetId="16">附表4!#REF!</definedName>
    <definedName name="纤细估算" hidden="1">#REF!</definedName>
    <definedName name="小型挖掘机0.25" localSheetId="14">附表4!#REF!</definedName>
    <definedName name="小型挖掘机0.25" localSheetId="16">附表4!#REF!</definedName>
    <definedName name="型钢">附表3!$D$13</definedName>
    <definedName name="液压1单挖" localSheetId="14">附表4!$C$7</definedName>
    <definedName name="液压1单挖" localSheetId="16">附表4!$C$7</definedName>
    <definedName name="乙类">'附表1 '!$D$38</definedName>
    <definedName name="乙类工">'附表1 '!$D$38</definedName>
    <definedName name="油动0.5" localSheetId="14">附表4!#REF!</definedName>
    <definedName name="油动0.5" localSheetId="16">附表4!#REF!</definedName>
    <definedName name="油动1" localSheetId="14">附表4!$C$6</definedName>
    <definedName name="油动1" localSheetId="16">附表4!$C$6</definedName>
    <definedName name="有机肥">附表3!$D$24</definedName>
    <definedName name="预埋铁件">附表3!$D$15</definedName>
    <definedName name="振捣器平板式2.2" localSheetId="14">附表4!#REF!</definedName>
    <definedName name="振捣器平板式2.2" localSheetId="16">附表4!#REF!</definedName>
    <definedName name="种植土">附表3!$D$23</definedName>
    <definedName name="自卸汽车3.5">附表4!#REF!</definedName>
    <definedName name="自卸汽车5" localSheetId="14">附表4!$C$12</definedName>
    <definedName name="自卸汽车5" localSheetId="16">附表4!$C$12</definedName>
    <definedName name="自行式平地机" localSheetId="14">附表4!#REF!</definedName>
    <definedName name="自行式平地机" localSheetId="16">附表4!#REF!</definedName>
    <definedName name="组合钢模板">附表3!$D$11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SkyUser</author>
  </authors>
  <commentList>
    <comment ref="F4" authorId="0">
      <text>
        <r>
          <rPr>
            <b/>
            <sz val="9"/>
            <rFont val="宋体"/>
            <charset val="134"/>
          </rPr>
          <t>SkyUser:</t>
        </r>
        <r>
          <rPr>
            <sz val="9"/>
            <rFont val="宋体"/>
            <charset val="134"/>
          </rPr>
          <t xml:space="preserve">
说明调整情况</t>
        </r>
      </text>
    </comment>
  </commentList>
</comments>
</file>

<file path=xl/sharedStrings.xml><?xml version="1.0" encoding="utf-8"?>
<sst xmlns="http://schemas.openxmlformats.org/spreadsheetml/2006/main" count="2796" uniqueCount="814">
  <si>
    <t>项目投资结构表</t>
  </si>
  <si>
    <r>
      <rPr>
        <b/>
        <sz val="12"/>
        <rFont val="宋体"/>
        <charset val="134"/>
      </rPr>
      <t>序号</t>
    </r>
  </si>
  <si>
    <r>
      <rPr>
        <b/>
        <sz val="12"/>
        <rFont val="宋体"/>
        <charset val="134"/>
      </rPr>
      <t>工程或费用名称</t>
    </r>
  </si>
  <si>
    <t>预算金额（万元）</t>
  </si>
  <si>
    <t>各项费用占总费用的比例（%）</t>
  </si>
  <si>
    <t>备注</t>
  </si>
  <si>
    <r>
      <rPr>
        <b/>
        <sz val="12"/>
        <rFont val="宋体"/>
        <charset val="134"/>
      </rPr>
      <t>（</t>
    </r>
    <r>
      <rPr>
        <b/>
        <sz val="12"/>
        <rFont val="Times New Roman"/>
        <charset val="134"/>
      </rPr>
      <t>1</t>
    </r>
    <r>
      <rPr>
        <b/>
        <sz val="12"/>
        <rFont val="宋体"/>
        <charset val="134"/>
      </rPr>
      <t>）</t>
    </r>
  </si>
  <si>
    <r>
      <rPr>
        <b/>
        <sz val="12"/>
        <rFont val="宋体"/>
        <charset val="134"/>
      </rPr>
      <t>（</t>
    </r>
    <r>
      <rPr>
        <b/>
        <sz val="12"/>
        <rFont val="Times New Roman"/>
        <charset val="134"/>
      </rPr>
      <t>2）</t>
    </r>
  </si>
  <si>
    <r>
      <rPr>
        <b/>
        <sz val="12"/>
        <rFont val="宋体"/>
        <charset val="134"/>
      </rPr>
      <t>（</t>
    </r>
    <r>
      <rPr>
        <b/>
        <sz val="12"/>
        <rFont val="Times New Roman"/>
        <charset val="134"/>
      </rPr>
      <t>3）</t>
    </r>
  </si>
  <si>
    <t>第一部分：工程施工费</t>
  </si>
  <si>
    <t>一</t>
  </si>
  <si>
    <t>二</t>
  </si>
  <si>
    <t>三</t>
  </si>
  <si>
    <t>四</t>
  </si>
  <si>
    <t>五</t>
  </si>
  <si>
    <t>第二部分：设备购置费</t>
  </si>
  <si>
    <t>第三部分：其他费用</t>
  </si>
  <si>
    <t>第四部分：不可预见费</t>
  </si>
  <si>
    <r>
      <rPr>
        <b/>
        <sz val="12"/>
        <rFont val="宋体"/>
        <charset val="134"/>
      </rPr>
      <t>总计</t>
    </r>
  </si>
  <si>
    <t>—</t>
  </si>
  <si>
    <t>工程概算表</t>
  </si>
  <si>
    <t>项目名称：宁夏致邦工贸有限公司生态环境恢复治理项目</t>
  </si>
  <si>
    <t>单位：万元</t>
  </si>
  <si>
    <t>编号</t>
  </si>
  <si>
    <t>工程费用名称</t>
  </si>
  <si>
    <t>建  安
工程费</t>
  </si>
  <si>
    <t>设  备
购置费</t>
  </si>
  <si>
    <t>独立      费用</t>
  </si>
  <si>
    <t>合计</t>
  </si>
  <si>
    <t>第一部分  建筑工程</t>
  </si>
  <si>
    <t>第二部分   施工临时工程</t>
  </si>
  <si>
    <t>第一至二部分投资合计</t>
  </si>
  <si>
    <t>第三部分  独立费用</t>
  </si>
  <si>
    <t>工程测量费（1.5%）</t>
  </si>
  <si>
    <t>工程监理费（1.2%）</t>
  </si>
  <si>
    <t>工程设计费（1.5%）</t>
  </si>
  <si>
    <t xml:space="preserve">
</t>
  </si>
  <si>
    <t>其他费用</t>
  </si>
  <si>
    <t>1</t>
  </si>
  <si>
    <t>清单控制价编制及审核费（0.8%）</t>
  </si>
  <si>
    <t>2</t>
  </si>
  <si>
    <t>结算审核费（0.5%）</t>
  </si>
  <si>
    <t>3</t>
  </si>
  <si>
    <t>竣工财务决算审核费（0.5%）</t>
  </si>
  <si>
    <t>第一至三部分投资合计</t>
  </si>
  <si>
    <t>工程总投资</t>
  </si>
  <si>
    <t>工程量统计</t>
  </si>
  <si>
    <t>王田</t>
  </si>
  <si>
    <t>于祥村</t>
  </si>
  <si>
    <t>谭渠村</t>
  </si>
  <si>
    <t>五渠村</t>
  </si>
  <si>
    <t>新华村</t>
  </si>
  <si>
    <t>旭光村</t>
  </si>
  <si>
    <t>建设规模</t>
  </si>
  <si>
    <t>平田整地</t>
  </si>
  <si>
    <t>土方量</t>
  </si>
  <si>
    <t>深翻耕</t>
  </si>
  <si>
    <t>激光平地机</t>
  </si>
  <si>
    <t>增施有机肥</t>
  </si>
  <si>
    <t>D100渠道</t>
  </si>
  <si>
    <t>D80渠道</t>
  </si>
  <si>
    <t>D60渠道</t>
  </si>
  <si>
    <t>D50渠道</t>
  </si>
  <si>
    <t>斗渠修建</t>
  </si>
  <si>
    <t>农沟</t>
  </si>
  <si>
    <r>
      <rPr>
        <b/>
        <sz val="14"/>
        <rFont val="宋体"/>
        <charset val="134"/>
      </rPr>
      <t>表</t>
    </r>
    <r>
      <rPr>
        <b/>
        <sz val="14"/>
        <rFont val="Times New Roman"/>
        <charset val="134"/>
      </rPr>
      <t xml:space="preserve">3-1 </t>
    </r>
  </si>
  <si>
    <t>工程施工费估算表</t>
  </si>
  <si>
    <r>
      <rPr>
        <sz val="11"/>
        <rFont val="宋体"/>
        <charset val="134"/>
      </rPr>
      <t>金额单位：元</t>
    </r>
  </si>
  <si>
    <r>
      <rPr>
        <b/>
        <sz val="11"/>
        <rFont val="宋体"/>
        <charset val="134"/>
      </rPr>
      <t>序号</t>
    </r>
  </si>
  <si>
    <r>
      <rPr>
        <b/>
        <sz val="11"/>
        <rFont val="宋体"/>
        <charset val="134"/>
      </rPr>
      <t>定额编号</t>
    </r>
  </si>
  <si>
    <r>
      <rPr>
        <b/>
        <sz val="11"/>
        <rFont val="宋体"/>
        <charset val="134"/>
      </rPr>
      <t>单项名称</t>
    </r>
  </si>
  <si>
    <r>
      <rPr>
        <b/>
        <sz val="11"/>
        <rFont val="宋体"/>
        <charset val="134"/>
      </rPr>
      <t>单位</t>
    </r>
  </si>
  <si>
    <r>
      <rPr>
        <b/>
        <sz val="11"/>
        <rFont val="宋体"/>
        <charset val="134"/>
      </rPr>
      <t>单位工程量</t>
    </r>
  </si>
  <si>
    <r>
      <rPr>
        <b/>
        <sz val="11"/>
        <rFont val="宋体"/>
        <charset val="134"/>
      </rPr>
      <t>工程量</t>
    </r>
  </si>
  <si>
    <r>
      <rPr>
        <b/>
        <sz val="11"/>
        <rFont val="宋体"/>
        <charset val="134"/>
      </rPr>
      <t>综合单价</t>
    </r>
  </si>
  <si>
    <r>
      <rPr>
        <b/>
        <sz val="11"/>
        <rFont val="宋体"/>
        <charset val="134"/>
      </rPr>
      <t>合计</t>
    </r>
  </si>
  <si>
    <r>
      <rPr>
        <b/>
        <sz val="11"/>
        <rFont val="宋体"/>
        <charset val="134"/>
      </rPr>
      <t>（</t>
    </r>
    <r>
      <rPr>
        <b/>
        <sz val="11"/>
        <rFont val="Times New Roman"/>
        <charset val="134"/>
      </rPr>
      <t>1</t>
    </r>
    <r>
      <rPr>
        <b/>
        <sz val="11"/>
        <rFont val="宋体"/>
        <charset val="134"/>
      </rPr>
      <t>）</t>
    </r>
  </si>
  <si>
    <r>
      <rPr>
        <b/>
        <sz val="11"/>
        <rFont val="宋体"/>
        <charset val="134"/>
      </rPr>
      <t>（</t>
    </r>
    <r>
      <rPr>
        <b/>
        <sz val="11"/>
        <rFont val="Times New Roman"/>
        <charset val="134"/>
      </rPr>
      <t>2）</t>
    </r>
  </si>
  <si>
    <r>
      <rPr>
        <b/>
        <sz val="11"/>
        <rFont val="宋体"/>
        <charset val="134"/>
      </rPr>
      <t>（</t>
    </r>
    <r>
      <rPr>
        <b/>
        <sz val="11"/>
        <rFont val="Times New Roman"/>
        <charset val="134"/>
      </rPr>
      <t>3）</t>
    </r>
  </si>
  <si>
    <r>
      <rPr>
        <b/>
        <sz val="11"/>
        <rFont val="宋体"/>
        <charset val="134"/>
      </rPr>
      <t>（</t>
    </r>
    <r>
      <rPr>
        <b/>
        <sz val="11"/>
        <rFont val="Times New Roman"/>
        <charset val="134"/>
      </rPr>
      <t>4）</t>
    </r>
  </si>
  <si>
    <r>
      <rPr>
        <b/>
        <sz val="11"/>
        <rFont val="宋体"/>
        <charset val="134"/>
      </rPr>
      <t>（</t>
    </r>
    <r>
      <rPr>
        <b/>
        <sz val="11"/>
        <rFont val="Times New Roman"/>
        <charset val="134"/>
      </rPr>
      <t>4</t>
    </r>
    <r>
      <rPr>
        <b/>
        <sz val="11"/>
        <rFont val="宋体"/>
        <charset val="134"/>
      </rPr>
      <t>）</t>
    </r>
  </si>
  <si>
    <r>
      <rPr>
        <b/>
        <sz val="11"/>
        <rFont val="宋体"/>
        <charset val="134"/>
      </rPr>
      <t>（</t>
    </r>
    <r>
      <rPr>
        <b/>
        <sz val="11"/>
        <rFont val="Times New Roman"/>
        <charset val="134"/>
      </rPr>
      <t>5）</t>
    </r>
  </si>
  <si>
    <r>
      <rPr>
        <b/>
        <sz val="11"/>
        <rFont val="宋体"/>
        <charset val="134"/>
      </rPr>
      <t>（</t>
    </r>
    <r>
      <rPr>
        <b/>
        <sz val="11"/>
        <rFont val="Times New Roman"/>
        <charset val="134"/>
      </rPr>
      <t>6）</t>
    </r>
  </si>
  <si>
    <r>
      <rPr>
        <b/>
        <sz val="11"/>
        <rFont val="宋体"/>
        <charset val="134"/>
      </rPr>
      <t>第一部分：矿山生态修复</t>
    </r>
  </si>
  <si>
    <r>
      <rPr>
        <b/>
        <sz val="11"/>
        <rFont val="宋体"/>
        <charset val="134"/>
      </rPr>
      <t>一</t>
    </r>
  </si>
  <si>
    <r>
      <rPr>
        <b/>
        <sz val="11"/>
        <rFont val="宋体"/>
        <charset val="134"/>
      </rPr>
      <t>打柴沟砂石料矿山生态修复</t>
    </r>
  </si>
  <si>
    <r>
      <rPr>
        <b/>
        <sz val="11"/>
        <rFont val="宋体"/>
        <charset val="134"/>
      </rPr>
      <t>（一）</t>
    </r>
  </si>
  <si>
    <r>
      <rPr>
        <b/>
        <sz val="11"/>
        <rFont val="宋体"/>
        <charset val="134"/>
      </rPr>
      <t>地形地貌重塑工程</t>
    </r>
  </si>
  <si>
    <r>
      <rPr>
        <b/>
        <sz val="11"/>
        <rFont val="宋体"/>
        <charset val="134"/>
      </rPr>
      <t>土地平整工程</t>
    </r>
  </si>
  <si>
    <r>
      <rPr>
        <b/>
        <sz val="11"/>
        <rFont val="Times New Roman"/>
        <charset val="134"/>
      </rPr>
      <t>hm</t>
    </r>
    <r>
      <rPr>
        <b/>
        <vertAlign val="superscript"/>
        <sz val="11"/>
        <rFont val="Times New Roman"/>
        <charset val="134"/>
      </rPr>
      <t>2</t>
    </r>
  </si>
  <si>
    <r>
      <rPr>
        <sz val="11"/>
        <rFont val="宋体"/>
        <charset val="134"/>
      </rPr>
      <t>（</t>
    </r>
    <r>
      <rPr>
        <sz val="11"/>
        <rFont val="Times New Roman"/>
        <charset val="134"/>
      </rPr>
      <t>1</t>
    </r>
    <r>
      <rPr>
        <sz val="11"/>
        <rFont val="宋体"/>
        <charset val="134"/>
      </rPr>
      <t>）</t>
    </r>
  </si>
  <si>
    <t>10304</t>
  </si>
  <si>
    <r>
      <rPr>
        <sz val="11"/>
        <rFont val="Times New Roman"/>
        <charset val="134"/>
      </rPr>
      <t>74kw</t>
    </r>
    <r>
      <rPr>
        <sz val="11"/>
        <rFont val="宋体"/>
        <charset val="134"/>
      </rPr>
      <t>推土机（Ⅱ类土，距离</t>
    </r>
    <r>
      <rPr>
        <sz val="11"/>
        <rFont val="Times New Roman"/>
        <charset val="134"/>
      </rPr>
      <t>0</t>
    </r>
    <r>
      <rPr>
        <sz val="11"/>
        <rFont val="宋体"/>
        <charset val="134"/>
      </rPr>
      <t>～</t>
    </r>
    <r>
      <rPr>
        <sz val="11"/>
        <rFont val="Times New Roman"/>
        <charset val="134"/>
      </rPr>
      <t>10m</t>
    </r>
    <r>
      <rPr>
        <sz val="11"/>
        <rFont val="宋体"/>
        <charset val="134"/>
      </rPr>
      <t>）</t>
    </r>
  </si>
  <si>
    <r>
      <rPr>
        <sz val="11"/>
        <rFont val="Times New Roman"/>
        <charset val="134"/>
      </rPr>
      <t>100m</t>
    </r>
    <r>
      <rPr>
        <vertAlign val="superscript"/>
        <sz val="11"/>
        <rFont val="Times New Roman"/>
        <charset val="134"/>
      </rPr>
      <t>3</t>
    </r>
  </si>
  <si>
    <r>
      <rPr>
        <sz val="11"/>
        <rFont val="宋体"/>
        <charset val="134"/>
      </rPr>
      <t>（</t>
    </r>
    <r>
      <rPr>
        <sz val="11"/>
        <rFont val="Times New Roman"/>
        <charset val="134"/>
      </rPr>
      <t>2）</t>
    </r>
  </si>
  <si>
    <t>10305</t>
  </si>
  <si>
    <r>
      <rPr>
        <sz val="11"/>
        <rFont val="Times New Roman"/>
        <charset val="134"/>
      </rPr>
      <t>74kw</t>
    </r>
    <r>
      <rPr>
        <sz val="11"/>
        <rFont val="宋体"/>
        <charset val="134"/>
      </rPr>
      <t>推土机（Ⅱ类土，距离</t>
    </r>
    <r>
      <rPr>
        <sz val="11"/>
        <rFont val="Times New Roman"/>
        <charset val="134"/>
      </rPr>
      <t>10</t>
    </r>
    <r>
      <rPr>
        <sz val="11"/>
        <rFont val="宋体"/>
        <charset val="134"/>
      </rPr>
      <t>～</t>
    </r>
    <r>
      <rPr>
        <sz val="11"/>
        <rFont val="Times New Roman"/>
        <charset val="134"/>
      </rPr>
      <t>20m</t>
    </r>
    <r>
      <rPr>
        <sz val="11"/>
        <rFont val="宋体"/>
        <charset val="134"/>
      </rPr>
      <t>）</t>
    </r>
  </si>
  <si>
    <r>
      <rPr>
        <sz val="11"/>
        <rFont val="宋体"/>
        <charset val="134"/>
      </rPr>
      <t>（</t>
    </r>
    <r>
      <rPr>
        <sz val="11"/>
        <rFont val="Times New Roman"/>
        <charset val="134"/>
      </rPr>
      <t>3）</t>
    </r>
  </si>
  <si>
    <t>10306</t>
  </si>
  <si>
    <r>
      <rPr>
        <sz val="11"/>
        <rFont val="Times New Roman"/>
        <charset val="134"/>
      </rPr>
      <t>74kw</t>
    </r>
    <r>
      <rPr>
        <sz val="11"/>
        <rFont val="宋体"/>
        <charset val="134"/>
      </rPr>
      <t>推土机（Ⅱ类土，距离</t>
    </r>
    <r>
      <rPr>
        <sz val="11"/>
        <rFont val="Times New Roman"/>
        <charset val="134"/>
      </rPr>
      <t>20</t>
    </r>
    <r>
      <rPr>
        <sz val="11"/>
        <rFont val="宋体"/>
        <charset val="134"/>
      </rPr>
      <t>～</t>
    </r>
    <r>
      <rPr>
        <sz val="11"/>
        <rFont val="Times New Roman"/>
        <charset val="134"/>
      </rPr>
      <t>30m</t>
    </r>
    <r>
      <rPr>
        <sz val="11"/>
        <rFont val="宋体"/>
        <charset val="134"/>
      </rPr>
      <t>）</t>
    </r>
  </si>
  <si>
    <r>
      <rPr>
        <b/>
        <sz val="11"/>
        <rFont val="宋体"/>
        <charset val="134"/>
      </rPr>
      <t>（二）</t>
    </r>
  </si>
  <si>
    <r>
      <rPr>
        <b/>
        <sz val="11"/>
        <rFont val="宋体"/>
        <charset val="134"/>
      </rPr>
      <t>生态环境保持工程</t>
    </r>
  </si>
  <si>
    <r>
      <rPr>
        <b/>
        <sz val="11"/>
        <rFont val="宋体"/>
        <charset val="134"/>
      </rPr>
      <t>平地绿化</t>
    </r>
  </si>
  <si>
    <t>90001</t>
  </si>
  <si>
    <r>
      <rPr>
        <sz val="11"/>
        <rFont val="宋体"/>
        <charset val="134"/>
      </rPr>
      <t>乔木种植（云杉，</t>
    </r>
    <r>
      <rPr>
        <sz val="11"/>
        <rFont val="Times New Roman"/>
        <charset val="134"/>
      </rPr>
      <t>0.5m</t>
    </r>
    <r>
      <rPr>
        <sz val="11"/>
        <rFont val="宋体"/>
        <charset val="134"/>
      </rPr>
      <t>以上）</t>
    </r>
  </si>
  <si>
    <r>
      <rPr>
        <sz val="11"/>
        <rFont val="宋体"/>
        <charset val="134"/>
      </rPr>
      <t>株</t>
    </r>
  </si>
  <si>
    <t>90007</t>
  </si>
  <si>
    <r>
      <rPr>
        <sz val="11"/>
        <rFont val="宋体"/>
        <charset val="134"/>
      </rPr>
      <t>乔木种植（丁香，</t>
    </r>
    <r>
      <rPr>
        <sz val="11"/>
        <rFont val="Times New Roman"/>
        <charset val="134"/>
      </rPr>
      <t>5</t>
    </r>
    <r>
      <rPr>
        <sz val="11"/>
        <rFont val="宋体"/>
        <charset val="134"/>
      </rPr>
      <t>分枝以上）</t>
    </r>
  </si>
  <si>
    <r>
      <rPr>
        <sz val="11"/>
        <rFont val="宋体"/>
        <charset val="134"/>
      </rPr>
      <t>乔木种植（油松，带土球，</t>
    </r>
    <r>
      <rPr>
        <sz val="11"/>
        <rFont val="Times New Roman"/>
        <charset val="134"/>
      </rPr>
      <t>1m</t>
    </r>
    <r>
      <rPr>
        <sz val="11"/>
        <rFont val="宋体"/>
        <charset val="134"/>
      </rPr>
      <t>以上）</t>
    </r>
  </si>
  <si>
    <r>
      <rPr>
        <sz val="11"/>
        <rFont val="宋体"/>
        <charset val="134"/>
      </rPr>
      <t>（</t>
    </r>
    <r>
      <rPr>
        <sz val="11"/>
        <rFont val="Times New Roman"/>
        <charset val="134"/>
      </rPr>
      <t>4）</t>
    </r>
  </si>
  <si>
    <t>90018</t>
  </si>
  <si>
    <r>
      <rPr>
        <sz val="11"/>
        <rFont val="宋体"/>
        <charset val="134"/>
      </rPr>
      <t>灌木种植（紫穗槐）</t>
    </r>
  </si>
  <si>
    <r>
      <rPr>
        <sz val="11"/>
        <rFont val="宋体"/>
        <charset val="134"/>
      </rPr>
      <t>（</t>
    </r>
    <r>
      <rPr>
        <sz val="11"/>
        <rFont val="Times New Roman"/>
        <charset val="134"/>
      </rPr>
      <t>5）</t>
    </r>
  </si>
  <si>
    <t>90030</t>
  </si>
  <si>
    <r>
      <rPr>
        <sz val="11"/>
        <rFont val="宋体"/>
        <charset val="134"/>
      </rPr>
      <t>撒播草籽（狗尾草）</t>
    </r>
  </si>
  <si>
    <r>
      <rPr>
        <sz val="11"/>
        <rFont val="Times New Roman"/>
        <charset val="134"/>
      </rPr>
      <t>hm</t>
    </r>
    <r>
      <rPr>
        <vertAlign val="superscript"/>
        <sz val="11"/>
        <rFont val="Times New Roman"/>
        <charset val="134"/>
      </rPr>
      <t>2</t>
    </r>
  </si>
  <si>
    <r>
      <rPr>
        <sz val="11"/>
        <rFont val="宋体"/>
        <charset val="134"/>
      </rPr>
      <t>（</t>
    </r>
    <r>
      <rPr>
        <sz val="11"/>
        <rFont val="Times New Roman"/>
        <charset val="134"/>
      </rPr>
      <t>6）</t>
    </r>
  </si>
  <si>
    <t>-</t>
  </si>
  <si>
    <r>
      <rPr>
        <sz val="11"/>
        <rFont val="宋体"/>
        <charset val="134"/>
      </rPr>
      <t>苗木养护（养护期</t>
    </r>
    <r>
      <rPr>
        <sz val="11"/>
        <rFont val="Times New Roman"/>
        <charset val="134"/>
      </rPr>
      <t>2</t>
    </r>
    <r>
      <rPr>
        <sz val="11"/>
        <rFont val="宋体"/>
        <charset val="134"/>
      </rPr>
      <t>年）</t>
    </r>
  </si>
  <si>
    <r>
      <rPr>
        <b/>
        <sz val="11"/>
        <rFont val="宋体"/>
        <charset val="134"/>
      </rPr>
      <t>坡面绿化</t>
    </r>
  </si>
  <si>
    <r>
      <rPr>
        <sz val="11"/>
        <rFont val="宋体"/>
        <charset val="134"/>
      </rPr>
      <t>补充</t>
    </r>
    <r>
      <rPr>
        <sz val="11"/>
        <rFont val="Times New Roman"/>
        <charset val="134"/>
      </rPr>
      <t>-1</t>
    </r>
  </si>
  <si>
    <r>
      <rPr>
        <sz val="11"/>
        <rFont val="宋体"/>
        <charset val="134"/>
      </rPr>
      <t>削坡工程量（坡度</t>
    </r>
    <r>
      <rPr>
        <sz val="11"/>
        <rFont val="Times New Roman"/>
        <charset val="134"/>
      </rPr>
      <t>1</t>
    </r>
    <r>
      <rPr>
        <sz val="11"/>
        <rFont val="宋体"/>
        <charset val="134"/>
      </rPr>
      <t>：</t>
    </r>
    <r>
      <rPr>
        <sz val="11"/>
        <rFont val="Times New Roman"/>
        <charset val="134"/>
      </rPr>
      <t>1</t>
    </r>
    <r>
      <rPr>
        <sz val="11"/>
        <rFont val="宋体"/>
        <charset val="134"/>
      </rPr>
      <t>）</t>
    </r>
  </si>
  <si>
    <t>90029</t>
  </si>
  <si>
    <r>
      <rPr>
        <sz val="11"/>
        <rFont val="宋体"/>
        <charset val="134"/>
      </rPr>
      <t>穴播种草（沙蒿、冰草）</t>
    </r>
  </si>
  <si>
    <t>草皮管护（管护2年）</t>
  </si>
  <si>
    <r>
      <rPr>
        <b/>
        <sz val="11"/>
        <rFont val="宋体"/>
        <charset val="134"/>
      </rPr>
      <t>（三）</t>
    </r>
  </si>
  <si>
    <r>
      <rPr>
        <b/>
        <sz val="11"/>
        <rFont val="宋体"/>
        <charset val="134"/>
      </rPr>
      <t>标识牌设置工程</t>
    </r>
  </si>
  <si>
    <r>
      <rPr>
        <sz val="11"/>
        <rFont val="宋体"/>
        <charset val="134"/>
      </rPr>
      <t>机械土方开挖</t>
    </r>
  </si>
  <si>
    <r>
      <rPr>
        <sz val="11"/>
        <rFont val="Times New Roman"/>
        <charset val="134"/>
      </rPr>
      <t>m</t>
    </r>
    <r>
      <rPr>
        <vertAlign val="superscript"/>
        <sz val="11"/>
        <rFont val="Times New Roman"/>
        <charset val="134"/>
      </rPr>
      <t>3</t>
    </r>
  </si>
  <si>
    <r>
      <rPr>
        <sz val="11"/>
        <rFont val="宋体"/>
        <charset val="134"/>
      </rPr>
      <t>土方回填</t>
    </r>
  </si>
  <si>
    <r>
      <rPr>
        <sz val="11"/>
        <rFont val="宋体"/>
        <charset val="134"/>
      </rPr>
      <t>市场价</t>
    </r>
  </si>
  <si>
    <r>
      <rPr>
        <sz val="11"/>
        <rFont val="Times New Roman"/>
        <charset val="134"/>
      </rPr>
      <t>1.8×2m</t>
    </r>
    <r>
      <rPr>
        <sz val="11"/>
        <rFont val="宋体"/>
        <charset val="134"/>
      </rPr>
      <t>砼瓷砖面标识牌</t>
    </r>
  </si>
  <si>
    <r>
      <rPr>
        <sz val="11"/>
        <rFont val="宋体"/>
        <charset val="134"/>
      </rPr>
      <t>座</t>
    </r>
    <r>
      <rPr>
        <sz val="11"/>
        <rFont val="Times New Roman"/>
        <charset val="134"/>
      </rPr>
      <t xml:space="preserve"> </t>
    </r>
  </si>
  <si>
    <r>
      <rPr>
        <b/>
        <sz val="11"/>
        <rFont val="宋体"/>
        <charset val="134"/>
      </rPr>
      <t>二</t>
    </r>
  </si>
  <si>
    <r>
      <rPr>
        <b/>
        <sz val="11"/>
        <rFont val="宋体"/>
        <charset val="134"/>
      </rPr>
      <t>前儿沟砂石料矿山生态修复</t>
    </r>
  </si>
  <si>
    <r>
      <rPr>
        <b/>
        <sz val="11"/>
        <rFont val="宋体"/>
        <charset val="134"/>
      </rPr>
      <t>平地绿化（含</t>
    </r>
    <r>
      <rPr>
        <b/>
        <sz val="11"/>
        <rFont val="Times New Roman"/>
        <charset val="134"/>
      </rPr>
      <t>2</t>
    </r>
    <r>
      <rPr>
        <b/>
        <sz val="11"/>
        <rFont val="宋体"/>
        <charset val="134"/>
      </rPr>
      <t>年养护）</t>
    </r>
  </si>
  <si>
    <r>
      <rPr>
        <sz val="11"/>
        <rFont val="Times New Roman"/>
        <charset val="134"/>
      </rPr>
      <t>100m</t>
    </r>
    <r>
      <rPr>
        <vertAlign val="superscript"/>
        <sz val="11"/>
        <rFont val="Times New Roman"/>
        <charset val="134"/>
      </rPr>
      <t>2</t>
    </r>
  </si>
  <si>
    <r>
      <rPr>
        <b/>
        <sz val="11"/>
        <rFont val="宋体"/>
        <charset val="134"/>
      </rPr>
      <t>第二部分：庄点绿化美化</t>
    </r>
  </si>
  <si>
    <r>
      <rPr>
        <b/>
        <sz val="11"/>
        <rFont val="宋体"/>
        <charset val="134"/>
      </rPr>
      <t>金堡村庄点绿化美化</t>
    </r>
  </si>
  <si>
    <r>
      <rPr>
        <b/>
        <sz val="11"/>
        <rFont val="宋体"/>
        <charset val="134"/>
      </rPr>
      <t>平田整地</t>
    </r>
  </si>
  <si>
    <r>
      <rPr>
        <b/>
        <sz val="11"/>
        <rFont val="宋体"/>
        <charset val="134"/>
      </rPr>
      <t>枯树挖除</t>
    </r>
  </si>
  <si>
    <t>10356</t>
  </si>
  <si>
    <r>
      <rPr>
        <sz val="11"/>
        <rFont val="宋体"/>
        <charset val="134"/>
      </rPr>
      <t>树木砍伐</t>
    </r>
  </si>
  <si>
    <r>
      <rPr>
        <sz val="11"/>
        <rFont val="Times New Roman"/>
        <charset val="134"/>
      </rPr>
      <t>100</t>
    </r>
    <r>
      <rPr>
        <sz val="11"/>
        <rFont val="宋体"/>
        <charset val="134"/>
      </rPr>
      <t>株</t>
    </r>
  </si>
  <si>
    <t>10363</t>
  </si>
  <si>
    <r>
      <rPr>
        <sz val="11"/>
        <rFont val="宋体"/>
        <charset val="134"/>
      </rPr>
      <t>挖树根</t>
    </r>
  </si>
  <si>
    <r>
      <rPr>
        <b/>
        <sz val="11"/>
        <rFont val="宋体"/>
        <charset val="134"/>
      </rPr>
      <t>覆土回填</t>
    </r>
  </si>
  <si>
    <t>10218</t>
  </si>
  <si>
    <r>
      <rPr>
        <sz val="11"/>
        <rFont val="宋体"/>
        <charset val="134"/>
      </rPr>
      <t>外运土方（</t>
    </r>
    <r>
      <rPr>
        <sz val="11"/>
        <rFont val="Times New Roman"/>
        <charset val="134"/>
      </rPr>
      <t>0</t>
    </r>
    <r>
      <rPr>
        <sz val="11"/>
        <rFont val="宋体"/>
        <charset val="134"/>
      </rPr>
      <t>～</t>
    </r>
    <r>
      <rPr>
        <sz val="11"/>
        <rFont val="Times New Roman"/>
        <charset val="134"/>
      </rPr>
      <t>0.5km</t>
    </r>
    <r>
      <rPr>
        <sz val="11"/>
        <rFont val="宋体"/>
        <charset val="134"/>
      </rPr>
      <t>）</t>
    </r>
  </si>
  <si>
    <t>10328</t>
  </si>
  <si>
    <r>
      <rPr>
        <sz val="11"/>
        <rFont val="宋体"/>
        <charset val="134"/>
      </rPr>
      <t>人工平土</t>
    </r>
  </si>
  <si>
    <r>
      <rPr>
        <b/>
        <sz val="11"/>
        <rFont val="宋体"/>
        <charset val="134"/>
      </rPr>
      <t>苗木种植</t>
    </r>
  </si>
  <si>
    <r>
      <rPr>
        <sz val="11"/>
        <rFont val="宋体"/>
        <charset val="134"/>
      </rPr>
      <t>果树种植（红梅杏，</t>
    </r>
    <r>
      <rPr>
        <sz val="11"/>
        <rFont val="Times New Roman"/>
        <charset val="134"/>
      </rPr>
      <t>3cm</t>
    </r>
    <r>
      <rPr>
        <sz val="11"/>
        <rFont val="宋体"/>
        <charset val="134"/>
      </rPr>
      <t>以上）</t>
    </r>
  </si>
  <si>
    <r>
      <rPr>
        <sz val="11"/>
        <rFont val="宋体"/>
        <charset val="134"/>
      </rPr>
      <t>果树种植（皇冠梨，</t>
    </r>
    <r>
      <rPr>
        <sz val="11"/>
        <rFont val="Times New Roman"/>
        <charset val="134"/>
      </rPr>
      <t>3cm</t>
    </r>
    <r>
      <rPr>
        <sz val="11"/>
        <rFont val="宋体"/>
        <charset val="134"/>
      </rPr>
      <t>以上）</t>
    </r>
  </si>
  <si>
    <r>
      <rPr>
        <sz val="11"/>
        <rFont val="宋体"/>
        <charset val="134"/>
      </rPr>
      <t>果树种植（大果榛子，高</t>
    </r>
    <r>
      <rPr>
        <sz val="11"/>
        <rFont val="Times New Roman"/>
        <charset val="134"/>
      </rPr>
      <t>70cm</t>
    </r>
    <r>
      <rPr>
        <sz val="11"/>
        <rFont val="宋体"/>
        <charset val="134"/>
      </rPr>
      <t>以上）</t>
    </r>
  </si>
  <si>
    <r>
      <rPr>
        <sz val="11"/>
        <rFont val="宋体"/>
        <charset val="134"/>
      </rPr>
      <t>灌木种植（刺玫，</t>
    </r>
    <r>
      <rPr>
        <sz val="11"/>
        <rFont val="Times New Roman"/>
        <charset val="134"/>
      </rPr>
      <t>8</t>
    </r>
    <r>
      <rPr>
        <sz val="11"/>
        <rFont val="宋体"/>
        <charset val="134"/>
      </rPr>
      <t>分枝以上）</t>
    </r>
  </si>
  <si>
    <r>
      <rPr>
        <b/>
        <sz val="11"/>
        <rFont val="宋体"/>
        <charset val="134"/>
      </rPr>
      <t>杨郎村庄点绿化美化</t>
    </r>
  </si>
  <si>
    <r>
      <rPr>
        <b/>
        <sz val="11"/>
        <rFont val="宋体"/>
        <charset val="134"/>
      </rPr>
      <t>第三部分：经济林改造提升</t>
    </r>
  </si>
  <si>
    <r>
      <rPr>
        <b/>
        <sz val="11"/>
        <rFont val="宋体"/>
        <charset val="134"/>
      </rPr>
      <t>灌溉与排水工程</t>
    </r>
  </si>
  <si>
    <r>
      <rPr>
        <b/>
        <sz val="11"/>
        <rFont val="宋体"/>
        <charset val="134"/>
      </rPr>
      <t>蓄水池改造及维修</t>
    </r>
  </si>
  <si>
    <r>
      <rPr>
        <b/>
        <sz val="11"/>
        <rFont val="宋体"/>
        <charset val="134"/>
      </rPr>
      <t>座</t>
    </r>
  </si>
  <si>
    <r>
      <rPr>
        <b/>
        <sz val="11"/>
        <rFont val="宋体"/>
        <charset val="134"/>
      </rPr>
      <t>主干管</t>
    </r>
  </si>
  <si>
    <t>2.1</t>
  </si>
  <si>
    <r>
      <rPr>
        <b/>
        <sz val="11"/>
        <rFont val="宋体"/>
        <charset val="134"/>
      </rPr>
      <t>管材及管件</t>
    </r>
  </si>
  <si>
    <r>
      <rPr>
        <sz val="11"/>
        <rFont val="Times New Roman"/>
        <charset val="134"/>
      </rPr>
      <t>U-PVC</t>
    </r>
    <r>
      <rPr>
        <sz val="11"/>
        <rFont val="宋体"/>
        <charset val="134"/>
      </rPr>
      <t>管（</t>
    </r>
    <r>
      <rPr>
        <sz val="11"/>
        <rFont val="Times New Roman"/>
        <charset val="134"/>
      </rPr>
      <t>De160mm</t>
    </r>
    <r>
      <rPr>
        <sz val="11"/>
        <rFont val="宋体"/>
        <charset val="134"/>
      </rPr>
      <t>，</t>
    </r>
    <r>
      <rPr>
        <sz val="11"/>
        <rFont val="Times New Roman"/>
        <charset val="134"/>
      </rPr>
      <t>0.6MPa</t>
    </r>
    <r>
      <rPr>
        <sz val="11"/>
        <rFont val="宋体"/>
        <charset val="134"/>
      </rPr>
      <t>）</t>
    </r>
  </si>
  <si>
    <t>m</t>
  </si>
  <si>
    <r>
      <rPr>
        <sz val="11"/>
        <rFont val="Times New Roman"/>
        <charset val="134"/>
      </rPr>
      <t>U-PVC</t>
    </r>
    <r>
      <rPr>
        <sz val="11"/>
        <rFont val="宋体"/>
        <charset val="134"/>
      </rPr>
      <t>管（</t>
    </r>
    <r>
      <rPr>
        <sz val="11"/>
        <rFont val="Times New Roman"/>
        <charset val="134"/>
      </rPr>
      <t>De110mm</t>
    </r>
    <r>
      <rPr>
        <sz val="11"/>
        <rFont val="宋体"/>
        <charset val="134"/>
      </rPr>
      <t>，</t>
    </r>
    <r>
      <rPr>
        <sz val="11"/>
        <rFont val="Times New Roman"/>
        <charset val="134"/>
      </rPr>
      <t>0.6MPa</t>
    </r>
    <r>
      <rPr>
        <sz val="11"/>
        <rFont val="宋体"/>
        <charset val="134"/>
      </rPr>
      <t>）</t>
    </r>
  </si>
  <si>
    <r>
      <rPr>
        <sz val="11"/>
        <rFont val="宋体"/>
        <charset val="134"/>
      </rPr>
      <t>管件及安装</t>
    </r>
  </si>
  <si>
    <t>%</t>
  </si>
  <si>
    <t>2.2</t>
  </si>
  <si>
    <r>
      <rPr>
        <b/>
        <sz val="11"/>
        <rFont val="宋体"/>
        <charset val="134"/>
      </rPr>
      <t>土方工程</t>
    </r>
  </si>
  <si>
    <t>10203</t>
  </si>
  <si>
    <r>
      <rPr>
        <sz val="11"/>
        <rFont val="宋体"/>
        <charset val="134"/>
      </rPr>
      <t>土方开挖</t>
    </r>
  </si>
  <si>
    <r>
      <rPr>
        <b/>
        <sz val="11"/>
        <rFont val="宋体"/>
        <charset val="134"/>
      </rPr>
      <t>辅管及灌水器</t>
    </r>
  </si>
  <si>
    <t>3.1</t>
  </si>
  <si>
    <r>
      <rPr>
        <b/>
        <sz val="11"/>
        <rFont val="宋体"/>
        <charset val="134"/>
      </rPr>
      <t>管材及管件（含安装）</t>
    </r>
  </si>
  <si>
    <r>
      <rPr>
        <sz val="11"/>
        <rFont val="Times New Roman"/>
        <charset val="134"/>
      </rPr>
      <t>PE</t>
    </r>
    <r>
      <rPr>
        <sz val="11"/>
        <rFont val="宋体"/>
        <charset val="134"/>
      </rPr>
      <t>滴灌管（</t>
    </r>
    <r>
      <rPr>
        <sz val="11"/>
        <rFont val="Times New Roman"/>
        <charset val="134"/>
      </rPr>
      <t>De25</t>
    </r>
    <r>
      <rPr>
        <sz val="11"/>
        <rFont val="宋体"/>
        <charset val="134"/>
      </rPr>
      <t>，</t>
    </r>
    <r>
      <rPr>
        <sz val="11"/>
        <rFont val="Times New Roman"/>
        <charset val="134"/>
      </rPr>
      <t>0.25MPa</t>
    </r>
    <r>
      <rPr>
        <sz val="11"/>
        <rFont val="宋体"/>
        <charset val="134"/>
      </rPr>
      <t>，</t>
    </r>
    <r>
      <rPr>
        <sz val="11"/>
        <rFont val="Times New Roman"/>
        <charset val="134"/>
      </rPr>
      <t>0.8mm</t>
    </r>
    <r>
      <rPr>
        <sz val="11"/>
        <rFont val="宋体"/>
        <charset val="134"/>
      </rPr>
      <t>）</t>
    </r>
  </si>
  <si>
    <r>
      <rPr>
        <sz val="11"/>
        <rFont val="宋体"/>
        <charset val="134"/>
      </rPr>
      <t>非压力补偿滴头（</t>
    </r>
    <r>
      <rPr>
        <sz val="11"/>
        <rFont val="Times New Roman"/>
        <charset val="134"/>
      </rPr>
      <t>3L/h</t>
    </r>
    <r>
      <rPr>
        <sz val="11"/>
        <rFont val="宋体"/>
        <charset val="134"/>
      </rPr>
      <t>，</t>
    </r>
    <r>
      <rPr>
        <sz val="11"/>
        <rFont val="Times New Roman"/>
        <charset val="134"/>
      </rPr>
      <t>0.1MPa</t>
    </r>
    <r>
      <rPr>
        <sz val="11"/>
        <rFont val="宋体"/>
        <charset val="134"/>
      </rPr>
      <t>）</t>
    </r>
  </si>
  <si>
    <r>
      <rPr>
        <sz val="11"/>
        <rFont val="宋体"/>
        <charset val="134"/>
      </rPr>
      <t>个</t>
    </r>
  </si>
  <si>
    <t>4</t>
  </si>
  <si>
    <r>
      <rPr>
        <b/>
        <sz val="11"/>
        <rFont val="宋体"/>
        <charset val="134"/>
      </rPr>
      <t>首部工程</t>
    </r>
  </si>
  <si>
    <t>4.1</t>
  </si>
  <si>
    <r>
      <rPr>
        <b/>
        <sz val="11"/>
        <rFont val="宋体"/>
        <charset val="134"/>
      </rPr>
      <t>管理房（</t>
    </r>
    <r>
      <rPr>
        <b/>
        <sz val="11"/>
        <rFont val="Times New Roman"/>
        <charset val="134"/>
      </rPr>
      <t>6*9m</t>
    </r>
    <r>
      <rPr>
        <b/>
        <sz val="11"/>
        <rFont val="宋体"/>
        <charset val="134"/>
      </rPr>
      <t>）</t>
    </r>
  </si>
  <si>
    <r>
      <rPr>
        <sz val="11"/>
        <rFont val="宋体"/>
        <charset val="134"/>
      </rPr>
      <t>管理房建造</t>
    </r>
  </si>
  <si>
    <r>
      <rPr>
        <sz val="11"/>
        <rFont val="Times New Roman"/>
        <charset val="134"/>
      </rPr>
      <t>m</t>
    </r>
    <r>
      <rPr>
        <vertAlign val="superscript"/>
        <sz val="11"/>
        <rFont val="Times New Roman"/>
        <charset val="134"/>
      </rPr>
      <t>2</t>
    </r>
  </si>
  <si>
    <t>4.2</t>
  </si>
  <si>
    <r>
      <rPr>
        <b/>
        <sz val="11"/>
        <rFont val="宋体"/>
        <charset val="134"/>
      </rPr>
      <t>电力设备（含安装费）</t>
    </r>
  </si>
  <si>
    <r>
      <rPr>
        <sz val="11"/>
        <rFont val="宋体"/>
        <charset val="134"/>
      </rPr>
      <t>变压器（</t>
    </r>
    <r>
      <rPr>
        <sz val="11"/>
        <rFont val="Times New Roman"/>
        <charset val="134"/>
      </rPr>
      <t>S11</t>
    </r>
    <r>
      <rPr>
        <sz val="11"/>
        <rFont val="宋体"/>
        <charset val="134"/>
      </rPr>
      <t>，</t>
    </r>
    <r>
      <rPr>
        <sz val="11"/>
        <rFont val="Times New Roman"/>
        <charset val="134"/>
      </rPr>
      <t>50KVa</t>
    </r>
    <r>
      <rPr>
        <sz val="11"/>
        <rFont val="宋体"/>
        <charset val="134"/>
      </rPr>
      <t>）</t>
    </r>
  </si>
  <si>
    <r>
      <rPr>
        <sz val="11"/>
        <rFont val="宋体"/>
        <charset val="134"/>
      </rPr>
      <t>台</t>
    </r>
  </si>
  <si>
    <r>
      <rPr>
        <sz val="11"/>
        <rFont val="宋体"/>
        <charset val="134"/>
      </rPr>
      <t>高压输电线（</t>
    </r>
    <r>
      <rPr>
        <sz val="11"/>
        <rFont val="Times New Roman"/>
        <charset val="134"/>
      </rPr>
      <t>10Kv</t>
    </r>
    <r>
      <rPr>
        <sz val="11"/>
        <rFont val="宋体"/>
        <charset val="134"/>
      </rPr>
      <t>）</t>
    </r>
  </si>
  <si>
    <t>km</t>
  </si>
  <si>
    <r>
      <rPr>
        <sz val="11"/>
        <rFont val="宋体"/>
        <charset val="134"/>
      </rPr>
      <t>低压配电线（</t>
    </r>
    <r>
      <rPr>
        <sz val="11"/>
        <rFont val="Times New Roman"/>
        <charset val="134"/>
      </rPr>
      <t>0.4Kv</t>
    </r>
    <r>
      <rPr>
        <sz val="11"/>
        <rFont val="宋体"/>
        <charset val="134"/>
      </rPr>
      <t>）</t>
    </r>
  </si>
  <si>
    <r>
      <rPr>
        <sz val="11"/>
        <rFont val="宋体"/>
        <charset val="134"/>
      </rPr>
      <t>电力控制设备</t>
    </r>
  </si>
  <si>
    <r>
      <rPr>
        <sz val="11"/>
        <rFont val="宋体"/>
        <charset val="134"/>
      </rPr>
      <t>套</t>
    </r>
  </si>
  <si>
    <t>4.3</t>
  </si>
  <si>
    <r>
      <rPr>
        <b/>
        <sz val="11"/>
        <rFont val="宋体"/>
        <charset val="134"/>
      </rPr>
      <t>首部安装及调试</t>
    </r>
  </si>
  <si>
    <r>
      <rPr>
        <sz val="11"/>
        <rFont val="宋体"/>
        <charset val="134"/>
      </rPr>
      <t>造价信息</t>
    </r>
  </si>
  <si>
    <r>
      <rPr>
        <sz val="11"/>
        <rFont val="宋体"/>
        <charset val="134"/>
      </rPr>
      <t>潜水泵（</t>
    </r>
    <r>
      <rPr>
        <sz val="11"/>
        <rFont val="Times New Roman"/>
        <charset val="134"/>
      </rPr>
      <t>200m</t>
    </r>
    <r>
      <rPr>
        <vertAlign val="superscript"/>
        <sz val="11"/>
        <rFont val="Times New Roman"/>
        <charset val="134"/>
      </rPr>
      <t>3</t>
    </r>
    <r>
      <rPr>
        <sz val="11"/>
        <rFont val="Times New Roman"/>
        <charset val="134"/>
      </rPr>
      <t>/h</t>
    </r>
    <r>
      <rPr>
        <sz val="11"/>
        <rFont val="宋体"/>
        <charset val="134"/>
      </rPr>
      <t>，</t>
    </r>
    <r>
      <rPr>
        <sz val="11"/>
        <rFont val="Times New Roman"/>
        <charset val="134"/>
      </rPr>
      <t>45m</t>
    </r>
    <r>
      <rPr>
        <sz val="11"/>
        <rFont val="宋体"/>
        <charset val="134"/>
      </rPr>
      <t>）</t>
    </r>
  </si>
  <si>
    <r>
      <rPr>
        <sz val="11"/>
        <rFont val="宋体"/>
        <charset val="134"/>
      </rPr>
      <t>砂石</t>
    </r>
    <r>
      <rPr>
        <sz val="11"/>
        <rFont val="Times New Roman"/>
        <charset val="134"/>
      </rPr>
      <t>+</t>
    </r>
    <r>
      <rPr>
        <sz val="11"/>
        <rFont val="宋体"/>
        <charset val="134"/>
      </rPr>
      <t>网式过滤器组合（</t>
    </r>
    <r>
      <rPr>
        <sz val="11"/>
        <rFont val="Times New Roman"/>
        <charset val="134"/>
      </rPr>
      <t>200m</t>
    </r>
    <r>
      <rPr>
        <vertAlign val="superscript"/>
        <sz val="11"/>
        <rFont val="Times New Roman"/>
        <charset val="134"/>
      </rPr>
      <t>3</t>
    </r>
    <r>
      <rPr>
        <sz val="11"/>
        <rFont val="Times New Roman"/>
        <charset val="134"/>
      </rPr>
      <t>/h</t>
    </r>
    <r>
      <rPr>
        <sz val="11"/>
        <rFont val="宋体"/>
        <charset val="134"/>
      </rPr>
      <t>）</t>
    </r>
  </si>
  <si>
    <r>
      <rPr>
        <sz val="11"/>
        <rFont val="宋体"/>
        <charset val="134"/>
      </rPr>
      <t>其他设备</t>
    </r>
  </si>
  <si>
    <r>
      <rPr>
        <b/>
        <sz val="11"/>
        <rFont val="宋体"/>
        <charset val="134"/>
      </rPr>
      <t>经济林改造提升</t>
    </r>
  </si>
  <si>
    <r>
      <rPr>
        <b/>
        <sz val="11"/>
        <rFont val="宋体"/>
        <charset val="134"/>
      </rPr>
      <t>弱树、虚旺低效果木挖除</t>
    </r>
  </si>
  <si>
    <t>10368</t>
  </si>
  <si>
    <r>
      <rPr>
        <b/>
        <sz val="11"/>
        <rFont val="宋体"/>
        <charset val="134"/>
      </rPr>
      <t>果树种植</t>
    </r>
  </si>
  <si>
    <r>
      <rPr>
        <sz val="11"/>
        <rFont val="宋体"/>
        <charset val="134"/>
      </rPr>
      <t>果树种植（文冠果，</t>
    </r>
    <r>
      <rPr>
        <sz val="11"/>
        <rFont val="Times New Roman"/>
        <charset val="134"/>
      </rPr>
      <t>3cm</t>
    </r>
    <r>
      <rPr>
        <sz val="11"/>
        <rFont val="宋体"/>
        <charset val="134"/>
      </rPr>
      <t>以上）</t>
    </r>
  </si>
  <si>
    <r>
      <rPr>
        <b/>
        <sz val="11"/>
        <rFont val="宋体"/>
        <charset val="134"/>
      </rPr>
      <t>第四部分：大营河流域生态治理</t>
    </r>
  </si>
  <si>
    <r>
      <rPr>
        <b/>
        <sz val="11"/>
        <rFont val="宋体"/>
        <charset val="134"/>
      </rPr>
      <t>采砂坑治理</t>
    </r>
  </si>
  <si>
    <r>
      <rPr>
        <b/>
        <sz val="11"/>
        <rFont val="宋体"/>
        <charset val="134"/>
      </rPr>
      <t>采坑回填</t>
    </r>
  </si>
  <si>
    <r>
      <rPr>
        <sz val="11"/>
        <rFont val="宋体"/>
        <charset val="134"/>
      </rPr>
      <t>土方调运（距离</t>
    </r>
    <r>
      <rPr>
        <sz val="11"/>
        <rFont val="Times New Roman"/>
        <charset val="134"/>
      </rPr>
      <t>0</t>
    </r>
    <r>
      <rPr>
        <sz val="11"/>
        <rFont val="宋体"/>
        <charset val="134"/>
      </rPr>
      <t>～</t>
    </r>
    <r>
      <rPr>
        <sz val="11"/>
        <rFont val="Times New Roman"/>
        <charset val="134"/>
      </rPr>
      <t>0.5km</t>
    </r>
    <r>
      <rPr>
        <sz val="11"/>
        <rFont val="宋体"/>
        <charset val="134"/>
      </rPr>
      <t>）</t>
    </r>
  </si>
  <si>
    <t>10219</t>
  </si>
  <si>
    <r>
      <rPr>
        <sz val="11"/>
        <rFont val="宋体"/>
        <charset val="134"/>
      </rPr>
      <t>土方调运（距离</t>
    </r>
    <r>
      <rPr>
        <sz val="11"/>
        <rFont val="Times New Roman"/>
        <charset val="134"/>
      </rPr>
      <t>0.5</t>
    </r>
    <r>
      <rPr>
        <sz val="11"/>
        <rFont val="宋体"/>
        <charset val="134"/>
      </rPr>
      <t>～</t>
    </r>
    <r>
      <rPr>
        <sz val="11"/>
        <rFont val="Times New Roman"/>
        <charset val="134"/>
      </rPr>
      <t>1.0km</t>
    </r>
    <r>
      <rPr>
        <sz val="11"/>
        <rFont val="宋体"/>
        <charset val="134"/>
      </rPr>
      <t>）</t>
    </r>
  </si>
  <si>
    <r>
      <rPr>
        <b/>
        <sz val="11"/>
        <rFont val="宋体"/>
        <charset val="134"/>
      </rPr>
      <t>采坑平整</t>
    </r>
  </si>
  <si>
    <r>
      <rPr>
        <sz val="11"/>
        <rFont val="宋体"/>
        <charset val="134"/>
      </rPr>
      <t>（</t>
    </r>
    <r>
      <rPr>
        <sz val="11"/>
        <rFont val="Times New Roman"/>
        <charset val="134"/>
      </rPr>
      <t>2</t>
    </r>
    <r>
      <rPr>
        <sz val="11"/>
        <rFont val="宋体"/>
        <charset val="134"/>
      </rPr>
      <t>）</t>
    </r>
  </si>
  <si>
    <r>
      <rPr>
        <b/>
        <sz val="11"/>
        <rFont val="宋体"/>
        <charset val="134"/>
      </rPr>
      <t>边坡削坡减载（岔沟）</t>
    </r>
  </si>
  <si>
    <r>
      <rPr>
        <sz val="11"/>
        <rFont val="宋体"/>
        <charset val="134"/>
      </rPr>
      <t>削坡工程量（坡度</t>
    </r>
    <r>
      <rPr>
        <sz val="11"/>
        <rFont val="Times New Roman"/>
        <charset val="134"/>
      </rPr>
      <t>1</t>
    </r>
    <r>
      <rPr>
        <sz val="11"/>
        <rFont val="宋体"/>
        <charset val="134"/>
      </rPr>
      <t>：</t>
    </r>
    <r>
      <rPr>
        <sz val="11"/>
        <rFont val="Times New Roman"/>
        <charset val="134"/>
      </rPr>
      <t>0.75</t>
    </r>
    <r>
      <rPr>
        <sz val="11"/>
        <rFont val="宋体"/>
        <charset val="134"/>
      </rPr>
      <t>）</t>
    </r>
  </si>
  <si>
    <r>
      <rPr>
        <sz val="11"/>
        <rFont val="宋体"/>
        <charset val="134"/>
      </rPr>
      <t>坡脚回填培土</t>
    </r>
  </si>
  <si>
    <r>
      <rPr>
        <b/>
        <sz val="11"/>
        <rFont val="宋体"/>
        <charset val="134"/>
      </rPr>
      <t>垃圾清运</t>
    </r>
  </si>
  <si>
    <t>10222</t>
  </si>
  <si>
    <r>
      <rPr>
        <sz val="11"/>
        <rFont val="宋体"/>
        <charset val="134"/>
      </rPr>
      <t>垃圾清运（运距</t>
    </r>
    <r>
      <rPr>
        <sz val="11"/>
        <rFont val="Times New Roman"/>
        <charset val="134"/>
      </rPr>
      <t>3km</t>
    </r>
    <r>
      <rPr>
        <sz val="11"/>
        <rFont val="宋体"/>
        <charset val="134"/>
      </rPr>
      <t>以内）</t>
    </r>
  </si>
  <si>
    <r>
      <rPr>
        <sz val="11"/>
        <rFont val="宋体"/>
        <charset val="134"/>
      </rPr>
      <t>乔木种植（油松，</t>
    </r>
    <r>
      <rPr>
        <sz val="11"/>
        <rFont val="Times New Roman"/>
        <charset val="134"/>
      </rPr>
      <t>1m</t>
    </r>
    <r>
      <rPr>
        <sz val="11"/>
        <rFont val="宋体"/>
        <charset val="134"/>
      </rPr>
      <t>以上）</t>
    </r>
  </si>
  <si>
    <r>
      <rPr>
        <b/>
        <sz val="11"/>
        <rFont val="宋体"/>
        <charset val="134"/>
      </rPr>
      <t>种植草皮</t>
    </r>
  </si>
  <si>
    <r>
      <rPr>
        <b/>
        <sz val="11"/>
        <rFont val="宋体"/>
        <charset val="134"/>
      </rPr>
      <t>后期管护</t>
    </r>
  </si>
  <si>
    <r>
      <rPr>
        <sz val="11"/>
        <rFont val="宋体"/>
        <charset val="134"/>
      </rPr>
      <t>林草地管护（管护期</t>
    </r>
    <r>
      <rPr>
        <sz val="11"/>
        <rFont val="Times New Roman"/>
        <charset val="134"/>
      </rPr>
      <t>2</t>
    </r>
    <r>
      <rPr>
        <sz val="11"/>
        <rFont val="宋体"/>
        <charset val="134"/>
      </rPr>
      <t>年）</t>
    </r>
  </si>
  <si>
    <r>
      <rPr>
        <b/>
        <sz val="11"/>
        <rFont val="宋体"/>
        <charset val="134"/>
      </rPr>
      <t>生态防护林改造提升</t>
    </r>
  </si>
  <si>
    <r>
      <rPr>
        <sz val="11"/>
        <rFont val="宋体"/>
        <charset val="134"/>
      </rPr>
      <t>撒播草籽</t>
    </r>
  </si>
  <si>
    <r>
      <rPr>
        <b/>
        <sz val="11"/>
        <rFont val="宋体"/>
        <charset val="134"/>
      </rPr>
      <t>三</t>
    </r>
  </si>
  <si>
    <r>
      <rPr>
        <b/>
        <sz val="11"/>
        <rFont val="宋体"/>
        <charset val="134"/>
      </rPr>
      <t>河道流域治理</t>
    </r>
  </si>
  <si>
    <r>
      <rPr>
        <b/>
        <sz val="11"/>
        <rFont val="宋体"/>
        <charset val="134"/>
      </rPr>
      <t>高陡边坡削坡减载</t>
    </r>
  </si>
  <si>
    <r>
      <rPr>
        <b/>
        <sz val="11"/>
        <rFont val="宋体"/>
        <charset val="134"/>
      </rPr>
      <t>桩号</t>
    </r>
    <r>
      <rPr>
        <b/>
        <sz val="11"/>
        <rFont val="Times New Roman"/>
        <charset val="134"/>
      </rPr>
      <t>K20+000-K24+180</t>
    </r>
  </si>
  <si>
    <r>
      <rPr>
        <sz val="11"/>
        <rFont val="宋体"/>
        <charset val="134"/>
      </rPr>
      <t>削坡工程量（坡度</t>
    </r>
    <r>
      <rPr>
        <sz val="11"/>
        <rFont val="Times New Roman"/>
        <charset val="134"/>
      </rPr>
      <t>1</t>
    </r>
    <r>
      <rPr>
        <sz val="11"/>
        <rFont val="宋体"/>
        <charset val="134"/>
      </rPr>
      <t>：</t>
    </r>
    <r>
      <rPr>
        <sz val="11"/>
        <rFont val="Times New Roman"/>
        <charset val="134"/>
      </rPr>
      <t>0.5</t>
    </r>
    <r>
      <rPr>
        <sz val="11"/>
        <rFont val="宋体"/>
        <charset val="134"/>
      </rPr>
      <t>）</t>
    </r>
  </si>
  <si>
    <r>
      <rPr>
        <sz val="11"/>
        <rFont val="宋体"/>
        <charset val="134"/>
      </rPr>
      <t>（</t>
    </r>
    <r>
      <rPr>
        <sz val="11"/>
        <rFont val="Times New Roman"/>
        <charset val="134"/>
      </rPr>
      <t>3</t>
    </r>
    <r>
      <rPr>
        <sz val="11"/>
        <rFont val="宋体"/>
        <charset val="134"/>
      </rPr>
      <t>）</t>
    </r>
  </si>
  <si>
    <r>
      <rPr>
        <sz val="11"/>
        <rFont val="宋体"/>
        <charset val="134"/>
      </rPr>
      <t>（</t>
    </r>
    <r>
      <rPr>
        <sz val="11"/>
        <rFont val="Times New Roman"/>
        <charset val="134"/>
      </rPr>
      <t>4</t>
    </r>
    <r>
      <rPr>
        <sz val="11"/>
        <rFont val="宋体"/>
        <charset val="134"/>
      </rPr>
      <t>）</t>
    </r>
  </si>
  <si>
    <r>
      <rPr>
        <b/>
        <sz val="11"/>
        <rFont val="宋体"/>
        <charset val="134"/>
      </rPr>
      <t>桩号</t>
    </r>
    <r>
      <rPr>
        <b/>
        <sz val="11"/>
        <rFont val="Times New Roman"/>
        <charset val="134"/>
      </rPr>
      <t>K24+200-K26+500</t>
    </r>
  </si>
  <si>
    <r>
      <rPr>
        <b/>
        <sz val="11"/>
        <rFont val="宋体"/>
        <charset val="134"/>
      </rPr>
      <t>桩号</t>
    </r>
    <r>
      <rPr>
        <b/>
        <sz val="11"/>
        <rFont val="Times New Roman"/>
        <charset val="134"/>
      </rPr>
      <t>K29+870-K30+990</t>
    </r>
  </si>
  <si>
    <r>
      <rPr>
        <b/>
        <sz val="11"/>
        <rFont val="宋体"/>
        <charset val="134"/>
      </rPr>
      <t>桩号</t>
    </r>
    <r>
      <rPr>
        <b/>
        <sz val="11"/>
        <rFont val="Times New Roman"/>
        <charset val="134"/>
      </rPr>
      <t>K34+000-K35+200</t>
    </r>
  </si>
  <si>
    <r>
      <rPr>
        <b/>
        <sz val="11"/>
        <rFont val="宋体"/>
        <charset val="134"/>
      </rPr>
      <t>河滩地形地貌恢复</t>
    </r>
  </si>
  <si>
    <t>K20+000-K24+180</t>
  </si>
  <si>
    <t>1.1</t>
  </si>
  <si>
    <r>
      <rPr>
        <b/>
        <sz val="11"/>
        <rFont val="宋体"/>
        <charset val="134"/>
      </rPr>
      <t>河滩地平整</t>
    </r>
  </si>
  <si>
    <t>1.2</t>
  </si>
  <si>
    <r>
      <rPr>
        <b/>
        <sz val="11"/>
        <rFont val="宋体"/>
        <charset val="134"/>
      </rPr>
      <t>格宾护坡</t>
    </r>
  </si>
  <si>
    <r>
      <rPr>
        <sz val="11"/>
        <rFont val="宋体"/>
        <charset val="134"/>
      </rPr>
      <t>宁水</t>
    </r>
    <r>
      <rPr>
        <sz val="11"/>
        <rFont val="Times New Roman"/>
        <charset val="134"/>
      </rPr>
      <t>9010</t>
    </r>
  </si>
  <si>
    <r>
      <rPr>
        <sz val="11"/>
        <rFont val="宋体"/>
        <charset val="134"/>
      </rPr>
      <t>格宾护坡（</t>
    </r>
    <r>
      <rPr>
        <sz val="11"/>
        <rFont val="Times New Roman"/>
        <charset val="134"/>
      </rPr>
      <t>1:1.5</t>
    </r>
    <r>
      <rPr>
        <sz val="11"/>
        <rFont val="宋体"/>
        <charset val="134"/>
      </rPr>
      <t>）</t>
    </r>
  </si>
  <si>
    <r>
      <rPr>
        <sz val="11"/>
        <rFont val="宋体"/>
        <charset val="134"/>
      </rPr>
      <t>宁水</t>
    </r>
    <r>
      <rPr>
        <sz val="11"/>
        <rFont val="Times New Roman"/>
        <charset val="134"/>
      </rPr>
      <t>9011</t>
    </r>
  </si>
  <si>
    <r>
      <rPr>
        <sz val="11"/>
        <rFont val="宋体"/>
        <charset val="134"/>
      </rPr>
      <t>格宾护脚（</t>
    </r>
    <r>
      <rPr>
        <sz val="11"/>
        <rFont val="Times New Roman"/>
        <charset val="134"/>
      </rPr>
      <t>1m×1m</t>
    </r>
    <r>
      <rPr>
        <sz val="11"/>
        <rFont val="宋体"/>
        <charset val="134"/>
      </rPr>
      <t>）</t>
    </r>
  </si>
  <si>
    <t>30003</t>
  </si>
  <si>
    <r>
      <rPr>
        <sz val="11"/>
        <rFont val="宋体"/>
        <charset val="134"/>
      </rPr>
      <t>碎石垫层（</t>
    </r>
    <r>
      <rPr>
        <sz val="11"/>
        <rFont val="Times New Roman"/>
        <charset val="134"/>
      </rPr>
      <t>15cm</t>
    </r>
    <r>
      <rPr>
        <sz val="11"/>
        <rFont val="宋体"/>
        <charset val="134"/>
      </rPr>
      <t>）</t>
    </r>
  </si>
  <si>
    <t>1.3</t>
  </si>
  <si>
    <r>
      <rPr>
        <b/>
        <sz val="11"/>
        <rFont val="宋体"/>
        <charset val="134"/>
      </rPr>
      <t>绿化工程</t>
    </r>
  </si>
  <si>
    <t>K24+930-K25+330</t>
  </si>
  <si>
    <t>2.3</t>
  </si>
  <si>
    <t>K27+600-K30+980</t>
  </si>
  <si>
    <t>3.2</t>
  </si>
  <si>
    <t>3.3</t>
  </si>
  <si>
    <t>K32+600-K37+000</t>
  </si>
  <si>
    <t>5</t>
  </si>
  <si>
    <t>K39+990-K41+565</t>
  </si>
  <si>
    <t>5.1</t>
  </si>
  <si>
    <t>5.2</t>
  </si>
  <si>
    <t>5.3</t>
  </si>
  <si>
    <t>6</t>
  </si>
  <si>
    <t>K41+900-K43+400</t>
  </si>
  <si>
    <t>6.1</t>
  </si>
  <si>
    <t>6.2</t>
  </si>
  <si>
    <t>6.3</t>
  </si>
  <si>
    <r>
      <rPr>
        <b/>
        <sz val="11"/>
        <rFont val="宋体"/>
        <charset val="134"/>
      </rPr>
      <t>建筑物</t>
    </r>
  </si>
  <si>
    <r>
      <rPr>
        <b/>
        <sz val="11"/>
        <rFont val="宋体"/>
        <charset val="134"/>
      </rPr>
      <t>拦水建筑物（谷坊）</t>
    </r>
  </si>
  <si>
    <r>
      <rPr>
        <b/>
        <sz val="11"/>
        <rFont val="Times New Roman"/>
        <charset val="134"/>
      </rPr>
      <t>1#</t>
    </r>
    <r>
      <rPr>
        <b/>
        <sz val="11"/>
        <rFont val="宋体"/>
        <charset val="134"/>
      </rPr>
      <t>谷坊（</t>
    </r>
    <r>
      <rPr>
        <b/>
        <sz val="11"/>
        <rFont val="Times New Roman"/>
        <charset val="134"/>
      </rPr>
      <t>K24+930</t>
    </r>
    <r>
      <rPr>
        <b/>
        <sz val="11"/>
        <rFont val="宋体"/>
        <charset val="134"/>
      </rPr>
      <t>）</t>
    </r>
  </si>
  <si>
    <r>
      <rPr>
        <sz val="11"/>
        <rFont val="宋体"/>
        <charset val="134"/>
      </rPr>
      <t>格宾坝体</t>
    </r>
  </si>
  <si>
    <t>100005</t>
  </si>
  <si>
    <r>
      <rPr>
        <sz val="11"/>
        <rFont val="宋体"/>
        <charset val="134"/>
      </rPr>
      <t>无纺土工布</t>
    </r>
  </si>
  <si>
    <r>
      <rPr>
        <b/>
        <sz val="11"/>
        <rFont val="Times New Roman"/>
        <charset val="134"/>
      </rPr>
      <t>2#</t>
    </r>
    <r>
      <rPr>
        <b/>
        <sz val="11"/>
        <rFont val="宋体"/>
        <charset val="134"/>
      </rPr>
      <t>谷坊（</t>
    </r>
    <r>
      <rPr>
        <b/>
        <sz val="11"/>
        <rFont val="Times New Roman"/>
        <charset val="134"/>
      </rPr>
      <t>K26+500</t>
    </r>
    <r>
      <rPr>
        <b/>
        <sz val="11"/>
        <rFont val="宋体"/>
        <charset val="134"/>
      </rPr>
      <t>）</t>
    </r>
  </si>
  <si>
    <r>
      <rPr>
        <b/>
        <sz val="11"/>
        <rFont val="Times New Roman"/>
        <charset val="134"/>
      </rPr>
      <t>3#</t>
    </r>
    <r>
      <rPr>
        <b/>
        <sz val="11"/>
        <rFont val="宋体"/>
        <charset val="134"/>
      </rPr>
      <t>谷坊（</t>
    </r>
    <r>
      <rPr>
        <b/>
        <sz val="11"/>
        <rFont val="Times New Roman"/>
        <charset val="134"/>
      </rPr>
      <t>K28+580</t>
    </r>
    <r>
      <rPr>
        <b/>
        <sz val="11"/>
        <rFont val="宋体"/>
        <charset val="134"/>
      </rPr>
      <t>）</t>
    </r>
  </si>
  <si>
    <t>1.4</t>
  </si>
  <si>
    <r>
      <rPr>
        <b/>
        <sz val="11"/>
        <rFont val="Times New Roman"/>
        <charset val="134"/>
      </rPr>
      <t>4#</t>
    </r>
    <r>
      <rPr>
        <b/>
        <sz val="11"/>
        <rFont val="宋体"/>
        <charset val="134"/>
      </rPr>
      <t>谷坊（</t>
    </r>
    <r>
      <rPr>
        <b/>
        <sz val="11"/>
        <rFont val="Times New Roman"/>
        <charset val="134"/>
      </rPr>
      <t>K29+830</t>
    </r>
    <r>
      <rPr>
        <b/>
        <sz val="11"/>
        <rFont val="宋体"/>
        <charset val="134"/>
      </rPr>
      <t>）</t>
    </r>
  </si>
  <si>
    <t>1.5</t>
  </si>
  <si>
    <r>
      <rPr>
        <b/>
        <sz val="11"/>
        <rFont val="Times New Roman"/>
        <charset val="134"/>
      </rPr>
      <t>5#</t>
    </r>
    <r>
      <rPr>
        <b/>
        <sz val="11"/>
        <rFont val="宋体"/>
        <charset val="134"/>
      </rPr>
      <t>谷坊（</t>
    </r>
    <r>
      <rPr>
        <b/>
        <sz val="11"/>
        <rFont val="Times New Roman"/>
        <charset val="134"/>
      </rPr>
      <t>K30+480</t>
    </r>
    <r>
      <rPr>
        <b/>
        <sz val="11"/>
        <rFont val="宋体"/>
        <charset val="134"/>
      </rPr>
      <t>）</t>
    </r>
  </si>
  <si>
    <t>1.6</t>
  </si>
  <si>
    <r>
      <rPr>
        <b/>
        <sz val="11"/>
        <rFont val="Times New Roman"/>
        <charset val="134"/>
      </rPr>
      <t>6#</t>
    </r>
    <r>
      <rPr>
        <b/>
        <sz val="11"/>
        <rFont val="宋体"/>
        <charset val="134"/>
      </rPr>
      <t>谷坊（</t>
    </r>
    <r>
      <rPr>
        <b/>
        <sz val="11"/>
        <rFont val="Times New Roman"/>
        <charset val="134"/>
      </rPr>
      <t>K33+220</t>
    </r>
    <r>
      <rPr>
        <b/>
        <sz val="11"/>
        <rFont val="宋体"/>
        <charset val="134"/>
      </rPr>
      <t>）</t>
    </r>
  </si>
  <si>
    <t>1.7</t>
  </si>
  <si>
    <r>
      <rPr>
        <b/>
        <sz val="11"/>
        <rFont val="Times New Roman"/>
        <charset val="134"/>
      </rPr>
      <t>7#</t>
    </r>
    <r>
      <rPr>
        <b/>
        <sz val="11"/>
        <rFont val="宋体"/>
        <charset val="134"/>
      </rPr>
      <t>谷坊（</t>
    </r>
    <r>
      <rPr>
        <b/>
        <sz val="11"/>
        <rFont val="Times New Roman"/>
        <charset val="134"/>
      </rPr>
      <t>K33+850</t>
    </r>
    <r>
      <rPr>
        <b/>
        <sz val="11"/>
        <rFont val="宋体"/>
        <charset val="134"/>
      </rPr>
      <t>）</t>
    </r>
  </si>
  <si>
    <t>1.8</t>
  </si>
  <si>
    <r>
      <rPr>
        <b/>
        <sz val="11"/>
        <rFont val="Times New Roman"/>
        <charset val="134"/>
      </rPr>
      <t>8#</t>
    </r>
    <r>
      <rPr>
        <b/>
        <sz val="11"/>
        <rFont val="宋体"/>
        <charset val="134"/>
      </rPr>
      <t>谷坊（</t>
    </r>
    <r>
      <rPr>
        <b/>
        <sz val="11"/>
        <rFont val="Times New Roman"/>
        <charset val="134"/>
      </rPr>
      <t>K38+500</t>
    </r>
    <r>
      <rPr>
        <b/>
        <sz val="11"/>
        <rFont val="宋体"/>
        <charset val="134"/>
      </rPr>
      <t>）</t>
    </r>
  </si>
  <si>
    <t>1.9</t>
  </si>
  <si>
    <r>
      <rPr>
        <b/>
        <sz val="11"/>
        <rFont val="Times New Roman"/>
        <charset val="134"/>
      </rPr>
      <t>9#</t>
    </r>
    <r>
      <rPr>
        <b/>
        <sz val="11"/>
        <rFont val="宋体"/>
        <charset val="134"/>
      </rPr>
      <t>谷坊（</t>
    </r>
    <r>
      <rPr>
        <b/>
        <sz val="11"/>
        <rFont val="Times New Roman"/>
        <charset val="134"/>
      </rPr>
      <t>K39+020</t>
    </r>
    <r>
      <rPr>
        <b/>
        <sz val="11"/>
        <rFont val="宋体"/>
        <charset val="134"/>
      </rPr>
      <t>）</t>
    </r>
  </si>
  <si>
    <t>1.10</t>
  </si>
  <si>
    <r>
      <rPr>
        <b/>
        <sz val="11"/>
        <rFont val="Times New Roman"/>
        <charset val="134"/>
      </rPr>
      <t>10#</t>
    </r>
    <r>
      <rPr>
        <b/>
        <sz val="11"/>
        <rFont val="宋体"/>
        <charset val="134"/>
      </rPr>
      <t>谷坊（</t>
    </r>
    <r>
      <rPr>
        <b/>
        <sz val="11"/>
        <rFont val="Times New Roman"/>
        <charset val="134"/>
      </rPr>
      <t>K39+460</t>
    </r>
    <r>
      <rPr>
        <b/>
        <sz val="11"/>
        <rFont val="宋体"/>
        <charset val="134"/>
      </rPr>
      <t>）</t>
    </r>
  </si>
  <si>
    <t>1.11</t>
  </si>
  <si>
    <r>
      <rPr>
        <b/>
        <sz val="11"/>
        <rFont val="Times New Roman"/>
        <charset val="134"/>
      </rPr>
      <t>11#</t>
    </r>
    <r>
      <rPr>
        <b/>
        <sz val="11"/>
        <rFont val="宋体"/>
        <charset val="134"/>
      </rPr>
      <t>谷坊（</t>
    </r>
    <r>
      <rPr>
        <b/>
        <sz val="11"/>
        <rFont val="Times New Roman"/>
        <charset val="134"/>
      </rPr>
      <t>K39+900</t>
    </r>
    <r>
      <rPr>
        <b/>
        <sz val="11"/>
        <rFont val="宋体"/>
        <charset val="134"/>
      </rPr>
      <t>）</t>
    </r>
  </si>
  <si>
    <r>
      <rPr>
        <b/>
        <sz val="11"/>
        <rFont val="宋体"/>
        <charset val="134"/>
      </rPr>
      <t>跌水</t>
    </r>
  </si>
  <si>
    <r>
      <rPr>
        <b/>
        <sz val="11"/>
        <rFont val="Times New Roman"/>
        <charset val="134"/>
      </rPr>
      <t>1#</t>
    </r>
    <r>
      <rPr>
        <b/>
        <sz val="11"/>
        <rFont val="宋体"/>
        <charset val="134"/>
      </rPr>
      <t>跌水（</t>
    </r>
    <r>
      <rPr>
        <b/>
        <sz val="11"/>
        <rFont val="Times New Roman"/>
        <charset val="134"/>
      </rPr>
      <t>K27+600</t>
    </r>
    <r>
      <rPr>
        <b/>
        <sz val="11"/>
        <rFont val="宋体"/>
        <charset val="134"/>
      </rPr>
      <t>，</t>
    </r>
    <r>
      <rPr>
        <b/>
        <sz val="11"/>
        <rFont val="Times New Roman"/>
        <charset val="134"/>
      </rPr>
      <t>P=3m</t>
    </r>
    <r>
      <rPr>
        <b/>
        <sz val="11"/>
        <rFont val="宋体"/>
        <charset val="134"/>
      </rPr>
      <t>）</t>
    </r>
  </si>
  <si>
    <r>
      <rPr>
        <sz val="11"/>
        <rFont val="宋体"/>
        <charset val="134"/>
      </rPr>
      <t>砂砾石垫层（</t>
    </r>
    <r>
      <rPr>
        <sz val="11"/>
        <rFont val="Times New Roman"/>
        <charset val="134"/>
      </rPr>
      <t>15cm</t>
    </r>
    <r>
      <rPr>
        <sz val="11"/>
        <rFont val="宋体"/>
        <charset val="134"/>
      </rPr>
      <t>）</t>
    </r>
  </si>
  <si>
    <r>
      <rPr>
        <b/>
        <sz val="11"/>
        <rFont val="Times New Roman"/>
        <charset val="134"/>
      </rPr>
      <t>2#</t>
    </r>
    <r>
      <rPr>
        <b/>
        <sz val="11"/>
        <rFont val="宋体"/>
        <charset val="134"/>
      </rPr>
      <t>跌水（</t>
    </r>
    <r>
      <rPr>
        <b/>
        <sz val="11"/>
        <rFont val="Times New Roman"/>
        <charset val="134"/>
      </rPr>
      <t>K29+300</t>
    </r>
    <r>
      <rPr>
        <b/>
        <sz val="11"/>
        <rFont val="宋体"/>
        <charset val="134"/>
      </rPr>
      <t>，</t>
    </r>
    <r>
      <rPr>
        <b/>
        <sz val="11"/>
        <rFont val="Times New Roman"/>
        <charset val="134"/>
      </rPr>
      <t>P=3m</t>
    </r>
    <r>
      <rPr>
        <b/>
        <sz val="11"/>
        <rFont val="宋体"/>
        <charset val="134"/>
      </rPr>
      <t>）</t>
    </r>
  </si>
  <si>
    <r>
      <rPr>
        <b/>
        <sz val="11"/>
        <rFont val="Times New Roman"/>
        <charset val="134"/>
      </rPr>
      <t>3#</t>
    </r>
    <r>
      <rPr>
        <b/>
        <sz val="11"/>
        <rFont val="宋体"/>
        <charset val="134"/>
      </rPr>
      <t>跌水（</t>
    </r>
    <r>
      <rPr>
        <b/>
        <sz val="11"/>
        <rFont val="Times New Roman"/>
        <charset val="134"/>
      </rPr>
      <t>K32+570</t>
    </r>
    <r>
      <rPr>
        <b/>
        <sz val="11"/>
        <rFont val="宋体"/>
        <charset val="134"/>
      </rPr>
      <t>，</t>
    </r>
    <r>
      <rPr>
        <b/>
        <sz val="11"/>
        <rFont val="Times New Roman"/>
        <charset val="134"/>
      </rPr>
      <t>P=2.5m</t>
    </r>
    <r>
      <rPr>
        <b/>
        <sz val="11"/>
        <rFont val="宋体"/>
        <charset val="134"/>
      </rPr>
      <t>）</t>
    </r>
  </si>
  <si>
    <r>
      <rPr>
        <b/>
        <sz val="11"/>
        <rFont val="宋体"/>
        <charset val="134"/>
      </rPr>
      <t>（四）</t>
    </r>
  </si>
  <si>
    <r>
      <rPr>
        <b/>
        <sz val="11"/>
        <rFont val="宋体"/>
        <charset val="134"/>
      </rPr>
      <t>河道湿地</t>
    </r>
  </si>
  <si>
    <r>
      <rPr>
        <b/>
        <sz val="11"/>
        <rFont val="Times New Roman"/>
        <charset val="134"/>
      </rPr>
      <t>1#</t>
    </r>
    <r>
      <rPr>
        <b/>
        <sz val="11"/>
        <rFont val="宋体"/>
        <charset val="134"/>
      </rPr>
      <t>湿地（</t>
    </r>
    <r>
      <rPr>
        <b/>
        <sz val="11"/>
        <rFont val="Times New Roman"/>
        <charset val="134"/>
      </rPr>
      <t>K24+200-K24+930</t>
    </r>
    <r>
      <rPr>
        <b/>
        <sz val="11"/>
        <rFont val="宋体"/>
        <charset val="134"/>
      </rPr>
      <t>）</t>
    </r>
  </si>
  <si>
    <r>
      <rPr>
        <b/>
        <sz val="11"/>
        <rFont val="宋体"/>
        <charset val="134"/>
      </rPr>
      <t>河道护岸</t>
    </r>
  </si>
  <si>
    <r>
      <rPr>
        <b/>
        <sz val="11"/>
        <rFont val="宋体"/>
        <charset val="134"/>
      </rPr>
      <t>人行漫步道（宽</t>
    </r>
    <r>
      <rPr>
        <b/>
        <sz val="11"/>
        <rFont val="Times New Roman"/>
        <charset val="134"/>
      </rPr>
      <t>2m</t>
    </r>
    <r>
      <rPr>
        <b/>
        <sz val="11"/>
        <rFont val="宋体"/>
        <charset val="134"/>
      </rPr>
      <t>）</t>
    </r>
  </si>
  <si>
    <t>路基夯实</t>
  </si>
  <si>
    <r>
      <rPr>
        <sz val="11"/>
        <rFont val="宋体"/>
        <charset val="134"/>
      </rPr>
      <t>混凝土道牙（50cm×</t>
    </r>
    <r>
      <rPr>
        <sz val="11"/>
        <rFont val="宋体"/>
        <charset val="134"/>
      </rPr>
      <t>4</t>
    </r>
    <r>
      <rPr>
        <sz val="11"/>
        <rFont val="宋体"/>
        <charset val="134"/>
      </rPr>
      <t>0cm×10cm）</t>
    </r>
  </si>
  <si>
    <t>块</t>
  </si>
  <si>
    <r>
      <rPr>
        <sz val="11"/>
        <rFont val="Times New Roman"/>
        <charset val="134"/>
      </rPr>
      <t>30003</t>
    </r>
    <r>
      <rPr>
        <sz val="11"/>
        <rFont val="宋体"/>
        <charset val="134"/>
      </rPr>
      <t>改</t>
    </r>
  </si>
  <si>
    <r>
      <rPr>
        <sz val="11"/>
        <rFont val="宋体"/>
        <charset val="134"/>
      </rPr>
      <t>细沙垫层（</t>
    </r>
    <r>
      <rPr>
        <sz val="11"/>
        <rFont val="Times New Roman"/>
        <charset val="134"/>
      </rPr>
      <t>20cm</t>
    </r>
    <r>
      <rPr>
        <sz val="11"/>
        <rFont val="宋体"/>
        <charset val="134"/>
      </rPr>
      <t>）</t>
    </r>
  </si>
  <si>
    <r>
      <rPr>
        <sz val="11"/>
        <rFont val="宋体"/>
        <charset val="134"/>
      </rPr>
      <t>彩色面包砖</t>
    </r>
  </si>
  <si>
    <r>
      <rPr>
        <b/>
        <sz val="11"/>
        <rFont val="Times New Roman"/>
        <charset val="134"/>
      </rPr>
      <t>休憩场所</t>
    </r>
  </si>
  <si>
    <t>座</t>
  </si>
  <si>
    <t>步行桥</t>
  </si>
  <si>
    <r>
      <rPr>
        <b/>
        <sz val="11"/>
        <rFont val="宋体"/>
        <charset val="134"/>
      </rPr>
      <t>绿植工程</t>
    </r>
  </si>
  <si>
    <r>
      <rPr>
        <sz val="11"/>
        <rFont val="宋体"/>
        <charset val="134"/>
      </rPr>
      <t>（</t>
    </r>
    <r>
      <rPr>
        <sz val="11"/>
        <rFont val="Times New Roman"/>
        <charset val="134"/>
      </rPr>
      <t>7）</t>
    </r>
  </si>
  <si>
    <r>
      <rPr>
        <sz val="11"/>
        <rFont val="宋体"/>
        <charset val="134"/>
      </rPr>
      <t>（</t>
    </r>
    <r>
      <rPr>
        <sz val="11"/>
        <rFont val="Times New Roman"/>
        <charset val="134"/>
      </rPr>
      <t>8）</t>
    </r>
  </si>
  <si>
    <r>
      <rPr>
        <sz val="11"/>
        <rFont val="宋体"/>
        <charset val="134"/>
      </rPr>
      <t>（</t>
    </r>
    <r>
      <rPr>
        <sz val="11"/>
        <rFont val="Times New Roman"/>
        <charset val="134"/>
      </rPr>
      <t>9）</t>
    </r>
  </si>
  <si>
    <r>
      <rPr>
        <b/>
        <sz val="11"/>
        <rFont val="Times New Roman"/>
        <charset val="134"/>
      </rPr>
      <t>2#</t>
    </r>
    <r>
      <rPr>
        <b/>
        <sz val="11"/>
        <rFont val="宋体"/>
        <charset val="134"/>
      </rPr>
      <t>湿地（</t>
    </r>
    <r>
      <rPr>
        <b/>
        <sz val="11"/>
        <rFont val="Times New Roman"/>
        <charset val="134"/>
      </rPr>
      <t>K25+300-K26+490</t>
    </r>
    <r>
      <rPr>
        <b/>
        <sz val="11"/>
        <rFont val="宋体"/>
        <charset val="134"/>
      </rPr>
      <t>）</t>
    </r>
  </si>
  <si>
    <t>2.4</t>
  </si>
  <si>
    <t>2.5</t>
  </si>
  <si>
    <t>2.6</t>
  </si>
  <si>
    <r>
      <rPr>
        <b/>
        <sz val="11"/>
        <rFont val="Times New Roman"/>
        <charset val="134"/>
      </rPr>
      <t>3#</t>
    </r>
    <r>
      <rPr>
        <b/>
        <sz val="11"/>
        <rFont val="宋体"/>
        <charset val="134"/>
      </rPr>
      <t>湿地（</t>
    </r>
    <r>
      <rPr>
        <b/>
        <sz val="11"/>
        <rFont val="Times New Roman"/>
        <charset val="134"/>
      </rPr>
      <t>K38+100-K39+060</t>
    </r>
    <r>
      <rPr>
        <b/>
        <sz val="11"/>
        <rFont val="宋体"/>
        <charset val="134"/>
      </rPr>
      <t>）</t>
    </r>
  </si>
  <si>
    <t>3.4</t>
  </si>
  <si>
    <t>3.5</t>
  </si>
  <si>
    <t>3.6</t>
  </si>
  <si>
    <r>
      <rPr>
        <b/>
        <sz val="11"/>
        <rFont val="Times New Roman"/>
        <charset val="134"/>
      </rPr>
      <t>4#</t>
    </r>
    <r>
      <rPr>
        <b/>
        <sz val="11"/>
        <rFont val="宋体"/>
        <charset val="134"/>
      </rPr>
      <t>湿地（</t>
    </r>
    <r>
      <rPr>
        <b/>
        <sz val="11"/>
        <rFont val="Times New Roman"/>
        <charset val="134"/>
      </rPr>
      <t>K39+340-K39+900</t>
    </r>
    <r>
      <rPr>
        <b/>
        <sz val="11"/>
        <rFont val="宋体"/>
        <charset val="134"/>
      </rPr>
      <t>）</t>
    </r>
  </si>
  <si>
    <t>4.4</t>
  </si>
  <si>
    <t>4.5</t>
  </si>
  <si>
    <t>4.6</t>
  </si>
  <si>
    <r>
      <rPr>
        <b/>
        <sz val="11"/>
        <rFont val="Times New Roman"/>
        <charset val="134"/>
      </rPr>
      <t>5#</t>
    </r>
    <r>
      <rPr>
        <b/>
        <sz val="11"/>
        <rFont val="宋体"/>
        <charset val="134"/>
      </rPr>
      <t>湿地（</t>
    </r>
    <r>
      <rPr>
        <b/>
        <sz val="11"/>
        <rFont val="Times New Roman"/>
        <charset val="134"/>
      </rPr>
      <t>K41+540-K41+900</t>
    </r>
    <r>
      <rPr>
        <b/>
        <sz val="11"/>
        <rFont val="宋体"/>
        <charset val="134"/>
      </rPr>
      <t>）</t>
    </r>
  </si>
  <si>
    <t>5.4</t>
  </si>
  <si>
    <t>5.5</t>
  </si>
  <si>
    <t>5.6</t>
  </si>
  <si>
    <r>
      <rPr>
        <b/>
        <sz val="11"/>
        <rFont val="Times New Roman"/>
        <charset val="134"/>
      </rPr>
      <t>6#</t>
    </r>
    <r>
      <rPr>
        <b/>
        <sz val="11"/>
        <rFont val="宋体"/>
        <charset val="134"/>
      </rPr>
      <t>湿地（</t>
    </r>
    <r>
      <rPr>
        <b/>
        <sz val="11"/>
        <rFont val="Times New Roman"/>
        <charset val="134"/>
      </rPr>
      <t>K43+400-K43+780</t>
    </r>
    <r>
      <rPr>
        <b/>
        <sz val="11"/>
        <rFont val="宋体"/>
        <charset val="134"/>
      </rPr>
      <t>）</t>
    </r>
  </si>
  <si>
    <t>6.4</t>
  </si>
  <si>
    <t>6.5</t>
  </si>
  <si>
    <t>6.6</t>
  </si>
  <si>
    <t>7</t>
  </si>
  <si>
    <r>
      <rPr>
        <b/>
        <sz val="11"/>
        <rFont val="宋体"/>
        <charset val="134"/>
      </rPr>
      <t>湿地养护（养护期</t>
    </r>
    <r>
      <rPr>
        <b/>
        <sz val="11"/>
        <rFont val="Times New Roman"/>
        <charset val="134"/>
      </rPr>
      <t>2</t>
    </r>
    <r>
      <rPr>
        <b/>
        <sz val="11"/>
        <rFont val="宋体"/>
        <charset val="134"/>
      </rPr>
      <t>年）</t>
    </r>
  </si>
  <si>
    <r>
      <rPr>
        <b/>
        <sz val="11"/>
        <rFont val="宋体"/>
        <charset val="134"/>
      </rPr>
      <t>（五）</t>
    </r>
  </si>
  <si>
    <r>
      <rPr>
        <b/>
        <sz val="11"/>
        <rFont val="宋体"/>
        <charset val="134"/>
      </rPr>
      <t>座</t>
    </r>
    <r>
      <rPr>
        <b/>
        <sz val="11"/>
        <rFont val="Times New Roman"/>
        <charset val="134"/>
      </rPr>
      <t xml:space="preserve"> </t>
    </r>
  </si>
  <si>
    <r>
      <rPr>
        <b/>
        <sz val="18"/>
        <rFont val="宋体"/>
        <charset val="134"/>
      </rPr>
      <t>表</t>
    </r>
    <r>
      <rPr>
        <b/>
        <sz val="18"/>
        <rFont val="Times New Roman"/>
        <charset val="134"/>
      </rPr>
      <t>3—2</t>
    </r>
  </si>
  <si>
    <r>
      <rPr>
        <b/>
        <sz val="18"/>
        <rFont val="宋体"/>
        <charset val="134"/>
      </rPr>
      <t>工程施工费单价汇总表</t>
    </r>
  </si>
  <si>
    <r>
      <rPr>
        <b/>
        <sz val="11"/>
        <rFont val="宋体"/>
        <charset val="134"/>
      </rPr>
      <t>直接费</t>
    </r>
  </si>
  <si>
    <r>
      <rPr>
        <b/>
        <sz val="11"/>
        <rFont val="宋体"/>
        <charset val="134"/>
      </rPr>
      <t>间接费</t>
    </r>
  </si>
  <si>
    <r>
      <rPr>
        <b/>
        <sz val="11"/>
        <rFont val="宋体"/>
        <charset val="134"/>
      </rPr>
      <t>利润</t>
    </r>
  </si>
  <si>
    <r>
      <rPr>
        <b/>
        <sz val="11"/>
        <rFont val="宋体"/>
        <charset val="134"/>
      </rPr>
      <t>材差</t>
    </r>
  </si>
  <si>
    <r>
      <rPr>
        <b/>
        <sz val="11"/>
        <rFont val="宋体"/>
        <charset val="134"/>
      </rPr>
      <t>未计价材料</t>
    </r>
  </si>
  <si>
    <r>
      <rPr>
        <b/>
        <sz val="11"/>
        <rFont val="宋体"/>
        <charset val="134"/>
      </rPr>
      <t>税金</t>
    </r>
  </si>
  <si>
    <r>
      <rPr>
        <b/>
        <sz val="11"/>
        <rFont val="宋体"/>
        <charset val="134"/>
      </rPr>
      <t>人工费</t>
    </r>
  </si>
  <si>
    <r>
      <rPr>
        <b/>
        <sz val="11"/>
        <rFont val="宋体"/>
        <charset val="134"/>
      </rPr>
      <t>材料费</t>
    </r>
  </si>
  <si>
    <r>
      <rPr>
        <b/>
        <sz val="11"/>
        <rFont val="宋体"/>
        <charset val="134"/>
      </rPr>
      <t>机械使用费</t>
    </r>
  </si>
  <si>
    <r>
      <rPr>
        <b/>
        <sz val="11"/>
        <rFont val="宋体"/>
        <charset val="134"/>
      </rPr>
      <t>直接工程费</t>
    </r>
  </si>
  <si>
    <r>
      <rPr>
        <b/>
        <sz val="11"/>
        <rFont val="宋体"/>
        <charset val="134"/>
      </rPr>
      <t>措施费</t>
    </r>
  </si>
  <si>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</si>
  <si>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</si>
  <si>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</si>
  <si>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</si>
  <si>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</si>
  <si>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</si>
  <si>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</si>
  <si>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</si>
  <si>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</si>
  <si>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</si>
  <si>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</si>
  <si>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</si>
  <si>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</si>
  <si>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</si>
  <si>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</si>
  <si>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r>
      <rPr>
        <b/>
        <sz val="11"/>
        <color indexed="8"/>
        <rFont val="宋体"/>
        <charset val="134"/>
      </rPr>
      <t>（一）</t>
    </r>
  </si>
  <si>
    <t/>
  </si>
  <si>
    <r>
      <rPr>
        <b/>
        <sz val="11"/>
        <color indexed="8"/>
        <rFont val="宋体"/>
        <charset val="134"/>
      </rPr>
      <t>土地平整工程</t>
    </r>
  </si>
  <si>
    <r>
      <rPr>
        <b/>
        <sz val="11"/>
        <color indexed="8"/>
        <rFont val="宋体"/>
        <charset val="134"/>
      </rPr>
      <t>耕作田块修筑工程</t>
    </r>
  </si>
  <si>
    <r>
      <rPr>
        <sz val="10"/>
        <rFont val="Times New Roman"/>
        <charset val="134"/>
      </rPr>
      <t xml:space="preserve">     </t>
    </r>
    <r>
      <rPr>
        <sz val="10"/>
        <rFont val="宋体"/>
        <charset val="134"/>
      </rPr>
      <t>填表说明：表中（</t>
    </r>
    <r>
      <rPr>
        <sz val="10"/>
        <rFont val="Times New Roman"/>
        <charset val="134"/>
      </rPr>
      <t>4</t>
    </r>
    <r>
      <rPr>
        <sz val="10"/>
        <rFont val="宋体"/>
        <charset val="134"/>
      </rPr>
      <t>）</t>
    </r>
    <r>
      <rPr>
        <sz val="10"/>
        <rFont val="Times New Roman"/>
        <charset val="134"/>
      </rPr>
      <t>~</t>
    </r>
    <r>
      <rPr>
        <sz val="10"/>
        <rFont val="宋体"/>
        <charset val="134"/>
      </rPr>
      <t>（</t>
    </r>
    <r>
      <rPr>
        <sz val="10"/>
        <rFont val="Times New Roman"/>
        <charset val="134"/>
      </rPr>
      <t>15</t>
    </r>
    <r>
      <rPr>
        <sz val="10"/>
        <rFont val="宋体"/>
        <charset val="134"/>
      </rPr>
      <t>）见附表</t>
    </r>
    <r>
      <rPr>
        <sz val="10"/>
        <rFont val="Times New Roman"/>
        <charset val="134"/>
      </rPr>
      <t>6.</t>
    </r>
  </si>
  <si>
    <t>第一标段</t>
  </si>
  <si>
    <t>河道生态治理工程</t>
  </si>
  <si>
    <t>大营河固将公路桥上游</t>
  </si>
  <si>
    <t>中曹公路至西固高速公路桥全段+中游绿植</t>
  </si>
  <si>
    <t>西固高速公路桥至冬至河口</t>
  </si>
  <si>
    <t>水源涵养林建设</t>
  </si>
  <si>
    <t>矿山生态修复工程</t>
  </si>
  <si>
    <t>村庄生态治理</t>
  </si>
  <si>
    <t>经济林改造提升</t>
  </si>
  <si>
    <t>序号</t>
  </si>
  <si>
    <t>苗木名称</t>
  </si>
  <si>
    <t>规模</t>
  </si>
  <si>
    <t>河道治理</t>
  </si>
  <si>
    <t>水源涵养林</t>
  </si>
  <si>
    <t>矿山</t>
  </si>
  <si>
    <t>村庄</t>
  </si>
  <si>
    <t>经济林</t>
  </si>
  <si>
    <t>工程</t>
  </si>
  <si>
    <t>建设</t>
  </si>
  <si>
    <t>生态修复</t>
  </si>
  <si>
    <t>生态整治</t>
  </si>
  <si>
    <t>改造提升</t>
  </si>
  <si>
    <r>
      <rPr>
        <sz val="11"/>
        <rFont val="宋体"/>
        <charset val="134"/>
      </rPr>
      <t>油松</t>
    </r>
  </si>
  <si>
    <r>
      <rPr>
        <sz val="11"/>
        <rFont val="Times New Roman"/>
        <charset val="134"/>
      </rPr>
      <t>H</t>
    </r>
    <r>
      <rPr>
        <sz val="11"/>
        <rFont val="宋体"/>
        <charset val="134"/>
      </rPr>
      <t>≥</t>
    </r>
    <r>
      <rPr>
        <sz val="11"/>
        <rFont val="Times New Roman"/>
        <charset val="134"/>
      </rPr>
      <t>3m</t>
    </r>
    <r>
      <rPr>
        <sz val="11"/>
        <rFont val="宋体"/>
        <charset val="134"/>
      </rPr>
      <t>，带土球不小于</t>
    </r>
    <r>
      <rPr>
        <sz val="11"/>
        <rFont val="Times New Roman"/>
        <charset val="134"/>
      </rPr>
      <t>50cm</t>
    </r>
  </si>
  <si>
    <r>
      <rPr>
        <sz val="11"/>
        <rFont val="Times New Roman"/>
        <charset val="134"/>
      </rPr>
      <t>H</t>
    </r>
    <r>
      <rPr>
        <sz val="11"/>
        <rFont val="宋体"/>
        <charset val="134"/>
      </rPr>
      <t>≥</t>
    </r>
    <r>
      <rPr>
        <sz val="11"/>
        <rFont val="Times New Roman"/>
        <charset val="134"/>
      </rPr>
      <t>2m</t>
    </r>
    <r>
      <rPr>
        <sz val="11"/>
        <rFont val="宋体"/>
        <charset val="134"/>
      </rPr>
      <t>，带土球不小于</t>
    </r>
    <r>
      <rPr>
        <sz val="11"/>
        <rFont val="Times New Roman"/>
        <charset val="134"/>
      </rPr>
      <t>40cm</t>
    </r>
  </si>
  <si>
    <r>
      <rPr>
        <sz val="11"/>
        <rFont val="Times New Roman"/>
        <charset val="134"/>
      </rPr>
      <t>H</t>
    </r>
    <r>
      <rPr>
        <sz val="11"/>
        <rFont val="宋体"/>
        <charset val="134"/>
      </rPr>
      <t>≥</t>
    </r>
    <r>
      <rPr>
        <sz val="11"/>
        <rFont val="Times New Roman"/>
        <charset val="134"/>
      </rPr>
      <t>1m</t>
    </r>
    <r>
      <rPr>
        <sz val="11"/>
        <rFont val="宋体"/>
        <charset val="134"/>
      </rPr>
      <t>，带土球不小于</t>
    </r>
    <r>
      <rPr>
        <sz val="11"/>
        <rFont val="Times New Roman"/>
        <charset val="134"/>
      </rPr>
      <t>25cm</t>
    </r>
  </si>
  <si>
    <t>油松（营养钵）</t>
  </si>
  <si>
    <t>H≥0.8m，营养钵28cm以上</t>
  </si>
  <si>
    <t>H≥0.5m，营养钵21cm以上</t>
  </si>
  <si>
    <t>樟子松</t>
  </si>
  <si>
    <t>樟子松（营养钵）</t>
  </si>
  <si>
    <r>
      <rPr>
        <sz val="11"/>
        <rFont val="宋体"/>
        <charset val="134"/>
      </rPr>
      <t>云杉</t>
    </r>
  </si>
  <si>
    <r>
      <rPr>
        <sz val="11"/>
        <rFont val="Times New Roman"/>
        <charset val="134"/>
      </rPr>
      <t>H</t>
    </r>
    <r>
      <rPr>
        <sz val="11"/>
        <rFont val="宋体"/>
        <charset val="134"/>
      </rPr>
      <t>≥</t>
    </r>
    <r>
      <rPr>
        <sz val="11"/>
        <rFont val="Times New Roman"/>
        <charset val="134"/>
      </rPr>
      <t>2m</t>
    </r>
    <r>
      <rPr>
        <sz val="11"/>
        <rFont val="宋体"/>
        <charset val="134"/>
      </rPr>
      <t>，土球不小于</t>
    </r>
    <r>
      <rPr>
        <sz val="11"/>
        <rFont val="Times New Roman"/>
        <charset val="134"/>
      </rPr>
      <t>40cm</t>
    </r>
  </si>
  <si>
    <t>云杉（营养钵）</t>
  </si>
  <si>
    <t>H≥0.5m，营养钵18cm以上</t>
  </si>
  <si>
    <r>
      <rPr>
        <sz val="11"/>
        <rFont val="宋体"/>
        <charset val="134"/>
      </rPr>
      <t>金叶复叶槭</t>
    </r>
  </si>
  <si>
    <r>
      <rPr>
        <sz val="11"/>
        <rFont val="Times New Roman"/>
        <charset val="134"/>
      </rPr>
      <t>D</t>
    </r>
    <r>
      <rPr>
        <sz val="11"/>
        <rFont val="宋体"/>
        <charset val="134"/>
      </rPr>
      <t>≥</t>
    </r>
    <r>
      <rPr>
        <sz val="11"/>
        <rFont val="Times New Roman"/>
        <charset val="134"/>
      </rPr>
      <t>4cm</t>
    </r>
    <r>
      <rPr>
        <sz val="11"/>
        <rFont val="宋体"/>
        <charset val="134"/>
      </rPr>
      <t>，裸根，定杆高</t>
    </r>
    <r>
      <rPr>
        <sz val="11"/>
        <rFont val="Times New Roman"/>
        <charset val="134"/>
      </rPr>
      <t>2.0m</t>
    </r>
  </si>
  <si>
    <r>
      <rPr>
        <sz val="11"/>
        <color theme="1"/>
        <rFont val="宋体"/>
        <charset val="134"/>
      </rPr>
      <t>红太阳李</t>
    </r>
  </si>
  <si>
    <r>
      <rPr>
        <sz val="11"/>
        <rFont val="Times New Roman"/>
        <charset val="134"/>
      </rPr>
      <t>d</t>
    </r>
    <r>
      <rPr>
        <sz val="11"/>
        <rFont val="宋体"/>
        <charset val="134"/>
      </rPr>
      <t>≥</t>
    </r>
    <r>
      <rPr>
        <sz val="11"/>
        <rFont val="Times New Roman"/>
        <charset val="134"/>
      </rPr>
      <t>4cm</t>
    </r>
    <r>
      <rPr>
        <sz val="11"/>
        <rFont val="宋体"/>
        <charset val="134"/>
      </rPr>
      <t>，带土球大于</t>
    </r>
    <r>
      <rPr>
        <sz val="11"/>
        <rFont val="Times New Roman"/>
        <charset val="134"/>
      </rPr>
      <t>20cm</t>
    </r>
  </si>
  <si>
    <t>旱柳</t>
  </si>
  <si>
    <r>
      <rPr>
        <sz val="11"/>
        <rFont val="Times New Roman"/>
        <charset val="134"/>
      </rPr>
      <t>D</t>
    </r>
    <r>
      <rPr>
        <sz val="11"/>
        <rFont val="宋体"/>
        <charset val="134"/>
      </rPr>
      <t>≥</t>
    </r>
    <r>
      <rPr>
        <sz val="11"/>
        <rFont val="Times New Roman"/>
        <charset val="134"/>
      </rPr>
      <t>10cm</t>
    </r>
    <r>
      <rPr>
        <sz val="11"/>
        <rFont val="宋体"/>
        <charset val="134"/>
      </rPr>
      <t>，裸根</t>
    </r>
  </si>
  <si>
    <r>
      <rPr>
        <sz val="11"/>
        <rFont val="宋体"/>
        <charset val="134"/>
      </rPr>
      <t>旱柳</t>
    </r>
  </si>
  <si>
    <r>
      <rPr>
        <sz val="11"/>
        <rFont val="Times New Roman"/>
        <charset val="134"/>
      </rPr>
      <t>D</t>
    </r>
    <r>
      <rPr>
        <sz val="11"/>
        <rFont val="宋体"/>
        <charset val="134"/>
      </rPr>
      <t>≥</t>
    </r>
    <r>
      <rPr>
        <sz val="11"/>
        <rFont val="Times New Roman"/>
        <charset val="134"/>
      </rPr>
      <t>4cm</t>
    </r>
    <r>
      <rPr>
        <sz val="11"/>
        <rFont val="宋体"/>
        <charset val="134"/>
      </rPr>
      <t>，裸根</t>
    </r>
  </si>
  <si>
    <r>
      <rPr>
        <sz val="11"/>
        <rFont val="宋体"/>
        <charset val="134"/>
      </rPr>
      <t>河北杨</t>
    </r>
  </si>
  <si>
    <r>
      <rPr>
        <sz val="11"/>
        <rFont val="宋体"/>
        <charset val="134"/>
      </rPr>
      <t>香花槐</t>
    </r>
  </si>
  <si>
    <t>刺槐</t>
  </si>
  <si>
    <r>
      <rPr>
        <sz val="11"/>
        <rFont val="宋体"/>
        <charset val="134"/>
      </rPr>
      <t>国槐</t>
    </r>
  </si>
  <si>
    <r>
      <rPr>
        <sz val="11"/>
        <rFont val="宋体"/>
        <charset val="134"/>
      </rPr>
      <t>垂柳</t>
    </r>
  </si>
  <si>
    <r>
      <rPr>
        <sz val="11"/>
        <color theme="1"/>
        <rFont val="宋体"/>
        <charset val="134"/>
      </rPr>
      <t>玉露香梨</t>
    </r>
  </si>
  <si>
    <r>
      <rPr>
        <sz val="11"/>
        <rFont val="Times New Roman"/>
        <charset val="134"/>
      </rPr>
      <t>d</t>
    </r>
    <r>
      <rPr>
        <sz val="11"/>
        <rFont val="宋体"/>
        <charset val="134"/>
      </rPr>
      <t>≥</t>
    </r>
    <r>
      <rPr>
        <sz val="11"/>
        <rFont val="Times New Roman"/>
        <charset val="134"/>
      </rPr>
      <t>3cm</t>
    </r>
    <r>
      <rPr>
        <sz val="11"/>
        <rFont val="宋体"/>
        <charset val="134"/>
      </rPr>
      <t>，带土球</t>
    </r>
    <r>
      <rPr>
        <sz val="11"/>
        <rFont val="Times New Roman"/>
        <charset val="134"/>
      </rPr>
      <t>D</t>
    </r>
    <r>
      <rPr>
        <sz val="11"/>
        <rFont val="宋体"/>
        <charset val="134"/>
      </rPr>
      <t>＞</t>
    </r>
    <r>
      <rPr>
        <sz val="11"/>
        <rFont val="Times New Roman"/>
        <charset val="134"/>
      </rPr>
      <t>15cm</t>
    </r>
  </si>
  <si>
    <r>
      <rPr>
        <sz val="11"/>
        <color theme="1"/>
        <rFont val="宋体"/>
        <charset val="134"/>
      </rPr>
      <t>皇冠梨</t>
    </r>
  </si>
  <si>
    <r>
      <rPr>
        <sz val="11"/>
        <color theme="1"/>
        <rFont val="宋体"/>
        <charset val="134"/>
      </rPr>
      <t>秋红李子</t>
    </r>
  </si>
  <si>
    <r>
      <rPr>
        <sz val="11"/>
        <color theme="1"/>
        <rFont val="宋体"/>
        <charset val="134"/>
      </rPr>
      <t>核桃</t>
    </r>
  </si>
  <si>
    <r>
      <rPr>
        <sz val="11"/>
        <color theme="1"/>
        <rFont val="宋体"/>
        <charset val="134"/>
      </rPr>
      <t>北京</t>
    </r>
    <r>
      <rPr>
        <sz val="11"/>
        <color theme="1"/>
        <rFont val="Times New Roman"/>
        <charset val="134"/>
      </rPr>
      <t>7</t>
    </r>
    <r>
      <rPr>
        <sz val="11"/>
        <color theme="1"/>
        <rFont val="宋体"/>
        <charset val="134"/>
      </rPr>
      <t>号桃</t>
    </r>
  </si>
  <si>
    <r>
      <rPr>
        <sz val="11"/>
        <color theme="1"/>
        <rFont val="宋体"/>
        <charset val="134"/>
      </rPr>
      <t>大果山楂</t>
    </r>
  </si>
  <si>
    <r>
      <rPr>
        <sz val="11"/>
        <color theme="1"/>
        <rFont val="宋体"/>
        <charset val="134"/>
      </rPr>
      <t>红梅杏</t>
    </r>
  </si>
  <si>
    <r>
      <rPr>
        <sz val="11"/>
        <color theme="1"/>
        <rFont val="宋体"/>
        <charset val="134"/>
      </rPr>
      <t>苹果</t>
    </r>
  </si>
  <si>
    <r>
      <rPr>
        <sz val="11"/>
        <color theme="1"/>
        <rFont val="宋体"/>
        <charset val="134"/>
      </rPr>
      <t>绚丽海棠</t>
    </r>
  </si>
  <si>
    <t>西府海棠</t>
  </si>
  <si>
    <t>红叶碧桃</t>
  </si>
  <si>
    <t>嫁接，地径3cm以上</t>
  </si>
  <si>
    <r>
      <rPr>
        <sz val="11"/>
        <color theme="1"/>
        <rFont val="宋体"/>
        <charset val="134"/>
      </rPr>
      <t>紫穗槐</t>
    </r>
  </si>
  <si>
    <r>
      <rPr>
        <sz val="11"/>
        <rFont val="Times New Roman"/>
        <charset val="134"/>
      </rPr>
      <t>1</t>
    </r>
    <r>
      <rPr>
        <sz val="11"/>
        <rFont val="宋体"/>
        <charset val="134"/>
      </rPr>
      <t>年生苗，</t>
    </r>
    <r>
      <rPr>
        <sz val="11"/>
        <rFont val="Times New Roman"/>
        <charset val="134"/>
      </rPr>
      <t>d</t>
    </r>
    <r>
      <rPr>
        <sz val="11"/>
        <rFont val="宋体"/>
        <charset val="134"/>
      </rPr>
      <t>≥</t>
    </r>
    <r>
      <rPr>
        <sz val="11"/>
        <rFont val="Times New Roman"/>
        <charset val="134"/>
      </rPr>
      <t>0.3cm</t>
    </r>
  </si>
  <si>
    <t>柳树枝条</t>
  </si>
  <si>
    <r>
      <rPr>
        <sz val="11"/>
        <rFont val="宋体"/>
        <charset val="134"/>
      </rPr>
      <t>枝条粗</t>
    </r>
    <r>
      <rPr>
        <sz val="11"/>
        <rFont val="Times New Roman"/>
        <charset val="134"/>
      </rPr>
      <t>0.3cm</t>
    </r>
    <r>
      <rPr>
        <sz val="11"/>
        <rFont val="宋体"/>
        <charset val="134"/>
      </rPr>
      <t>，长</t>
    </r>
    <r>
      <rPr>
        <sz val="11"/>
        <rFont val="Times New Roman"/>
        <charset val="134"/>
      </rPr>
      <t>50cm</t>
    </r>
    <r>
      <rPr>
        <sz val="11"/>
        <rFont val="宋体"/>
        <charset val="134"/>
      </rPr>
      <t>以上</t>
    </r>
  </si>
  <si>
    <r>
      <rPr>
        <sz val="11"/>
        <color theme="1"/>
        <rFont val="宋体"/>
        <charset val="134"/>
      </rPr>
      <t>连翘</t>
    </r>
  </si>
  <si>
    <t>9分枝以上，土球&gt;10cm</t>
  </si>
  <si>
    <r>
      <rPr>
        <sz val="11"/>
        <color theme="1"/>
        <rFont val="宋体"/>
        <charset val="134"/>
      </rPr>
      <t>金银木</t>
    </r>
  </si>
  <si>
    <r>
      <rPr>
        <sz val="11"/>
        <color theme="1"/>
        <rFont val="宋体"/>
        <charset val="134"/>
      </rPr>
      <t>丁香</t>
    </r>
  </si>
  <si>
    <r>
      <rPr>
        <sz val="11"/>
        <color theme="1"/>
        <rFont val="宋体"/>
        <charset val="134"/>
      </rPr>
      <t>珍珠梅</t>
    </r>
  </si>
  <si>
    <r>
      <rPr>
        <sz val="11"/>
        <color theme="1"/>
        <rFont val="宋体"/>
        <charset val="134"/>
      </rPr>
      <t>刺玫</t>
    </r>
  </si>
  <si>
    <t>红梅</t>
  </si>
  <si>
    <r>
      <rPr>
        <sz val="11"/>
        <color theme="1"/>
        <rFont val="宋体"/>
        <charset val="134"/>
      </rPr>
      <t>榆叶梅</t>
    </r>
  </si>
  <si>
    <r>
      <rPr>
        <sz val="11"/>
        <color theme="1"/>
        <rFont val="宋体"/>
        <charset val="134"/>
      </rPr>
      <t>重瓣榆叶梅</t>
    </r>
  </si>
  <si>
    <r>
      <rPr>
        <sz val="11"/>
        <color theme="1"/>
        <rFont val="宋体"/>
        <charset val="134"/>
      </rPr>
      <t>高杆金叶榆</t>
    </r>
  </si>
  <si>
    <r>
      <rPr>
        <sz val="11"/>
        <rFont val="Times New Roman"/>
        <charset val="134"/>
      </rPr>
      <t>D</t>
    </r>
    <r>
      <rPr>
        <sz val="11"/>
        <rFont val="宋体"/>
        <charset val="134"/>
      </rPr>
      <t>≥</t>
    </r>
    <r>
      <rPr>
        <sz val="11"/>
        <rFont val="Times New Roman"/>
        <charset val="134"/>
      </rPr>
      <t>4cm</t>
    </r>
    <r>
      <rPr>
        <sz val="11"/>
        <rFont val="宋体"/>
        <charset val="134"/>
      </rPr>
      <t>，定杆高＞</t>
    </r>
    <r>
      <rPr>
        <sz val="11"/>
        <rFont val="Times New Roman"/>
        <charset val="134"/>
      </rPr>
      <t>2.2m</t>
    </r>
  </si>
  <si>
    <r>
      <rPr>
        <sz val="11"/>
        <color theme="1"/>
        <rFont val="宋体"/>
        <charset val="134"/>
      </rPr>
      <t>丛生金叶榆球</t>
    </r>
  </si>
  <si>
    <r>
      <rPr>
        <sz val="11"/>
        <rFont val="Times New Roman"/>
        <charset val="134"/>
      </rPr>
      <t>d</t>
    </r>
    <r>
      <rPr>
        <sz val="11"/>
        <rFont val="宋体"/>
        <charset val="134"/>
      </rPr>
      <t>≥</t>
    </r>
    <r>
      <rPr>
        <sz val="11"/>
        <rFont val="Times New Roman"/>
        <charset val="134"/>
      </rPr>
      <t>3cm</t>
    </r>
    <r>
      <rPr>
        <sz val="11"/>
        <rFont val="宋体"/>
        <charset val="134"/>
      </rPr>
      <t>，冠幅</t>
    </r>
    <r>
      <rPr>
        <sz val="11"/>
        <rFont val="Times New Roman"/>
        <charset val="134"/>
      </rPr>
      <t>&gt;80cm</t>
    </r>
    <r>
      <rPr>
        <sz val="11"/>
        <rFont val="宋体"/>
        <charset val="134"/>
      </rPr>
      <t>，</t>
    </r>
    <r>
      <rPr>
        <sz val="11"/>
        <rFont val="Times New Roman"/>
        <charset val="134"/>
      </rPr>
      <t>H</t>
    </r>
    <r>
      <rPr>
        <sz val="11"/>
        <rFont val="宋体"/>
        <charset val="134"/>
      </rPr>
      <t>≥</t>
    </r>
    <r>
      <rPr>
        <sz val="11"/>
        <rFont val="Times New Roman"/>
        <charset val="134"/>
      </rPr>
      <t>1m</t>
    </r>
  </si>
  <si>
    <r>
      <rPr>
        <sz val="11"/>
        <color theme="1"/>
        <rFont val="宋体"/>
        <charset val="134"/>
      </rPr>
      <t>紫叶矮樱</t>
    </r>
  </si>
  <si>
    <t>1年以上，营养钵苗</t>
  </si>
  <si>
    <r>
      <rPr>
        <sz val="11"/>
        <rFont val="宋体"/>
        <charset val="134"/>
      </rPr>
      <t>山桃</t>
    </r>
  </si>
  <si>
    <r>
      <rPr>
        <sz val="11"/>
        <rFont val="Times New Roman"/>
        <charset val="134"/>
      </rPr>
      <t>1</t>
    </r>
    <r>
      <rPr>
        <sz val="11"/>
        <rFont val="宋体"/>
        <charset val="134"/>
      </rPr>
      <t>年生苗，</t>
    </r>
    <r>
      <rPr>
        <sz val="11"/>
        <rFont val="Times New Roman"/>
        <charset val="134"/>
      </rPr>
      <t>d&gt;0.5cm</t>
    </r>
    <r>
      <rPr>
        <sz val="11"/>
        <rFont val="宋体"/>
        <charset val="134"/>
      </rPr>
      <t>，截杆高度</t>
    </r>
    <r>
      <rPr>
        <sz val="11"/>
        <rFont val="Times New Roman"/>
        <charset val="134"/>
      </rPr>
      <t>15cm</t>
    </r>
  </si>
  <si>
    <r>
      <rPr>
        <sz val="11"/>
        <rFont val="Times New Roman"/>
        <charset val="134"/>
      </rPr>
      <t>d</t>
    </r>
    <r>
      <rPr>
        <sz val="11"/>
        <rFont val="宋体"/>
        <charset val="134"/>
      </rPr>
      <t>≥</t>
    </r>
    <r>
      <rPr>
        <sz val="11"/>
        <rFont val="Times New Roman"/>
        <charset val="134"/>
      </rPr>
      <t>3cm</t>
    </r>
  </si>
  <si>
    <r>
      <rPr>
        <sz val="11"/>
        <rFont val="宋体"/>
        <charset val="134"/>
      </rPr>
      <t>沙棘</t>
    </r>
  </si>
  <si>
    <r>
      <rPr>
        <sz val="11"/>
        <rFont val="Times New Roman"/>
        <charset val="134"/>
      </rPr>
      <t>1</t>
    </r>
    <r>
      <rPr>
        <sz val="11"/>
        <rFont val="宋体"/>
        <charset val="134"/>
      </rPr>
      <t>年生苗，</t>
    </r>
    <r>
      <rPr>
        <sz val="11"/>
        <rFont val="Times New Roman"/>
        <charset val="134"/>
      </rPr>
      <t>d&gt;0.3cm</t>
    </r>
    <r>
      <rPr>
        <sz val="11"/>
        <rFont val="宋体"/>
        <charset val="134"/>
      </rPr>
      <t>，截杆高度</t>
    </r>
    <r>
      <rPr>
        <sz val="11"/>
        <rFont val="Times New Roman"/>
        <charset val="134"/>
      </rPr>
      <t>15cm</t>
    </r>
  </si>
  <si>
    <r>
      <rPr>
        <sz val="11"/>
        <color theme="1"/>
        <rFont val="宋体"/>
        <charset val="134"/>
      </rPr>
      <t>月季</t>
    </r>
  </si>
  <si>
    <t>1年生（营养钵）</t>
  </si>
  <si>
    <r>
      <rPr>
        <sz val="11"/>
        <color theme="1"/>
        <rFont val="宋体"/>
        <charset val="134"/>
      </rPr>
      <t>大理花</t>
    </r>
  </si>
  <si>
    <r>
      <rPr>
        <sz val="11"/>
        <color theme="1"/>
        <rFont val="宋体"/>
        <charset val="134"/>
      </rPr>
      <t>丛生牡丹</t>
    </r>
  </si>
  <si>
    <r>
      <rPr>
        <sz val="11"/>
        <rFont val="宋体"/>
        <charset val="134"/>
      </rPr>
      <t>多年生</t>
    </r>
  </si>
  <si>
    <r>
      <rPr>
        <sz val="11"/>
        <color theme="1"/>
        <rFont val="宋体"/>
        <charset val="134"/>
      </rPr>
      <t>石竹</t>
    </r>
  </si>
  <si>
    <r>
      <rPr>
        <sz val="11"/>
        <color theme="1"/>
        <rFont val="宋体"/>
        <charset val="134"/>
      </rPr>
      <t>地被菊</t>
    </r>
  </si>
  <si>
    <r>
      <rPr>
        <sz val="11"/>
        <color theme="1"/>
        <rFont val="宋体"/>
        <charset val="134"/>
      </rPr>
      <t>景天</t>
    </r>
  </si>
  <si>
    <r>
      <rPr>
        <sz val="11"/>
        <color theme="1"/>
        <rFont val="宋体"/>
        <charset val="134"/>
      </rPr>
      <t>萱草</t>
    </r>
  </si>
  <si>
    <r>
      <rPr>
        <sz val="11"/>
        <color theme="1"/>
        <rFont val="宋体"/>
        <charset val="134"/>
      </rPr>
      <t>马兰</t>
    </r>
  </si>
  <si>
    <t>建筑工程概算表</t>
  </si>
  <si>
    <r>
      <rPr>
        <b/>
        <sz val="11"/>
        <rFont val="宋体"/>
        <charset val="134"/>
      </rPr>
      <t>名称及规格</t>
    </r>
  </si>
  <si>
    <r>
      <rPr>
        <b/>
        <sz val="11"/>
        <rFont val="宋体"/>
        <charset val="134"/>
      </rPr>
      <t>（</t>
    </r>
    <r>
      <rPr>
        <b/>
        <sz val="11"/>
        <rFont val="Times New Roman"/>
        <charset val="134"/>
      </rPr>
      <t>2</t>
    </r>
    <r>
      <rPr>
        <b/>
        <sz val="11"/>
        <rFont val="宋体"/>
        <charset val="134"/>
      </rPr>
      <t>）</t>
    </r>
  </si>
  <si>
    <r>
      <rPr>
        <b/>
        <sz val="11"/>
        <rFont val="宋体"/>
        <charset val="134"/>
      </rPr>
      <t>（</t>
    </r>
    <r>
      <rPr>
        <b/>
        <sz val="11"/>
        <rFont val="Times New Roman"/>
        <charset val="134"/>
      </rPr>
      <t>3</t>
    </r>
    <r>
      <rPr>
        <b/>
        <sz val="11"/>
        <rFont val="宋体"/>
        <charset val="134"/>
      </rPr>
      <t>）</t>
    </r>
  </si>
  <si>
    <r>
      <rPr>
        <b/>
        <sz val="11"/>
        <rFont val="宋体"/>
        <charset val="134"/>
      </rPr>
      <t>（</t>
    </r>
    <r>
      <rPr>
        <b/>
        <sz val="11"/>
        <rFont val="Times New Roman"/>
        <charset val="134"/>
      </rPr>
      <t>5</t>
    </r>
    <r>
      <rPr>
        <b/>
        <sz val="11"/>
        <rFont val="宋体"/>
        <charset val="134"/>
      </rPr>
      <t>）</t>
    </r>
  </si>
  <si>
    <r>
      <rPr>
        <b/>
        <sz val="11"/>
        <rFont val="宋体"/>
        <charset val="134"/>
      </rPr>
      <t>（</t>
    </r>
    <r>
      <rPr>
        <b/>
        <sz val="11"/>
        <rFont val="Times New Roman"/>
        <charset val="134"/>
      </rPr>
      <t>6</t>
    </r>
    <r>
      <rPr>
        <b/>
        <sz val="11"/>
        <rFont val="宋体"/>
        <charset val="134"/>
      </rPr>
      <t>）</t>
    </r>
  </si>
  <si>
    <t>工程施工费</t>
  </si>
  <si>
    <t>（1）</t>
  </si>
  <si>
    <t>土方平整（渣堆平整，调运等）</t>
  </si>
  <si>
    <t>防风防尘工程</t>
  </si>
  <si>
    <t>防尘网（绿色，新料聚乙烯）</t>
  </si>
  <si>
    <t>防风墙工程（高7m）</t>
  </si>
  <si>
    <t>基础开挖</t>
  </si>
  <si>
    <t>个</t>
  </si>
  <si>
    <t>（2）</t>
  </si>
  <si>
    <t>C30混凝土预制基础（含预埋件）</t>
  </si>
  <si>
    <t>（3）</t>
  </si>
  <si>
    <t>C25混凝土垫层</t>
  </si>
  <si>
    <t>（4）</t>
  </si>
  <si>
    <t>复合钢架（高7m）</t>
  </si>
  <si>
    <t>（5）</t>
  </si>
  <si>
    <t>防风抑尘网（开孔率45%）</t>
  </si>
  <si>
    <t>施工临时工程、管理费及税金等</t>
  </si>
  <si>
    <t xml:space="preserve"> 表5－4                        拆迁补偿费预算表</t>
  </si>
  <si>
    <t>项目名称：</t>
  </si>
  <si>
    <t>金额单位：万元</t>
  </si>
  <si>
    <t>费用名称</t>
  </si>
  <si>
    <t>单位</t>
  </si>
  <si>
    <t>数量</t>
  </si>
  <si>
    <t>单价（元）</t>
  </si>
  <si>
    <t>（6）</t>
  </si>
  <si>
    <t>单坟</t>
  </si>
  <si>
    <t>双坟</t>
  </si>
  <si>
    <t>总计</t>
  </si>
  <si>
    <t>－</t>
  </si>
  <si>
    <r>
      <rPr>
        <sz val="16"/>
        <rFont val="Times New Roman"/>
        <charset val="134"/>
      </rPr>
      <t xml:space="preserve">  </t>
    </r>
    <r>
      <rPr>
        <sz val="16"/>
        <rFont val="宋体"/>
        <charset val="134"/>
      </rPr>
      <t>表</t>
    </r>
    <r>
      <rPr>
        <sz val="16"/>
        <rFont val="Times New Roman"/>
        <charset val="134"/>
      </rPr>
      <t xml:space="preserve"> 7                                    </t>
    </r>
  </si>
  <si>
    <r>
      <rPr>
        <sz val="16"/>
        <rFont val="宋体"/>
        <charset val="134"/>
      </rPr>
      <t>季度分月用款计划表</t>
    </r>
  </si>
  <si>
    <r>
      <rPr>
        <sz val="11"/>
        <rFont val="宋体"/>
        <charset val="134"/>
      </rPr>
      <t>金额单位：万元</t>
    </r>
  </si>
  <si>
    <r>
      <rPr>
        <b/>
        <sz val="10"/>
        <rFont val="宋体"/>
        <charset val="134"/>
      </rPr>
      <t>工程名称</t>
    </r>
  </si>
  <si>
    <r>
      <rPr>
        <b/>
        <sz val="10"/>
        <rFont val="宋体"/>
        <charset val="134"/>
      </rPr>
      <t>项目地点</t>
    </r>
  </si>
  <si>
    <r>
      <rPr>
        <b/>
        <sz val="10"/>
        <rFont val="宋体"/>
        <charset val="134"/>
      </rPr>
      <t>具体用款科目</t>
    </r>
  </si>
  <si>
    <r>
      <rPr>
        <b/>
        <sz val="10"/>
        <rFont val="宋体"/>
        <charset val="134"/>
      </rPr>
      <t>合计</t>
    </r>
  </si>
  <si>
    <r>
      <rPr>
        <b/>
        <sz val="10"/>
        <rFont val="宋体"/>
        <charset val="134"/>
      </rPr>
      <t>第一年</t>
    </r>
  </si>
  <si>
    <r>
      <rPr>
        <b/>
        <sz val="10"/>
        <rFont val="宋体"/>
        <charset val="134"/>
      </rPr>
      <t>第一季度</t>
    </r>
  </si>
  <si>
    <r>
      <rPr>
        <b/>
        <sz val="10"/>
        <rFont val="宋体"/>
        <charset val="134"/>
      </rPr>
      <t>第二季度</t>
    </r>
  </si>
  <si>
    <r>
      <rPr>
        <b/>
        <sz val="10"/>
        <rFont val="宋体"/>
        <charset val="134"/>
      </rPr>
      <t>第三季度</t>
    </r>
  </si>
  <si>
    <r>
      <rPr>
        <b/>
        <sz val="10"/>
        <rFont val="宋体"/>
        <charset val="134"/>
      </rPr>
      <t>第四季度</t>
    </r>
  </si>
  <si>
    <r>
      <rPr>
        <b/>
        <sz val="10"/>
        <rFont val="Times New Roman"/>
        <charset val="134"/>
      </rPr>
      <t>1</t>
    </r>
    <r>
      <rPr>
        <b/>
        <sz val="10"/>
        <rFont val="宋体"/>
        <charset val="134"/>
      </rPr>
      <t>月</t>
    </r>
  </si>
  <si>
    <r>
      <rPr>
        <b/>
        <sz val="10"/>
        <rFont val="Times New Roman"/>
        <charset val="134"/>
      </rPr>
      <t>2月</t>
    </r>
  </si>
  <si>
    <r>
      <rPr>
        <b/>
        <sz val="10"/>
        <rFont val="Times New Roman"/>
        <charset val="134"/>
      </rPr>
      <t>3月</t>
    </r>
  </si>
  <si>
    <r>
      <rPr>
        <b/>
        <sz val="10"/>
        <rFont val="Times New Roman"/>
        <charset val="134"/>
      </rPr>
      <t>4月</t>
    </r>
  </si>
  <si>
    <r>
      <rPr>
        <b/>
        <sz val="10"/>
        <rFont val="Times New Roman"/>
        <charset val="134"/>
      </rPr>
      <t>5月</t>
    </r>
  </si>
  <si>
    <r>
      <rPr>
        <b/>
        <sz val="10"/>
        <rFont val="Times New Roman"/>
        <charset val="134"/>
      </rPr>
      <t>6月</t>
    </r>
  </si>
  <si>
    <r>
      <rPr>
        <b/>
        <sz val="10"/>
        <rFont val="Times New Roman"/>
        <charset val="134"/>
      </rPr>
      <t>7月</t>
    </r>
  </si>
  <si>
    <r>
      <rPr>
        <b/>
        <sz val="10"/>
        <rFont val="Times New Roman"/>
        <charset val="134"/>
      </rPr>
      <t>8月</t>
    </r>
  </si>
  <si>
    <r>
      <rPr>
        <b/>
        <sz val="10"/>
        <rFont val="Times New Roman"/>
        <charset val="134"/>
      </rPr>
      <t>9月</t>
    </r>
  </si>
  <si>
    <r>
      <rPr>
        <b/>
        <sz val="10"/>
        <rFont val="Times New Roman"/>
        <charset val="134"/>
      </rPr>
      <t>10月</t>
    </r>
  </si>
  <si>
    <r>
      <rPr>
        <b/>
        <sz val="10"/>
        <rFont val="Times New Roman"/>
        <charset val="134"/>
      </rPr>
      <t>11月</t>
    </r>
  </si>
  <si>
    <r>
      <rPr>
        <b/>
        <sz val="10"/>
        <rFont val="Times New Roman"/>
        <charset val="134"/>
      </rPr>
      <t>12月</t>
    </r>
  </si>
  <si>
    <r>
      <rPr>
        <sz val="10"/>
        <rFont val="宋体"/>
        <charset val="134"/>
      </rPr>
      <t>地形地貌恢复工程</t>
    </r>
  </si>
  <si>
    <r>
      <rPr>
        <sz val="10"/>
        <rFont val="宋体"/>
        <charset val="134"/>
      </rPr>
      <t>灌溉与排水工程</t>
    </r>
  </si>
  <si>
    <r>
      <rPr>
        <sz val="10"/>
        <rFont val="宋体"/>
        <charset val="134"/>
      </rPr>
      <t>田间道路工程</t>
    </r>
  </si>
  <si>
    <r>
      <rPr>
        <sz val="10"/>
        <rFont val="宋体"/>
        <charset val="134"/>
      </rPr>
      <t>农田防护与生态环境保持工程</t>
    </r>
  </si>
  <si>
    <r>
      <rPr>
        <sz val="10"/>
        <rFont val="宋体"/>
        <charset val="134"/>
      </rPr>
      <t>标识牌设置工程</t>
    </r>
  </si>
  <si>
    <r>
      <rPr>
        <sz val="10"/>
        <rFont val="宋体"/>
        <charset val="134"/>
      </rPr>
      <t>设备购置费</t>
    </r>
  </si>
  <si>
    <r>
      <rPr>
        <sz val="10"/>
        <rFont val="宋体"/>
        <charset val="134"/>
      </rPr>
      <t>前期工作费</t>
    </r>
  </si>
  <si>
    <r>
      <rPr>
        <sz val="10"/>
        <rFont val="宋体"/>
        <charset val="134"/>
      </rPr>
      <t>工程监理费</t>
    </r>
  </si>
  <si>
    <r>
      <rPr>
        <sz val="10"/>
        <rFont val="宋体"/>
        <charset val="134"/>
      </rPr>
      <t>竣工验收费</t>
    </r>
  </si>
  <si>
    <r>
      <rPr>
        <sz val="10"/>
        <rFont val="宋体"/>
        <charset val="134"/>
      </rPr>
      <t>业主管理费</t>
    </r>
  </si>
  <si>
    <r>
      <rPr>
        <sz val="10"/>
        <rFont val="宋体"/>
        <charset val="134"/>
      </rPr>
      <t>不可预见费</t>
    </r>
  </si>
  <si>
    <r>
      <rPr>
        <b/>
        <sz val="10"/>
        <rFont val="宋体"/>
        <charset val="134"/>
      </rPr>
      <t>总计</t>
    </r>
  </si>
  <si>
    <r>
      <rPr>
        <sz val="10"/>
        <rFont val="宋体"/>
        <charset val="134"/>
      </rPr>
      <t>编制单位：北京世纪农丰土地科技有限公司</t>
    </r>
  </si>
  <si>
    <r>
      <rPr>
        <sz val="10"/>
        <rFont val="宋体"/>
        <charset val="134"/>
      </rPr>
      <t>编制日期：</t>
    </r>
    <r>
      <rPr>
        <sz val="10"/>
        <rFont val="Times New Roman"/>
        <charset val="134"/>
      </rPr>
      <t>2021</t>
    </r>
    <r>
      <rPr>
        <sz val="10"/>
        <rFont val="宋体"/>
        <charset val="134"/>
      </rPr>
      <t>年</t>
    </r>
    <r>
      <rPr>
        <sz val="10"/>
        <rFont val="Times New Roman"/>
        <charset val="134"/>
      </rPr>
      <t>04</t>
    </r>
    <r>
      <rPr>
        <sz val="10"/>
        <rFont val="宋体"/>
        <charset val="134"/>
      </rPr>
      <t>月</t>
    </r>
  </si>
  <si>
    <r>
      <rPr>
        <b/>
        <sz val="14"/>
        <rFont val="宋体"/>
        <charset val="134"/>
      </rPr>
      <t>附表</t>
    </r>
    <r>
      <rPr>
        <b/>
        <sz val="14"/>
        <rFont val="Times New Roman"/>
        <charset val="134"/>
      </rPr>
      <t>1</t>
    </r>
  </si>
  <si>
    <t>人工估算单价计算表</t>
  </si>
  <si>
    <r>
      <rPr>
        <b/>
        <sz val="12"/>
        <rFont val="宋体"/>
        <charset val="134"/>
      </rPr>
      <t>甲类工</t>
    </r>
  </si>
  <si>
    <r>
      <rPr>
        <b/>
        <sz val="11"/>
        <rFont val="宋体"/>
        <charset val="134"/>
      </rPr>
      <t>地区类</t>
    </r>
  </si>
  <si>
    <r>
      <rPr>
        <b/>
        <sz val="11"/>
        <rFont val="宋体"/>
        <charset val="134"/>
      </rPr>
      <t>十一类</t>
    </r>
  </si>
  <si>
    <r>
      <rPr>
        <b/>
        <sz val="11"/>
        <rFont val="宋体"/>
        <charset val="134"/>
      </rPr>
      <t>定额人工等级</t>
    </r>
  </si>
  <si>
    <r>
      <rPr>
        <b/>
        <sz val="11"/>
        <rFont val="宋体"/>
        <charset val="134"/>
      </rPr>
      <t>甲类工</t>
    </r>
  </si>
  <si>
    <r>
      <rPr>
        <b/>
        <sz val="11"/>
        <rFont val="宋体"/>
        <charset val="134"/>
      </rPr>
      <t>项目</t>
    </r>
  </si>
  <si>
    <r>
      <rPr>
        <b/>
        <sz val="11"/>
        <rFont val="宋体"/>
        <charset val="134"/>
      </rPr>
      <t>计算式</t>
    </r>
  </si>
  <si>
    <r>
      <rPr>
        <b/>
        <sz val="11"/>
        <rFont val="宋体"/>
        <charset val="134"/>
      </rPr>
      <t>单价（元）</t>
    </r>
  </si>
  <si>
    <r>
      <rPr>
        <b/>
        <sz val="11"/>
        <rFont val="宋体"/>
        <charset val="134"/>
      </rPr>
      <t>基本工资</t>
    </r>
  </si>
  <si>
    <r>
      <rPr>
        <b/>
        <sz val="11"/>
        <rFont val="宋体"/>
        <charset val="134"/>
      </rPr>
      <t>基本工资（</t>
    </r>
    <r>
      <rPr>
        <b/>
        <sz val="11"/>
        <rFont val="Times New Roman"/>
        <charset val="134"/>
      </rPr>
      <t>633.62</t>
    </r>
    <r>
      <rPr>
        <b/>
        <sz val="11"/>
        <rFont val="宋体"/>
        <charset val="134"/>
      </rPr>
      <t>元</t>
    </r>
    <r>
      <rPr>
        <b/>
        <sz val="11"/>
        <rFont val="Times New Roman"/>
        <charset val="134"/>
      </rPr>
      <t>/</t>
    </r>
    <r>
      <rPr>
        <b/>
        <sz val="11"/>
        <rFont val="宋体"/>
        <charset val="134"/>
      </rPr>
      <t>月）</t>
    </r>
    <r>
      <rPr>
        <b/>
        <sz val="11"/>
        <rFont val="Times New Roman"/>
        <charset val="134"/>
      </rPr>
      <t>×1.1304×12÷</t>
    </r>
    <r>
      <rPr>
        <b/>
        <sz val="11"/>
        <rFont val="宋体"/>
        <charset val="134"/>
      </rPr>
      <t>（</t>
    </r>
    <r>
      <rPr>
        <b/>
        <sz val="11"/>
        <rFont val="Times New Roman"/>
        <charset val="134"/>
      </rPr>
      <t>250-10</t>
    </r>
    <r>
      <rPr>
        <b/>
        <sz val="11"/>
        <rFont val="宋体"/>
        <charset val="134"/>
      </rPr>
      <t>）</t>
    </r>
  </si>
  <si>
    <r>
      <rPr>
        <b/>
        <sz val="11"/>
        <rFont val="宋体"/>
        <charset val="134"/>
      </rPr>
      <t>辅助工资</t>
    </r>
  </si>
  <si>
    <r>
      <rPr>
        <sz val="11"/>
        <rFont val="宋体"/>
        <charset val="134"/>
      </rPr>
      <t>地区津贴</t>
    </r>
  </si>
  <si>
    <r>
      <rPr>
        <sz val="11"/>
        <rFont val="宋体"/>
        <charset val="134"/>
      </rPr>
      <t>地区津贴（</t>
    </r>
    <r>
      <rPr>
        <sz val="11"/>
        <rFont val="Times New Roman"/>
        <charset val="134"/>
      </rPr>
      <t>0</t>
    </r>
    <r>
      <rPr>
        <sz val="11"/>
        <rFont val="宋体"/>
        <charset val="134"/>
      </rPr>
      <t>元</t>
    </r>
    <r>
      <rPr>
        <sz val="11"/>
        <rFont val="Times New Roman"/>
        <charset val="134"/>
      </rPr>
      <t>/</t>
    </r>
    <r>
      <rPr>
        <sz val="11"/>
        <rFont val="宋体"/>
        <charset val="134"/>
      </rPr>
      <t>月）</t>
    </r>
    <r>
      <rPr>
        <sz val="11"/>
        <rFont val="Times New Roman"/>
        <charset val="134"/>
      </rPr>
      <t>×12÷</t>
    </r>
    <r>
      <rPr>
        <sz val="11"/>
        <rFont val="宋体"/>
        <charset val="134"/>
      </rPr>
      <t>（</t>
    </r>
    <r>
      <rPr>
        <sz val="11"/>
        <rFont val="Times New Roman"/>
        <charset val="134"/>
      </rPr>
      <t>250-10</t>
    </r>
    <r>
      <rPr>
        <sz val="11"/>
        <rFont val="宋体"/>
        <charset val="134"/>
      </rPr>
      <t>）</t>
    </r>
  </si>
  <si>
    <r>
      <rPr>
        <sz val="11"/>
        <rFont val="宋体"/>
        <charset val="134"/>
      </rPr>
      <t>施工津贴</t>
    </r>
  </si>
  <si>
    <r>
      <rPr>
        <sz val="11"/>
        <rFont val="宋体"/>
        <charset val="134"/>
      </rPr>
      <t>施工津贴（</t>
    </r>
    <r>
      <rPr>
        <sz val="11"/>
        <rFont val="Times New Roman"/>
        <charset val="134"/>
      </rPr>
      <t>3.5</t>
    </r>
    <r>
      <rPr>
        <sz val="11"/>
        <rFont val="宋体"/>
        <charset val="134"/>
      </rPr>
      <t>元</t>
    </r>
    <r>
      <rPr>
        <sz val="11"/>
        <rFont val="Times New Roman"/>
        <charset val="134"/>
      </rPr>
      <t>/</t>
    </r>
    <r>
      <rPr>
        <sz val="11"/>
        <rFont val="宋体"/>
        <charset val="134"/>
      </rPr>
      <t>天）</t>
    </r>
    <r>
      <rPr>
        <sz val="11"/>
        <rFont val="Times New Roman"/>
        <charset val="134"/>
      </rPr>
      <t>×365×0.95÷</t>
    </r>
    <r>
      <rPr>
        <sz val="11"/>
        <rFont val="宋体"/>
        <charset val="134"/>
      </rPr>
      <t>（</t>
    </r>
    <r>
      <rPr>
        <sz val="11"/>
        <rFont val="Times New Roman"/>
        <charset val="134"/>
      </rPr>
      <t>250-10</t>
    </r>
    <r>
      <rPr>
        <sz val="11"/>
        <rFont val="宋体"/>
        <charset val="134"/>
      </rPr>
      <t>）</t>
    </r>
  </si>
  <si>
    <r>
      <rPr>
        <sz val="11"/>
        <rFont val="宋体"/>
        <charset val="134"/>
      </rPr>
      <t>夜餐津贴</t>
    </r>
  </si>
  <si>
    <r>
      <rPr>
        <sz val="11"/>
        <rFont val="宋体"/>
        <charset val="134"/>
      </rPr>
      <t>（</t>
    </r>
    <r>
      <rPr>
        <sz val="11"/>
        <rFont val="Times New Roman"/>
        <charset val="134"/>
      </rPr>
      <t>3.5+4.5</t>
    </r>
    <r>
      <rPr>
        <sz val="11"/>
        <rFont val="宋体"/>
        <charset val="134"/>
      </rPr>
      <t>）</t>
    </r>
    <r>
      <rPr>
        <sz val="11"/>
        <rFont val="Times New Roman"/>
        <charset val="134"/>
      </rPr>
      <t>÷2×0.2</t>
    </r>
  </si>
  <si>
    <r>
      <rPr>
        <sz val="11"/>
        <rFont val="宋体"/>
        <charset val="134"/>
      </rPr>
      <t>节日加班津贴</t>
    </r>
  </si>
  <si>
    <r>
      <rPr>
        <sz val="11"/>
        <rFont val="宋体"/>
        <charset val="134"/>
      </rPr>
      <t>基本工资（</t>
    </r>
    <r>
      <rPr>
        <sz val="11"/>
        <rFont val="Times New Roman"/>
        <charset val="134"/>
      </rPr>
      <t>35.81</t>
    </r>
    <r>
      <rPr>
        <sz val="11"/>
        <rFont val="宋体"/>
        <charset val="134"/>
      </rPr>
      <t>元</t>
    </r>
    <r>
      <rPr>
        <sz val="11"/>
        <rFont val="Times New Roman"/>
        <charset val="134"/>
      </rPr>
      <t>/</t>
    </r>
    <r>
      <rPr>
        <sz val="11"/>
        <rFont val="宋体"/>
        <charset val="134"/>
      </rPr>
      <t>日）</t>
    </r>
    <r>
      <rPr>
        <sz val="11"/>
        <rFont val="Times New Roman"/>
        <charset val="134"/>
      </rPr>
      <t>×</t>
    </r>
    <r>
      <rPr>
        <sz val="11"/>
        <rFont val="宋体"/>
        <charset val="134"/>
      </rPr>
      <t>（</t>
    </r>
    <r>
      <rPr>
        <sz val="11"/>
        <rFont val="Times New Roman"/>
        <charset val="134"/>
      </rPr>
      <t>3-1</t>
    </r>
    <r>
      <rPr>
        <sz val="11"/>
        <rFont val="宋体"/>
        <charset val="134"/>
      </rPr>
      <t>）</t>
    </r>
    <r>
      <rPr>
        <sz val="11"/>
        <rFont val="Times New Roman"/>
        <charset val="134"/>
      </rPr>
      <t>×11÷250×0.35</t>
    </r>
  </si>
  <si>
    <r>
      <rPr>
        <b/>
        <sz val="11"/>
        <rFont val="宋体"/>
        <charset val="134"/>
      </rPr>
      <t>工资附加费</t>
    </r>
  </si>
  <si>
    <r>
      <rPr>
        <b/>
        <sz val="11"/>
        <rFont val="宋体"/>
        <charset val="134"/>
      </rPr>
      <t>－</t>
    </r>
  </si>
  <si>
    <r>
      <rPr>
        <sz val="11"/>
        <rFont val="宋体"/>
        <charset val="134"/>
      </rPr>
      <t>职工福利基金</t>
    </r>
  </si>
  <si>
    <r>
      <rPr>
        <sz val="11"/>
        <rFont val="宋体"/>
        <charset val="134"/>
      </rPr>
      <t>（基本工资＋辅助工资）</t>
    </r>
    <r>
      <rPr>
        <sz val="11"/>
        <rFont val="Times New Roman"/>
        <charset val="134"/>
      </rPr>
      <t>×14%</t>
    </r>
  </si>
  <si>
    <r>
      <rPr>
        <sz val="11"/>
        <rFont val="宋体"/>
        <charset val="134"/>
      </rPr>
      <t>工会费用</t>
    </r>
  </si>
  <si>
    <r>
      <rPr>
        <sz val="11"/>
        <rFont val="宋体"/>
        <charset val="134"/>
      </rPr>
      <t>（基本工资＋辅助工资）</t>
    </r>
    <r>
      <rPr>
        <sz val="11"/>
        <rFont val="Times New Roman"/>
        <charset val="134"/>
      </rPr>
      <t>×2%</t>
    </r>
  </si>
  <si>
    <r>
      <rPr>
        <sz val="11"/>
        <rFont val="宋体"/>
        <charset val="134"/>
      </rPr>
      <t>养老保险</t>
    </r>
  </si>
  <si>
    <r>
      <rPr>
        <sz val="11"/>
        <rFont val="宋体"/>
        <charset val="134"/>
      </rPr>
      <t>（基本工资＋辅助工资）</t>
    </r>
    <r>
      <rPr>
        <sz val="11"/>
        <rFont val="Times New Roman"/>
        <charset val="134"/>
      </rPr>
      <t>×20%</t>
    </r>
  </si>
  <si>
    <r>
      <rPr>
        <sz val="11"/>
        <rFont val="宋体"/>
        <charset val="134"/>
      </rPr>
      <t>医疗保险</t>
    </r>
  </si>
  <si>
    <r>
      <rPr>
        <sz val="11"/>
        <rFont val="宋体"/>
        <charset val="134"/>
      </rPr>
      <t>（基本工资＋辅助工资）</t>
    </r>
    <r>
      <rPr>
        <sz val="11"/>
        <rFont val="Times New Roman"/>
        <charset val="134"/>
      </rPr>
      <t>×4%</t>
    </r>
  </si>
  <si>
    <r>
      <rPr>
        <sz val="11"/>
        <rFont val="宋体"/>
        <charset val="134"/>
      </rPr>
      <t>（</t>
    </r>
    <r>
      <rPr>
        <sz val="11"/>
        <rFont val="Times New Roman"/>
        <charset val="134"/>
      </rPr>
      <t>5</t>
    </r>
    <r>
      <rPr>
        <sz val="11"/>
        <rFont val="宋体"/>
        <charset val="134"/>
      </rPr>
      <t>）</t>
    </r>
  </si>
  <si>
    <r>
      <rPr>
        <sz val="11"/>
        <rFont val="宋体"/>
        <charset val="134"/>
      </rPr>
      <t>工伤保险</t>
    </r>
  </si>
  <si>
    <r>
      <rPr>
        <sz val="11"/>
        <rFont val="宋体"/>
        <charset val="134"/>
      </rPr>
      <t>（基本工资＋辅助工资）</t>
    </r>
    <r>
      <rPr>
        <sz val="11"/>
        <rFont val="Times New Roman"/>
        <charset val="134"/>
      </rPr>
      <t>×1.5%</t>
    </r>
  </si>
  <si>
    <r>
      <rPr>
        <sz val="11"/>
        <rFont val="宋体"/>
        <charset val="134"/>
      </rPr>
      <t>（</t>
    </r>
    <r>
      <rPr>
        <sz val="11"/>
        <rFont val="Times New Roman"/>
        <charset val="134"/>
      </rPr>
      <t>6</t>
    </r>
    <r>
      <rPr>
        <sz val="11"/>
        <rFont val="宋体"/>
        <charset val="134"/>
      </rPr>
      <t>）</t>
    </r>
  </si>
  <si>
    <r>
      <rPr>
        <sz val="11"/>
        <rFont val="宋体"/>
        <charset val="134"/>
      </rPr>
      <t>失业保险</t>
    </r>
  </si>
  <si>
    <r>
      <rPr>
        <sz val="11"/>
        <rFont val="宋体"/>
        <charset val="134"/>
      </rPr>
      <t>（</t>
    </r>
    <r>
      <rPr>
        <sz val="11"/>
        <rFont val="Times New Roman"/>
        <charset val="134"/>
      </rPr>
      <t>7</t>
    </r>
    <r>
      <rPr>
        <sz val="11"/>
        <rFont val="宋体"/>
        <charset val="134"/>
      </rPr>
      <t>）</t>
    </r>
  </si>
  <si>
    <r>
      <rPr>
        <sz val="11"/>
        <rFont val="宋体"/>
        <charset val="134"/>
      </rPr>
      <t>住房公积金</t>
    </r>
  </si>
  <si>
    <r>
      <rPr>
        <sz val="11"/>
        <rFont val="宋体"/>
        <charset val="134"/>
      </rPr>
      <t>（基本工资＋辅助工资）</t>
    </r>
    <r>
      <rPr>
        <sz val="11"/>
        <rFont val="Times New Roman"/>
        <charset val="134"/>
      </rPr>
      <t>×8%</t>
    </r>
  </si>
  <si>
    <t>工日概算单价</t>
  </si>
  <si>
    <r>
      <rPr>
        <b/>
        <sz val="11"/>
        <rFont val="宋体"/>
        <charset val="134"/>
      </rPr>
      <t>乙类工</t>
    </r>
  </si>
  <si>
    <r>
      <rPr>
        <b/>
        <sz val="11"/>
        <rFont val="宋体"/>
        <charset val="134"/>
      </rPr>
      <t>基本工资（</t>
    </r>
    <r>
      <rPr>
        <b/>
        <sz val="11"/>
        <rFont val="Times New Roman"/>
        <charset val="134"/>
      </rPr>
      <t>478.10</t>
    </r>
    <r>
      <rPr>
        <b/>
        <sz val="11"/>
        <rFont val="宋体"/>
        <charset val="134"/>
      </rPr>
      <t>元</t>
    </r>
    <r>
      <rPr>
        <b/>
        <sz val="11"/>
        <rFont val="Times New Roman"/>
        <charset val="134"/>
      </rPr>
      <t>/</t>
    </r>
    <r>
      <rPr>
        <b/>
        <sz val="11"/>
        <rFont val="宋体"/>
        <charset val="134"/>
      </rPr>
      <t>月）</t>
    </r>
    <r>
      <rPr>
        <b/>
        <sz val="11"/>
        <rFont val="Times New Roman"/>
        <charset val="134"/>
      </rPr>
      <t>×1.1304×12÷</t>
    </r>
    <r>
      <rPr>
        <b/>
        <sz val="11"/>
        <rFont val="宋体"/>
        <charset val="134"/>
      </rPr>
      <t>（</t>
    </r>
    <r>
      <rPr>
        <b/>
        <sz val="11"/>
        <rFont val="Times New Roman"/>
        <charset val="134"/>
      </rPr>
      <t>250-10</t>
    </r>
    <r>
      <rPr>
        <b/>
        <sz val="11"/>
        <rFont val="宋体"/>
        <charset val="134"/>
      </rPr>
      <t>）</t>
    </r>
  </si>
  <si>
    <r>
      <rPr>
        <sz val="11"/>
        <rFont val="宋体"/>
        <charset val="134"/>
      </rPr>
      <t>施工津贴（</t>
    </r>
    <r>
      <rPr>
        <sz val="11"/>
        <rFont val="Times New Roman"/>
        <charset val="134"/>
      </rPr>
      <t>2.0</t>
    </r>
    <r>
      <rPr>
        <sz val="11"/>
        <rFont val="宋体"/>
        <charset val="134"/>
      </rPr>
      <t>元</t>
    </r>
    <r>
      <rPr>
        <sz val="11"/>
        <rFont val="Times New Roman"/>
        <charset val="134"/>
      </rPr>
      <t>/</t>
    </r>
    <r>
      <rPr>
        <sz val="11"/>
        <rFont val="宋体"/>
        <charset val="134"/>
      </rPr>
      <t>天）</t>
    </r>
    <r>
      <rPr>
        <sz val="11"/>
        <rFont val="Times New Roman"/>
        <charset val="134"/>
      </rPr>
      <t>×365×0.95÷</t>
    </r>
    <r>
      <rPr>
        <sz val="11"/>
        <rFont val="宋体"/>
        <charset val="134"/>
      </rPr>
      <t>（</t>
    </r>
    <r>
      <rPr>
        <sz val="11"/>
        <rFont val="Times New Roman"/>
        <charset val="134"/>
      </rPr>
      <t>250-10</t>
    </r>
    <r>
      <rPr>
        <sz val="11"/>
        <rFont val="宋体"/>
        <charset val="134"/>
      </rPr>
      <t>）</t>
    </r>
  </si>
  <si>
    <r>
      <rPr>
        <sz val="11"/>
        <rFont val="宋体"/>
        <charset val="134"/>
      </rPr>
      <t>（</t>
    </r>
    <r>
      <rPr>
        <sz val="11"/>
        <rFont val="Times New Roman"/>
        <charset val="134"/>
      </rPr>
      <t>3.5+4.5</t>
    </r>
    <r>
      <rPr>
        <sz val="11"/>
        <rFont val="宋体"/>
        <charset val="134"/>
      </rPr>
      <t>）</t>
    </r>
    <r>
      <rPr>
        <sz val="11"/>
        <rFont val="Times New Roman"/>
        <charset val="134"/>
      </rPr>
      <t>÷2×0.05</t>
    </r>
  </si>
  <si>
    <r>
      <rPr>
        <sz val="11"/>
        <rFont val="宋体"/>
        <charset val="134"/>
      </rPr>
      <t>基本工资</t>
    </r>
    <r>
      <rPr>
        <sz val="11"/>
        <rFont val="Times New Roman"/>
        <charset val="134"/>
      </rPr>
      <t>27.02</t>
    </r>
    <r>
      <rPr>
        <sz val="11"/>
        <rFont val="宋体"/>
        <charset val="134"/>
      </rPr>
      <t>元</t>
    </r>
    <r>
      <rPr>
        <sz val="11"/>
        <rFont val="Times New Roman"/>
        <charset val="134"/>
      </rPr>
      <t>/</t>
    </r>
    <r>
      <rPr>
        <sz val="11"/>
        <rFont val="宋体"/>
        <charset val="134"/>
      </rPr>
      <t>日）</t>
    </r>
    <r>
      <rPr>
        <sz val="11"/>
        <rFont val="Times New Roman"/>
        <charset val="134"/>
      </rPr>
      <t>×</t>
    </r>
    <r>
      <rPr>
        <sz val="11"/>
        <rFont val="宋体"/>
        <charset val="134"/>
      </rPr>
      <t>（</t>
    </r>
    <r>
      <rPr>
        <sz val="11"/>
        <rFont val="Times New Roman"/>
        <charset val="134"/>
      </rPr>
      <t>3-1</t>
    </r>
    <r>
      <rPr>
        <sz val="11"/>
        <rFont val="宋体"/>
        <charset val="134"/>
      </rPr>
      <t>）</t>
    </r>
    <r>
      <rPr>
        <sz val="11"/>
        <rFont val="Times New Roman"/>
        <charset val="134"/>
      </rPr>
      <t>×11÷250×0.15</t>
    </r>
  </si>
  <si>
    <r>
      <rPr>
        <b/>
        <sz val="14"/>
        <rFont val="Times New Roman"/>
        <charset val="134"/>
      </rPr>
      <t xml:space="preserve"> </t>
    </r>
    <r>
      <rPr>
        <b/>
        <sz val="14"/>
        <rFont val="宋体"/>
        <charset val="134"/>
      </rPr>
      <t>附表</t>
    </r>
    <r>
      <rPr>
        <b/>
        <sz val="14"/>
        <rFont val="Times New Roman"/>
        <charset val="134"/>
      </rPr>
      <t>2</t>
    </r>
  </si>
  <si>
    <t>主要材料估算价格表</t>
  </si>
  <si>
    <r>
      <rPr>
        <b/>
        <sz val="11"/>
        <rFont val="宋体"/>
        <charset val="134"/>
      </rPr>
      <t>原价依据</t>
    </r>
  </si>
  <si>
    <r>
      <rPr>
        <b/>
        <sz val="11"/>
        <rFont val="宋体"/>
        <charset val="134"/>
      </rPr>
      <t>出场地</t>
    </r>
  </si>
  <si>
    <t>单位毛重（t）</t>
  </si>
  <si>
    <r>
      <rPr>
        <b/>
        <sz val="11"/>
        <rFont val="宋体"/>
        <charset val="134"/>
      </rPr>
      <t>运费（元）</t>
    </r>
  </si>
  <si>
    <t>价格（元）</t>
  </si>
  <si>
    <r>
      <rPr>
        <b/>
        <sz val="11"/>
        <rFont val="宋体"/>
        <charset val="134"/>
      </rPr>
      <t>原价</t>
    </r>
  </si>
  <si>
    <r>
      <rPr>
        <b/>
        <sz val="11"/>
        <rFont val="宋体"/>
        <charset val="134"/>
      </rPr>
      <t>运杂费</t>
    </r>
  </si>
  <si>
    <r>
      <rPr>
        <b/>
        <sz val="11"/>
        <rFont val="宋体"/>
        <charset val="134"/>
      </rPr>
      <t>采购及保管费</t>
    </r>
  </si>
  <si>
    <r>
      <rPr>
        <b/>
        <sz val="11"/>
        <rFont val="宋体"/>
        <charset val="134"/>
      </rPr>
      <t>到工地价</t>
    </r>
  </si>
  <si>
    <r>
      <rPr>
        <b/>
        <sz val="11"/>
        <rFont val="宋体"/>
        <charset val="134"/>
      </rPr>
      <t>保险费</t>
    </r>
  </si>
  <si>
    <r>
      <rPr>
        <b/>
        <sz val="11"/>
        <rFont val="宋体"/>
        <charset val="134"/>
      </rPr>
      <t>预算价格</t>
    </r>
    <r>
      <rPr>
        <b/>
        <sz val="11"/>
        <rFont val="Times New Roman"/>
        <charset val="134"/>
      </rPr>
      <t xml:space="preserve"> </t>
    </r>
  </si>
  <si>
    <r>
      <rPr>
        <b/>
        <sz val="11"/>
        <rFont val="宋体"/>
        <charset val="134"/>
      </rPr>
      <t>限价</t>
    </r>
  </si>
  <si>
    <r>
      <rPr>
        <sz val="11"/>
        <rFont val="宋体"/>
        <charset val="134"/>
      </rPr>
      <t>普通硅酸盐水泥</t>
    </r>
    <r>
      <rPr>
        <sz val="11"/>
        <rFont val="Times New Roman"/>
        <charset val="134"/>
      </rPr>
      <t>42.5R</t>
    </r>
  </si>
  <si>
    <t>t</t>
  </si>
  <si>
    <r>
      <rPr>
        <sz val="11"/>
        <rFont val="宋体"/>
        <charset val="134"/>
      </rPr>
      <t>《宁夏工程造价</t>
    </r>
    <r>
      <rPr>
        <sz val="11"/>
        <rFont val="Times New Roman"/>
        <charset val="134"/>
      </rPr>
      <t>2023</t>
    </r>
    <r>
      <rPr>
        <sz val="11"/>
        <rFont val="宋体"/>
        <charset val="134"/>
      </rPr>
      <t>年第</t>
    </r>
    <r>
      <rPr>
        <sz val="11"/>
        <rFont val="Times New Roman"/>
        <charset val="134"/>
      </rPr>
      <t>5</t>
    </r>
    <r>
      <rPr>
        <sz val="11"/>
        <rFont val="宋体"/>
        <charset val="134"/>
      </rPr>
      <t>期》、</t>
    </r>
    <r>
      <rPr>
        <sz val="11"/>
        <rFont val="Times New Roman"/>
        <charset val="134"/>
      </rPr>
      <t xml:space="preserve"> </t>
    </r>
    <r>
      <rPr>
        <sz val="11"/>
        <rFont val="宋体"/>
        <charset val="134"/>
      </rPr>
      <t>《宁夏水利工程造价信息</t>
    </r>
    <r>
      <rPr>
        <sz val="11"/>
        <rFont val="Times New Roman"/>
        <charset val="134"/>
      </rPr>
      <t>2023</t>
    </r>
    <r>
      <rPr>
        <sz val="11"/>
        <rFont val="宋体"/>
        <charset val="134"/>
      </rPr>
      <t>年第</t>
    </r>
    <r>
      <rPr>
        <sz val="11"/>
        <rFont val="Times New Roman"/>
        <charset val="134"/>
      </rPr>
      <t>3</t>
    </r>
    <r>
      <rPr>
        <sz val="11"/>
        <rFont val="宋体"/>
        <charset val="134"/>
      </rPr>
      <t>期》</t>
    </r>
  </si>
  <si>
    <t>大武口区</t>
  </si>
  <si>
    <r>
      <rPr>
        <sz val="11"/>
        <rFont val="宋体"/>
        <charset val="134"/>
      </rPr>
      <t>普通硅酸盐水泥</t>
    </r>
    <r>
      <rPr>
        <sz val="11"/>
        <rFont val="Times New Roman"/>
        <charset val="134"/>
      </rPr>
      <t>32.5R</t>
    </r>
  </si>
  <si>
    <r>
      <rPr>
        <sz val="11"/>
        <rFont val="宋体"/>
        <charset val="134"/>
      </rPr>
      <t>钢筋</t>
    </r>
    <r>
      <rPr>
        <sz val="11"/>
        <rFont val="Times New Roman"/>
        <charset val="134"/>
      </rPr>
      <t>φ10</t>
    </r>
    <r>
      <rPr>
        <sz val="11"/>
        <rFont val="宋体"/>
        <charset val="134"/>
      </rPr>
      <t>以上</t>
    </r>
  </si>
  <si>
    <r>
      <rPr>
        <sz val="11"/>
        <rFont val="宋体"/>
        <charset val="134"/>
      </rPr>
      <t>块石</t>
    </r>
  </si>
  <si>
    <r>
      <rPr>
        <sz val="11"/>
        <rFont val="宋体"/>
        <charset val="134"/>
      </rPr>
      <t>碎石</t>
    </r>
  </si>
  <si>
    <t>砂砾石（铺设道路）</t>
  </si>
  <si>
    <t>就近料场</t>
  </si>
  <si>
    <t>粗砂（水洗）</t>
  </si>
  <si>
    <r>
      <rPr>
        <sz val="11"/>
        <rFont val="宋体"/>
        <charset val="134"/>
      </rPr>
      <t>汽油（</t>
    </r>
    <r>
      <rPr>
        <sz val="11"/>
        <rFont val="Times New Roman"/>
        <charset val="134"/>
      </rPr>
      <t>92#</t>
    </r>
    <r>
      <rPr>
        <sz val="11"/>
        <rFont val="宋体"/>
        <charset val="134"/>
      </rPr>
      <t>）</t>
    </r>
  </si>
  <si>
    <t>kg</t>
  </si>
  <si>
    <r>
      <rPr>
        <sz val="11"/>
        <rFont val="宋体"/>
        <charset val="134"/>
      </rPr>
      <t>柴油（</t>
    </r>
    <r>
      <rPr>
        <sz val="11"/>
        <rFont val="Times New Roman"/>
        <charset val="134"/>
      </rPr>
      <t>0#</t>
    </r>
    <r>
      <rPr>
        <sz val="11"/>
        <rFont val="宋体"/>
        <charset val="134"/>
      </rPr>
      <t>）</t>
    </r>
  </si>
  <si>
    <r>
      <rPr>
        <sz val="11"/>
        <rFont val="宋体"/>
        <charset val="134"/>
      </rPr>
      <t>锯材</t>
    </r>
  </si>
  <si>
    <r>
      <rPr>
        <sz val="11"/>
        <rFont val="宋体"/>
        <charset val="134"/>
      </rPr>
      <t>板枋材</t>
    </r>
  </si>
  <si>
    <r>
      <rPr>
        <b/>
        <sz val="14"/>
        <rFont val="宋体"/>
        <charset val="134"/>
      </rPr>
      <t>附表</t>
    </r>
    <r>
      <rPr>
        <b/>
        <sz val="14"/>
        <rFont val="Times New Roman"/>
        <charset val="134"/>
      </rPr>
      <t xml:space="preserve">2-1           </t>
    </r>
  </si>
  <si>
    <r>
      <rPr>
        <b/>
        <sz val="14"/>
        <rFont val="宋体"/>
        <charset val="134"/>
      </rPr>
      <t>主要材料运杂费计算表</t>
    </r>
  </si>
  <si>
    <r>
      <rPr>
        <sz val="11"/>
        <rFont val="宋体"/>
        <charset val="134"/>
      </rPr>
      <t>编号</t>
    </r>
  </si>
  <si>
    <r>
      <rPr>
        <sz val="11"/>
        <rFont val="宋体"/>
        <charset val="134"/>
      </rPr>
      <t>材料名称</t>
    </r>
  </si>
  <si>
    <r>
      <rPr>
        <sz val="11"/>
        <rFont val="Times New Roman"/>
        <charset val="134"/>
      </rPr>
      <t>42.5</t>
    </r>
    <r>
      <rPr>
        <sz val="11"/>
        <rFont val="宋体"/>
        <charset val="134"/>
      </rPr>
      <t>水泥</t>
    </r>
  </si>
  <si>
    <r>
      <rPr>
        <sz val="11"/>
        <rFont val="宋体"/>
        <charset val="134"/>
      </rPr>
      <t>运输起止地点</t>
    </r>
  </si>
  <si>
    <t>贺兰县</t>
  </si>
  <si>
    <r>
      <rPr>
        <sz val="11"/>
        <rFont val="宋体"/>
        <charset val="134"/>
      </rPr>
      <t>运距</t>
    </r>
  </si>
  <si>
    <t>16km</t>
  </si>
  <si>
    <r>
      <rPr>
        <sz val="11"/>
        <rFont val="宋体"/>
        <charset val="134"/>
      </rPr>
      <t>毛重系数</t>
    </r>
  </si>
  <si>
    <r>
      <rPr>
        <sz val="11"/>
        <rFont val="宋体"/>
        <charset val="134"/>
      </rPr>
      <t>装载系数</t>
    </r>
  </si>
  <si>
    <r>
      <rPr>
        <sz val="11"/>
        <rFont val="宋体"/>
        <charset val="134"/>
      </rPr>
      <t>计算单位</t>
    </r>
  </si>
  <si>
    <r>
      <rPr>
        <sz val="11"/>
        <rFont val="宋体"/>
        <charset val="134"/>
      </rPr>
      <t>序号</t>
    </r>
  </si>
  <si>
    <r>
      <rPr>
        <sz val="11"/>
        <rFont val="宋体"/>
        <charset val="134"/>
      </rPr>
      <t>费用名称</t>
    </r>
  </si>
  <si>
    <r>
      <rPr>
        <sz val="11"/>
        <rFont val="宋体"/>
        <charset val="134"/>
      </rPr>
      <t>计算公式</t>
    </r>
  </si>
  <si>
    <t>小计（元）</t>
  </si>
  <si>
    <r>
      <rPr>
        <sz val="11"/>
        <rFont val="宋体"/>
        <charset val="134"/>
      </rPr>
      <t>运输费</t>
    </r>
  </si>
  <si>
    <t>16×0.64×1.004</t>
  </si>
  <si>
    <r>
      <rPr>
        <sz val="11"/>
        <rFont val="宋体"/>
        <charset val="134"/>
      </rPr>
      <t>装卸费</t>
    </r>
  </si>
  <si>
    <r>
      <rPr>
        <sz val="11"/>
        <rFont val="宋体"/>
        <charset val="134"/>
      </rPr>
      <t>合计</t>
    </r>
  </si>
  <si>
    <r>
      <rPr>
        <sz val="11"/>
        <rFont val="宋体"/>
        <charset val="134"/>
      </rPr>
      <t>钢筋</t>
    </r>
  </si>
  <si>
    <t>I</t>
  </si>
  <si>
    <t>16×0.64×1.00</t>
  </si>
  <si>
    <r>
      <rPr>
        <sz val="11"/>
        <rFont val="宋体"/>
        <charset val="134"/>
      </rPr>
      <t>粗砂</t>
    </r>
  </si>
  <si>
    <t>西夏区镇北堡</t>
  </si>
  <si>
    <t>35km</t>
  </si>
  <si>
    <t>35×0.53×1.5</t>
  </si>
  <si>
    <t>35×0.53×1.6</t>
  </si>
  <si>
    <r>
      <rPr>
        <sz val="11"/>
        <rFont val="宋体"/>
        <charset val="134"/>
      </rPr>
      <t xml:space="preserve">西夏区套门沟
</t>
    </r>
    <r>
      <rPr>
        <sz val="11"/>
        <rFont val="Times New Roman"/>
        <charset val="134"/>
      </rPr>
      <t>—</t>
    </r>
    <r>
      <rPr>
        <sz val="11"/>
        <rFont val="宋体"/>
        <charset val="134"/>
      </rPr>
      <t>项目区</t>
    </r>
  </si>
  <si>
    <t>60km</t>
  </si>
  <si>
    <t>60×0.53×1.8</t>
  </si>
  <si>
    <r>
      <rPr>
        <sz val="11"/>
        <rFont val="宋体"/>
        <charset val="134"/>
      </rPr>
      <t>砂砾石</t>
    </r>
  </si>
  <si>
    <t>35×0.53×1.65</t>
  </si>
  <si>
    <t>砂砾石（铺路用）</t>
  </si>
  <si>
    <r>
      <rPr>
        <sz val="11"/>
        <rFont val="宋体"/>
        <charset val="134"/>
      </rPr>
      <t>料场</t>
    </r>
    <r>
      <rPr>
        <sz val="11"/>
        <rFont val="Times New Roman"/>
        <charset val="134"/>
      </rPr>
      <t>—</t>
    </r>
    <r>
      <rPr>
        <sz val="11"/>
        <rFont val="宋体"/>
        <charset val="134"/>
      </rPr>
      <t>项目区</t>
    </r>
  </si>
  <si>
    <t>10km</t>
  </si>
  <si>
    <t>10×0.85×1.65</t>
  </si>
  <si>
    <t>附表3</t>
  </si>
  <si>
    <t>次要材料概算价格汇总表</t>
  </si>
  <si>
    <r>
      <rPr>
        <b/>
        <sz val="12"/>
        <rFont val="宋体"/>
        <charset val="134"/>
      </rPr>
      <t>名称及规格</t>
    </r>
  </si>
  <si>
    <r>
      <rPr>
        <b/>
        <sz val="12"/>
        <rFont val="宋体"/>
        <charset val="134"/>
      </rPr>
      <t>单位</t>
    </r>
  </si>
  <si>
    <t>概算价格</t>
  </si>
  <si>
    <r>
      <rPr>
        <sz val="12"/>
        <rFont val="宋体"/>
        <charset val="134"/>
      </rPr>
      <t>风</t>
    </r>
  </si>
  <si>
    <r>
      <rPr>
        <sz val="12"/>
        <rFont val="Times New Roman"/>
        <charset val="134"/>
      </rPr>
      <t>m</t>
    </r>
    <r>
      <rPr>
        <vertAlign val="superscript"/>
        <sz val="12"/>
        <rFont val="Times New Roman"/>
        <charset val="134"/>
      </rPr>
      <t>3</t>
    </r>
  </si>
  <si>
    <r>
      <rPr>
        <sz val="12"/>
        <rFont val="宋体"/>
        <charset val="134"/>
      </rPr>
      <t>水</t>
    </r>
  </si>
  <si>
    <r>
      <rPr>
        <sz val="12"/>
        <rFont val="宋体"/>
        <charset val="134"/>
      </rPr>
      <t>电</t>
    </r>
  </si>
  <si>
    <t>kW/h</t>
  </si>
  <si>
    <r>
      <rPr>
        <sz val="12"/>
        <rFont val="宋体"/>
        <charset val="134"/>
      </rPr>
      <t>镀锌铁皮</t>
    </r>
    <r>
      <rPr>
        <sz val="12"/>
        <rFont val="Times New Roman"/>
        <charset val="134"/>
      </rPr>
      <t>0.35</t>
    </r>
  </si>
  <si>
    <r>
      <rPr>
        <sz val="12"/>
        <rFont val="宋体"/>
        <charset val="134"/>
      </rPr>
      <t>铁钉</t>
    </r>
  </si>
  <si>
    <r>
      <rPr>
        <sz val="12"/>
        <rFont val="宋体"/>
        <charset val="134"/>
      </rPr>
      <t>铁件</t>
    </r>
  </si>
  <si>
    <r>
      <rPr>
        <sz val="12"/>
        <rFont val="宋体"/>
        <charset val="134"/>
      </rPr>
      <t>铁丝</t>
    </r>
  </si>
  <si>
    <t>8</t>
  </si>
  <si>
    <r>
      <rPr>
        <sz val="12"/>
        <rFont val="宋体"/>
        <charset val="134"/>
      </rPr>
      <t>电焊条</t>
    </r>
  </si>
  <si>
    <t>9</t>
  </si>
  <si>
    <r>
      <rPr>
        <sz val="12"/>
        <rFont val="宋体"/>
        <charset val="134"/>
      </rPr>
      <t>组合钢模板</t>
    </r>
  </si>
  <si>
    <t>10</t>
  </si>
  <si>
    <r>
      <rPr>
        <sz val="12"/>
        <rFont val="宋体"/>
        <charset val="134"/>
      </rPr>
      <t>卡扣件</t>
    </r>
  </si>
  <si>
    <t>11</t>
  </si>
  <si>
    <r>
      <rPr>
        <sz val="12"/>
        <rFont val="宋体"/>
        <charset val="134"/>
      </rPr>
      <t>型钢</t>
    </r>
  </si>
  <si>
    <t>12</t>
  </si>
  <si>
    <r>
      <rPr>
        <sz val="12"/>
        <rFont val="宋体"/>
        <charset val="134"/>
      </rPr>
      <t>钢板</t>
    </r>
  </si>
  <si>
    <t xml:space="preserve">kg </t>
  </si>
  <si>
    <t>13</t>
  </si>
  <si>
    <r>
      <rPr>
        <sz val="12"/>
        <rFont val="宋体"/>
        <charset val="134"/>
      </rPr>
      <t>预埋铁件</t>
    </r>
  </si>
  <si>
    <t>14</t>
  </si>
  <si>
    <r>
      <rPr>
        <sz val="12"/>
        <rFont val="宋体"/>
        <charset val="134"/>
      </rPr>
      <t>机油</t>
    </r>
  </si>
  <si>
    <t>15</t>
  </si>
  <si>
    <r>
      <rPr>
        <sz val="12"/>
        <rFont val="宋体"/>
        <charset val="134"/>
      </rPr>
      <t>沥青</t>
    </r>
  </si>
  <si>
    <t>16</t>
  </si>
  <si>
    <t>聚乙烯油膏</t>
  </si>
  <si>
    <t>17</t>
  </si>
  <si>
    <r>
      <rPr>
        <sz val="12"/>
        <rFont val="宋体"/>
        <charset val="134"/>
      </rPr>
      <t>板枋材</t>
    </r>
  </si>
  <si>
    <t>18</t>
  </si>
  <si>
    <r>
      <rPr>
        <sz val="12"/>
        <rFont val="宋体"/>
        <charset val="134"/>
      </rPr>
      <t>接头</t>
    </r>
  </si>
  <si>
    <r>
      <rPr>
        <sz val="12"/>
        <rFont val="宋体"/>
        <charset val="134"/>
      </rPr>
      <t>套</t>
    </r>
  </si>
  <si>
    <t>19</t>
  </si>
  <si>
    <t>橡胶止水圈</t>
  </si>
  <si>
    <t>根</t>
  </si>
  <si>
    <t>20</t>
  </si>
  <si>
    <t>树苗（新疆杨，胸径4cm）</t>
  </si>
  <si>
    <t>株</t>
  </si>
  <si>
    <t>21</t>
  </si>
  <si>
    <t>种植土</t>
  </si>
  <si>
    <t>22</t>
  </si>
  <si>
    <t>腐熟有机肥</t>
  </si>
  <si>
    <r>
      <rPr>
        <b/>
        <sz val="14"/>
        <rFont val="Times New Roman"/>
        <charset val="134"/>
      </rPr>
      <t xml:space="preserve">  </t>
    </r>
    <r>
      <rPr>
        <b/>
        <sz val="14"/>
        <rFont val="宋体"/>
        <charset val="134"/>
      </rPr>
      <t>附表</t>
    </r>
    <r>
      <rPr>
        <b/>
        <sz val="14"/>
        <rFont val="Times New Roman"/>
        <charset val="134"/>
      </rPr>
      <t>4</t>
    </r>
  </si>
  <si>
    <r>
      <rPr>
        <b/>
        <u/>
        <sz val="14"/>
        <rFont val="Times New Roman"/>
        <charset val="134"/>
      </rPr>
      <t xml:space="preserve">                                 </t>
    </r>
    <r>
      <rPr>
        <b/>
        <u/>
        <sz val="14"/>
        <rFont val="宋体"/>
        <charset val="134"/>
      </rPr>
      <t>机械台班估算单价计算表</t>
    </r>
  </si>
  <si>
    <r>
      <rPr>
        <b/>
        <sz val="10"/>
        <rFont val="宋体"/>
        <charset val="134"/>
      </rPr>
      <t>定额编号</t>
    </r>
  </si>
  <si>
    <r>
      <rPr>
        <b/>
        <sz val="10"/>
        <rFont val="宋体"/>
        <charset val="134"/>
      </rPr>
      <t>机械名称及规格</t>
    </r>
  </si>
  <si>
    <r>
      <rPr>
        <b/>
        <sz val="10"/>
        <rFont val="宋体"/>
        <charset val="134"/>
      </rPr>
      <t>台班费（元）</t>
    </r>
  </si>
  <si>
    <r>
      <rPr>
        <b/>
        <sz val="10"/>
        <rFont val="宋体"/>
        <charset val="134"/>
      </rPr>
      <t>一类费用</t>
    </r>
  </si>
  <si>
    <r>
      <rPr>
        <b/>
        <sz val="10"/>
        <rFont val="宋体"/>
        <charset val="134"/>
      </rPr>
      <t>二类费用</t>
    </r>
  </si>
  <si>
    <r>
      <rPr>
        <b/>
        <sz val="10"/>
        <rFont val="宋体"/>
        <charset val="134"/>
      </rPr>
      <t>一类费用小计（元）</t>
    </r>
  </si>
  <si>
    <r>
      <rPr>
        <b/>
        <sz val="10"/>
        <rFont val="仿宋_GB2312"/>
        <charset val="134"/>
      </rPr>
      <t>折旧费</t>
    </r>
  </si>
  <si>
    <r>
      <rPr>
        <b/>
        <sz val="10"/>
        <rFont val="仿宋_GB2312"/>
        <charset val="134"/>
      </rPr>
      <t>修理及替换设备费</t>
    </r>
  </si>
  <si>
    <r>
      <rPr>
        <b/>
        <sz val="10"/>
        <rFont val="仿宋_GB2312"/>
        <charset val="134"/>
      </rPr>
      <t>安装拆卸费</t>
    </r>
  </si>
  <si>
    <r>
      <rPr>
        <b/>
        <sz val="10"/>
        <rFont val="宋体"/>
        <charset val="134"/>
      </rPr>
      <t>二类费用合计（元）</t>
    </r>
  </si>
  <si>
    <r>
      <rPr>
        <b/>
        <sz val="10"/>
        <rFont val="宋体"/>
        <charset val="134"/>
      </rPr>
      <t>人工费
（元</t>
    </r>
    <r>
      <rPr>
        <b/>
        <sz val="10"/>
        <rFont val="Times New Roman"/>
        <charset val="134"/>
      </rPr>
      <t>/</t>
    </r>
    <r>
      <rPr>
        <b/>
        <sz val="10"/>
        <rFont val="宋体"/>
        <charset val="134"/>
      </rPr>
      <t>日）</t>
    </r>
  </si>
  <si>
    <r>
      <rPr>
        <b/>
        <sz val="10"/>
        <rFont val="宋体"/>
        <charset val="134"/>
      </rPr>
      <t>动力燃料费小计（元）</t>
    </r>
  </si>
  <si>
    <r>
      <rPr>
        <b/>
        <sz val="10"/>
        <rFont val="宋体"/>
        <charset val="134"/>
      </rPr>
      <t>汽油
（元</t>
    </r>
    <r>
      <rPr>
        <b/>
        <sz val="10"/>
        <rFont val="Times New Roman"/>
        <charset val="134"/>
      </rPr>
      <t>/kg</t>
    </r>
    <r>
      <rPr>
        <b/>
        <sz val="10"/>
        <rFont val="宋体"/>
        <charset val="134"/>
      </rPr>
      <t>）</t>
    </r>
  </si>
  <si>
    <r>
      <rPr>
        <b/>
        <sz val="10"/>
        <rFont val="宋体"/>
        <charset val="134"/>
      </rPr>
      <t>柴油
（元</t>
    </r>
    <r>
      <rPr>
        <b/>
        <sz val="10"/>
        <rFont val="Times New Roman"/>
        <charset val="134"/>
      </rPr>
      <t>/kg</t>
    </r>
    <r>
      <rPr>
        <b/>
        <sz val="10"/>
        <rFont val="宋体"/>
        <charset val="134"/>
      </rPr>
      <t>）</t>
    </r>
  </si>
  <si>
    <r>
      <rPr>
        <b/>
        <sz val="10"/>
        <rFont val="宋体"/>
        <charset val="134"/>
      </rPr>
      <t>电
（元</t>
    </r>
    <r>
      <rPr>
        <b/>
        <sz val="10"/>
        <rFont val="Times New Roman"/>
        <charset val="134"/>
      </rPr>
      <t>/kw.h</t>
    </r>
    <r>
      <rPr>
        <b/>
        <sz val="10"/>
        <rFont val="宋体"/>
        <charset val="134"/>
      </rPr>
      <t>）</t>
    </r>
  </si>
  <si>
    <r>
      <rPr>
        <b/>
        <sz val="10"/>
        <rFont val="宋体"/>
        <charset val="134"/>
      </rPr>
      <t>水
（元</t>
    </r>
    <r>
      <rPr>
        <b/>
        <sz val="10"/>
        <rFont val="Times New Roman"/>
        <charset val="134"/>
      </rPr>
      <t>/m</t>
    </r>
    <r>
      <rPr>
        <b/>
        <vertAlign val="superscript"/>
        <sz val="10"/>
        <rFont val="Times New Roman"/>
        <charset val="134"/>
      </rPr>
      <t>3</t>
    </r>
    <r>
      <rPr>
        <b/>
        <sz val="10"/>
        <rFont val="宋体"/>
        <charset val="134"/>
      </rPr>
      <t>）</t>
    </r>
  </si>
  <si>
    <r>
      <rPr>
        <b/>
        <sz val="10"/>
        <rFont val="宋体"/>
        <charset val="134"/>
      </rPr>
      <t>风
（元</t>
    </r>
    <r>
      <rPr>
        <b/>
        <sz val="10"/>
        <rFont val="Times New Roman"/>
        <charset val="134"/>
      </rPr>
      <t>/m</t>
    </r>
    <r>
      <rPr>
        <b/>
        <vertAlign val="superscript"/>
        <sz val="10"/>
        <rFont val="Times New Roman"/>
        <charset val="134"/>
      </rPr>
      <t>3</t>
    </r>
    <r>
      <rPr>
        <b/>
        <sz val="10"/>
        <rFont val="宋体"/>
        <charset val="134"/>
      </rPr>
      <t>）</t>
    </r>
  </si>
  <si>
    <r>
      <rPr>
        <b/>
        <sz val="10"/>
        <rFont val="仿宋_GB2312"/>
        <charset val="134"/>
      </rPr>
      <t>元</t>
    </r>
  </si>
  <si>
    <r>
      <rPr>
        <b/>
        <sz val="10"/>
        <rFont val="宋体"/>
        <charset val="134"/>
      </rPr>
      <t>工日</t>
    </r>
  </si>
  <si>
    <r>
      <rPr>
        <b/>
        <sz val="10"/>
        <rFont val="宋体"/>
        <charset val="134"/>
      </rPr>
      <t>金额</t>
    </r>
  </si>
  <si>
    <r>
      <rPr>
        <b/>
        <sz val="10"/>
        <rFont val="宋体"/>
        <charset val="134"/>
      </rPr>
      <t>数量</t>
    </r>
  </si>
  <si>
    <r>
      <rPr>
        <sz val="10"/>
        <rFont val="宋体"/>
        <charset val="134"/>
      </rPr>
      <t>单斗挖掘机油动</t>
    </r>
    <r>
      <rPr>
        <sz val="10"/>
        <rFont val="Times New Roman"/>
        <charset val="134"/>
      </rPr>
      <t>1m</t>
    </r>
    <r>
      <rPr>
        <vertAlign val="superscript"/>
        <sz val="10"/>
        <rFont val="Times New Roman"/>
        <charset val="134"/>
      </rPr>
      <t>3</t>
    </r>
  </si>
  <si>
    <r>
      <rPr>
        <sz val="10"/>
        <rFont val="宋体"/>
        <charset val="134"/>
      </rPr>
      <t>单斗挖掘机液压</t>
    </r>
    <r>
      <rPr>
        <sz val="10"/>
        <rFont val="Times New Roman"/>
        <charset val="134"/>
      </rPr>
      <t>1m</t>
    </r>
    <r>
      <rPr>
        <vertAlign val="superscript"/>
        <sz val="10"/>
        <rFont val="Times New Roman"/>
        <charset val="134"/>
      </rPr>
      <t>3</t>
    </r>
  </si>
  <si>
    <r>
      <rPr>
        <sz val="10"/>
        <rFont val="宋体"/>
        <charset val="134"/>
      </rPr>
      <t>推土机</t>
    </r>
    <r>
      <rPr>
        <sz val="10"/>
        <rFont val="Times New Roman"/>
        <charset val="134"/>
      </rPr>
      <t>59kw</t>
    </r>
  </si>
  <si>
    <r>
      <rPr>
        <sz val="10"/>
        <rFont val="宋体"/>
        <charset val="134"/>
      </rPr>
      <t>推土机</t>
    </r>
    <r>
      <rPr>
        <sz val="10"/>
        <rFont val="Times New Roman"/>
        <charset val="134"/>
      </rPr>
      <t>74kw</t>
    </r>
  </si>
  <si>
    <r>
      <rPr>
        <sz val="10"/>
        <rFont val="宋体"/>
        <charset val="134"/>
      </rPr>
      <t>履带式拖拉机</t>
    </r>
    <r>
      <rPr>
        <sz val="10"/>
        <rFont val="Times New Roman"/>
        <charset val="134"/>
      </rPr>
      <t>59kw</t>
    </r>
  </si>
  <si>
    <r>
      <rPr>
        <sz val="10"/>
        <rFont val="宋体"/>
        <charset val="134"/>
      </rPr>
      <t>履带式拖拉机</t>
    </r>
    <r>
      <rPr>
        <sz val="10"/>
        <rFont val="Times New Roman"/>
        <charset val="134"/>
      </rPr>
      <t>55kw</t>
    </r>
  </si>
  <si>
    <r>
      <rPr>
        <sz val="10"/>
        <rFont val="宋体"/>
        <charset val="134"/>
      </rPr>
      <t>自卸汽车柴油型载重量</t>
    </r>
    <r>
      <rPr>
        <sz val="10"/>
        <rFont val="Times New Roman"/>
        <charset val="134"/>
      </rPr>
      <t>5t</t>
    </r>
  </si>
  <si>
    <r>
      <rPr>
        <sz val="10"/>
        <rFont val="宋体"/>
        <charset val="134"/>
      </rPr>
      <t>自卸汽车柴油型载重量8</t>
    </r>
    <r>
      <rPr>
        <sz val="10"/>
        <rFont val="Times New Roman"/>
        <charset val="134"/>
      </rPr>
      <t>t</t>
    </r>
  </si>
  <si>
    <t>注：表中汽油和柴油的单价采用土地开发整理项目概算编制规定中的限价计算。</t>
  </si>
  <si>
    <r>
      <rPr>
        <b/>
        <sz val="14"/>
        <rFont val="宋体"/>
        <charset val="134"/>
      </rPr>
      <t>附表</t>
    </r>
    <r>
      <rPr>
        <b/>
        <sz val="14"/>
        <rFont val="Times New Roman"/>
        <charset val="134"/>
      </rPr>
      <t xml:space="preserve">5 </t>
    </r>
  </si>
  <si>
    <r>
      <rPr>
        <b/>
        <u/>
        <sz val="14"/>
        <rFont val="宋体"/>
        <charset val="134"/>
      </rPr>
      <t>砼、砂浆单价计算表</t>
    </r>
    <r>
      <rPr>
        <b/>
        <u/>
        <sz val="14"/>
        <rFont val="Times New Roman"/>
        <charset val="134"/>
      </rPr>
      <t xml:space="preserve">                  </t>
    </r>
  </si>
  <si>
    <r>
      <rPr>
        <b/>
        <sz val="11"/>
        <rFont val="宋体"/>
        <charset val="134"/>
      </rPr>
      <t>编号</t>
    </r>
  </si>
  <si>
    <r>
      <rPr>
        <b/>
        <sz val="11"/>
        <rFont val="宋体"/>
        <charset val="134"/>
      </rPr>
      <t>砼强度等级</t>
    </r>
  </si>
  <si>
    <r>
      <rPr>
        <b/>
        <sz val="11"/>
        <rFont val="宋体"/>
        <charset val="134"/>
      </rPr>
      <t>水泥强度等级</t>
    </r>
  </si>
  <si>
    <r>
      <rPr>
        <b/>
        <sz val="11"/>
        <rFont val="宋体"/>
        <charset val="134"/>
      </rPr>
      <t>级配</t>
    </r>
  </si>
  <si>
    <r>
      <rPr>
        <b/>
        <sz val="11"/>
        <rFont val="宋体"/>
        <charset val="134"/>
      </rPr>
      <t>水泥</t>
    </r>
  </si>
  <si>
    <r>
      <rPr>
        <b/>
        <sz val="11"/>
        <rFont val="宋体"/>
        <charset val="134"/>
      </rPr>
      <t>砂</t>
    </r>
  </si>
  <si>
    <r>
      <rPr>
        <b/>
        <sz val="11"/>
        <rFont val="宋体"/>
        <charset val="134"/>
      </rPr>
      <t>碎石</t>
    </r>
  </si>
  <si>
    <r>
      <rPr>
        <b/>
        <sz val="11"/>
        <rFont val="宋体"/>
        <charset val="134"/>
      </rPr>
      <t>水</t>
    </r>
  </si>
  <si>
    <t>合计（元）</t>
  </si>
  <si>
    <t>（t）</t>
  </si>
  <si>
    <t>（m3）</t>
  </si>
  <si>
    <r>
      <rPr>
        <sz val="11"/>
        <rFont val="宋体"/>
        <charset val="134"/>
      </rPr>
      <t>砼</t>
    </r>
    <r>
      <rPr>
        <sz val="11"/>
        <rFont val="Times New Roman"/>
        <charset val="134"/>
      </rPr>
      <t>C10</t>
    </r>
  </si>
  <si>
    <t>32.5（R）</t>
  </si>
  <si>
    <r>
      <rPr>
        <sz val="11"/>
        <rFont val="宋体"/>
        <charset val="134"/>
      </rPr>
      <t>砼</t>
    </r>
    <r>
      <rPr>
        <sz val="11"/>
        <rFont val="Times New Roman"/>
        <charset val="134"/>
      </rPr>
      <t>C15</t>
    </r>
  </si>
  <si>
    <r>
      <rPr>
        <sz val="11"/>
        <rFont val="宋体"/>
        <charset val="134"/>
      </rPr>
      <t>砼</t>
    </r>
    <r>
      <rPr>
        <sz val="11"/>
        <rFont val="Times New Roman"/>
        <charset val="134"/>
      </rPr>
      <t>C20</t>
    </r>
  </si>
  <si>
    <t>42.5（R）</t>
  </si>
  <si>
    <r>
      <rPr>
        <sz val="11"/>
        <rFont val="宋体"/>
        <charset val="134"/>
      </rPr>
      <t>砼</t>
    </r>
    <r>
      <rPr>
        <sz val="11"/>
        <rFont val="Times New Roman"/>
        <charset val="134"/>
      </rPr>
      <t>C25</t>
    </r>
  </si>
  <si>
    <r>
      <rPr>
        <sz val="11"/>
        <rFont val="宋体"/>
        <charset val="134"/>
      </rPr>
      <t>砂浆</t>
    </r>
    <r>
      <rPr>
        <sz val="11"/>
        <rFont val="Times New Roman"/>
        <charset val="134"/>
      </rPr>
      <t>M5</t>
    </r>
  </si>
  <si>
    <r>
      <rPr>
        <sz val="11"/>
        <rFont val="宋体"/>
        <charset val="134"/>
      </rPr>
      <t>砂浆</t>
    </r>
    <r>
      <rPr>
        <sz val="11"/>
        <rFont val="Times New Roman"/>
        <charset val="134"/>
      </rPr>
      <t>M7.5</t>
    </r>
  </si>
  <si>
    <r>
      <rPr>
        <sz val="11"/>
        <rFont val="宋体"/>
        <charset val="134"/>
      </rPr>
      <t>砂浆</t>
    </r>
    <r>
      <rPr>
        <sz val="11"/>
        <rFont val="Times New Roman"/>
        <charset val="134"/>
      </rPr>
      <t>M10</t>
    </r>
  </si>
  <si>
    <t>`</t>
  </si>
  <si>
    <r>
      <rPr>
        <b/>
        <sz val="15"/>
        <rFont val="宋体"/>
        <charset val="134"/>
      </rPr>
      <t>附表</t>
    </r>
    <r>
      <rPr>
        <b/>
        <sz val="15"/>
        <rFont val="Times New Roman"/>
        <charset val="134"/>
      </rPr>
      <t xml:space="preserve">6 </t>
    </r>
  </si>
  <si>
    <r>
      <rPr>
        <b/>
        <u/>
        <sz val="15"/>
        <rFont val="宋体"/>
        <charset val="134"/>
      </rPr>
      <t>工程施工费单价分析表</t>
    </r>
  </si>
  <si>
    <r>
      <rPr>
        <b/>
        <sz val="11"/>
        <rFont val="Times New Roman"/>
        <charset val="134"/>
      </rPr>
      <t xml:space="preserve"> 1m</t>
    </r>
    <r>
      <rPr>
        <b/>
        <vertAlign val="superscript"/>
        <sz val="11"/>
        <rFont val="Times New Roman"/>
        <charset val="134"/>
      </rPr>
      <t>3</t>
    </r>
    <r>
      <rPr>
        <b/>
        <sz val="11"/>
        <rFont val="宋体"/>
        <charset val="134"/>
      </rPr>
      <t>挖掘机挖土</t>
    </r>
    <r>
      <rPr>
        <b/>
        <sz val="11"/>
        <rFont val="Times New Roman"/>
        <charset val="134"/>
      </rPr>
      <t>5t</t>
    </r>
    <r>
      <rPr>
        <b/>
        <sz val="11"/>
        <rFont val="宋体"/>
        <charset val="134"/>
      </rPr>
      <t>自卸汽车运输（运距</t>
    </r>
    <r>
      <rPr>
        <b/>
        <sz val="11"/>
        <rFont val="Times New Roman"/>
        <charset val="134"/>
      </rPr>
      <t>0.5km</t>
    </r>
    <r>
      <rPr>
        <b/>
        <sz val="11"/>
        <rFont val="宋体"/>
        <charset val="134"/>
      </rPr>
      <t>以内</t>
    </r>
    <r>
      <rPr>
        <b/>
        <sz val="11"/>
        <rFont val="宋体"/>
        <charset val="134"/>
      </rPr>
      <t>）</t>
    </r>
  </si>
  <si>
    <r>
      <rPr>
        <b/>
        <sz val="11"/>
        <rFont val="宋体"/>
        <charset val="134"/>
      </rPr>
      <t>定额编号：</t>
    </r>
    <r>
      <rPr>
        <b/>
        <sz val="11"/>
        <rFont val="Times New Roman"/>
        <charset val="134"/>
      </rPr>
      <t>10218</t>
    </r>
  </si>
  <si>
    <r>
      <rPr>
        <b/>
        <sz val="11"/>
        <rFont val="宋体"/>
        <charset val="134"/>
      </rPr>
      <t>单位：</t>
    </r>
    <r>
      <rPr>
        <b/>
        <sz val="11"/>
        <rFont val="Times New Roman"/>
        <charset val="134"/>
      </rPr>
      <t>100m</t>
    </r>
    <r>
      <rPr>
        <b/>
        <vertAlign val="superscript"/>
        <sz val="11"/>
        <rFont val="Times New Roman"/>
        <charset val="134"/>
      </rPr>
      <t>3</t>
    </r>
  </si>
  <si>
    <r>
      <rPr>
        <b/>
        <sz val="11"/>
        <rFont val="宋体"/>
        <charset val="134"/>
      </rPr>
      <t>序</t>
    </r>
    <r>
      <rPr>
        <b/>
        <sz val="11"/>
        <rFont val="Times New Roman"/>
        <charset val="134"/>
      </rPr>
      <t xml:space="preserve">  </t>
    </r>
    <r>
      <rPr>
        <b/>
        <sz val="11"/>
        <rFont val="宋体"/>
        <charset val="134"/>
      </rPr>
      <t>号</t>
    </r>
  </si>
  <si>
    <r>
      <rPr>
        <b/>
        <sz val="11"/>
        <rFont val="宋体"/>
        <charset val="134"/>
      </rPr>
      <t>项目名称</t>
    </r>
  </si>
  <si>
    <r>
      <rPr>
        <b/>
        <sz val="11"/>
        <rFont val="宋体"/>
        <charset val="134"/>
      </rPr>
      <t>数量</t>
    </r>
  </si>
  <si>
    <r>
      <rPr>
        <b/>
        <sz val="11"/>
        <rFont val="宋体"/>
        <charset val="134"/>
      </rPr>
      <t>单价</t>
    </r>
  </si>
  <si>
    <r>
      <rPr>
        <b/>
        <sz val="11"/>
        <rFont val="宋体"/>
        <charset val="134"/>
      </rPr>
      <t>小计</t>
    </r>
  </si>
  <si>
    <r>
      <rPr>
        <sz val="11"/>
        <rFont val="宋体"/>
        <charset val="134"/>
      </rPr>
      <t>甲类工</t>
    </r>
  </si>
  <si>
    <r>
      <rPr>
        <sz val="11"/>
        <rFont val="宋体"/>
        <charset val="134"/>
      </rPr>
      <t>工日</t>
    </r>
  </si>
  <si>
    <r>
      <rPr>
        <sz val="11"/>
        <rFont val="宋体"/>
        <charset val="134"/>
      </rPr>
      <t>乙类工</t>
    </r>
  </si>
  <si>
    <r>
      <rPr>
        <sz val="11"/>
        <rFont val="宋体"/>
        <charset val="134"/>
      </rPr>
      <t>其他费用</t>
    </r>
  </si>
  <si>
    <r>
      <rPr>
        <sz val="11"/>
        <rFont val="宋体"/>
        <charset val="134"/>
      </rPr>
      <t>％</t>
    </r>
  </si>
  <si>
    <r>
      <rPr>
        <b/>
        <sz val="11"/>
        <rFont val="宋体"/>
        <charset val="134"/>
      </rPr>
      <t>机械费</t>
    </r>
  </si>
  <si>
    <r>
      <rPr>
        <sz val="11"/>
        <rFont val="宋体"/>
        <charset val="134"/>
      </rPr>
      <t>挖掘机油动</t>
    </r>
    <r>
      <rPr>
        <sz val="11"/>
        <rFont val="Times New Roman"/>
        <charset val="134"/>
      </rPr>
      <t>1.0m</t>
    </r>
    <r>
      <rPr>
        <vertAlign val="superscript"/>
        <sz val="11"/>
        <rFont val="Times New Roman"/>
        <charset val="134"/>
      </rPr>
      <t>3</t>
    </r>
  </si>
  <si>
    <r>
      <rPr>
        <sz val="11"/>
        <rFont val="宋体"/>
        <charset val="134"/>
      </rPr>
      <t>台班</t>
    </r>
  </si>
  <si>
    <r>
      <rPr>
        <sz val="11"/>
        <rFont val="宋体"/>
        <charset val="134"/>
      </rPr>
      <t>推土机</t>
    </r>
    <r>
      <rPr>
        <sz val="11"/>
        <rFont val="Times New Roman"/>
        <charset val="134"/>
      </rPr>
      <t>59kw</t>
    </r>
  </si>
  <si>
    <r>
      <rPr>
        <sz val="11"/>
        <rFont val="宋体"/>
        <charset val="134"/>
      </rPr>
      <t>自卸汽车</t>
    </r>
    <r>
      <rPr>
        <sz val="11"/>
        <rFont val="Times New Roman"/>
        <charset val="134"/>
      </rPr>
      <t>5t</t>
    </r>
  </si>
  <si>
    <t>（一）</t>
  </si>
  <si>
    <t>（二）</t>
  </si>
  <si>
    <r>
      <rPr>
        <b/>
        <sz val="11"/>
        <rFont val="宋体"/>
        <charset val="134"/>
      </rPr>
      <t>直接费小计</t>
    </r>
  </si>
  <si>
    <r>
      <rPr>
        <sz val="11"/>
        <rFont val="宋体"/>
        <charset val="134"/>
      </rPr>
      <t>柴油</t>
    </r>
  </si>
  <si>
    <r>
      <rPr>
        <b/>
        <sz val="11"/>
        <rFont val="宋体"/>
        <charset val="134"/>
      </rPr>
      <t>五</t>
    </r>
  </si>
  <si>
    <r>
      <rPr>
        <b/>
        <sz val="11"/>
        <rFont val="Times New Roman"/>
        <charset val="134"/>
      </rPr>
      <t xml:space="preserve"> 1m</t>
    </r>
    <r>
      <rPr>
        <b/>
        <vertAlign val="superscript"/>
        <sz val="11"/>
        <rFont val="Times New Roman"/>
        <charset val="134"/>
      </rPr>
      <t>3</t>
    </r>
    <r>
      <rPr>
        <b/>
        <sz val="11"/>
        <rFont val="宋体"/>
        <charset val="134"/>
      </rPr>
      <t>挖掘机挖土</t>
    </r>
    <r>
      <rPr>
        <b/>
        <sz val="11"/>
        <rFont val="Times New Roman"/>
        <charset val="134"/>
      </rPr>
      <t>5t</t>
    </r>
    <r>
      <rPr>
        <b/>
        <sz val="11"/>
        <rFont val="宋体"/>
        <charset val="134"/>
      </rPr>
      <t>自卸汽车运输（运距</t>
    </r>
    <r>
      <rPr>
        <b/>
        <sz val="11"/>
        <rFont val="Times New Roman"/>
        <charset val="134"/>
      </rPr>
      <t>2.0-3.0km</t>
    </r>
    <r>
      <rPr>
        <b/>
        <sz val="11"/>
        <rFont val="宋体"/>
        <charset val="134"/>
      </rPr>
      <t>）</t>
    </r>
  </si>
  <si>
    <r>
      <rPr>
        <b/>
        <sz val="11"/>
        <rFont val="宋体"/>
        <charset val="134"/>
      </rPr>
      <t>定额编号：</t>
    </r>
    <r>
      <rPr>
        <b/>
        <sz val="11"/>
        <rFont val="Times New Roman"/>
        <charset val="134"/>
      </rPr>
      <t>10222</t>
    </r>
  </si>
  <si>
    <r>
      <rPr>
        <b/>
        <sz val="11"/>
        <rFont val="Times New Roman"/>
        <charset val="134"/>
      </rPr>
      <t>74kw</t>
    </r>
    <r>
      <rPr>
        <b/>
        <sz val="11"/>
        <rFont val="宋体"/>
        <charset val="134"/>
      </rPr>
      <t>推土机推土（</t>
    </r>
    <r>
      <rPr>
        <b/>
        <sz val="11"/>
        <rFont val="Times New Roman"/>
        <charset val="134"/>
      </rPr>
      <t xml:space="preserve">20-30m </t>
    </r>
    <r>
      <rPr>
        <b/>
        <sz val="11"/>
        <rFont val="宋体"/>
        <charset val="134"/>
      </rPr>
      <t>，</t>
    </r>
    <r>
      <rPr>
        <b/>
        <sz val="11"/>
        <rFont val="Times New Roman"/>
        <charset val="134"/>
      </rPr>
      <t>IV</t>
    </r>
    <r>
      <rPr>
        <b/>
        <sz val="11"/>
        <rFont val="宋体"/>
        <charset val="134"/>
      </rPr>
      <t>类土）</t>
    </r>
  </si>
  <si>
    <r>
      <rPr>
        <b/>
        <sz val="11"/>
        <rFont val="Times New Roman"/>
        <charset val="134"/>
      </rPr>
      <t xml:space="preserve">    </t>
    </r>
    <r>
      <rPr>
        <b/>
        <sz val="11"/>
        <rFont val="宋体"/>
        <charset val="134"/>
      </rPr>
      <t>定额编号：</t>
    </r>
    <r>
      <rPr>
        <b/>
        <sz val="11"/>
        <rFont val="Times New Roman"/>
        <charset val="134"/>
      </rPr>
      <t xml:space="preserve">10322                            </t>
    </r>
  </si>
  <si>
    <r>
      <rPr>
        <b/>
        <sz val="11"/>
        <rFont val="Times New Roman"/>
        <charset val="134"/>
      </rPr>
      <t xml:space="preserve"> </t>
    </r>
    <r>
      <rPr>
        <b/>
        <sz val="11"/>
        <rFont val="宋体"/>
        <charset val="134"/>
      </rPr>
      <t>单位：</t>
    </r>
    <r>
      <rPr>
        <b/>
        <sz val="11"/>
        <rFont val="Times New Roman"/>
        <charset val="134"/>
      </rPr>
      <t>100m</t>
    </r>
    <r>
      <rPr>
        <b/>
        <vertAlign val="superscript"/>
        <sz val="11"/>
        <rFont val="Times New Roman"/>
        <charset val="134"/>
      </rPr>
      <t>3</t>
    </r>
  </si>
  <si>
    <r>
      <rPr>
        <b/>
        <sz val="11"/>
        <rFont val="宋体"/>
        <charset val="134"/>
      </rPr>
      <t>工日</t>
    </r>
  </si>
  <si>
    <r>
      <rPr>
        <sz val="11"/>
        <rFont val="宋体"/>
        <charset val="134"/>
      </rPr>
      <t>推土机</t>
    </r>
    <r>
      <rPr>
        <sz val="11"/>
        <rFont val="Times New Roman"/>
        <charset val="134"/>
      </rPr>
      <t>74kw</t>
    </r>
  </si>
  <si>
    <r>
      <rPr>
        <b/>
        <sz val="11"/>
        <rFont val="宋体"/>
        <charset val="134"/>
      </rPr>
      <t>四</t>
    </r>
  </si>
  <si>
    <r>
      <rPr>
        <b/>
        <sz val="11"/>
        <rFont val="Times New Roman"/>
        <charset val="134"/>
      </rPr>
      <t>74kw</t>
    </r>
    <r>
      <rPr>
        <b/>
        <sz val="11"/>
        <rFont val="宋体"/>
        <charset val="134"/>
      </rPr>
      <t>推土机推土（</t>
    </r>
    <r>
      <rPr>
        <b/>
        <sz val="11"/>
        <rFont val="Times New Roman"/>
        <charset val="134"/>
      </rPr>
      <t xml:space="preserve">30-40m </t>
    </r>
    <r>
      <rPr>
        <b/>
        <sz val="11"/>
        <rFont val="宋体"/>
        <charset val="134"/>
      </rPr>
      <t>，</t>
    </r>
    <r>
      <rPr>
        <b/>
        <sz val="11"/>
        <rFont val="Times New Roman"/>
        <charset val="134"/>
      </rPr>
      <t>IV</t>
    </r>
    <r>
      <rPr>
        <b/>
        <sz val="11"/>
        <rFont val="宋体"/>
        <charset val="134"/>
      </rPr>
      <t>类土）</t>
    </r>
  </si>
  <si>
    <r>
      <rPr>
        <b/>
        <sz val="11"/>
        <rFont val="Times New Roman"/>
        <charset val="134"/>
      </rPr>
      <t xml:space="preserve">    </t>
    </r>
    <r>
      <rPr>
        <b/>
        <sz val="11"/>
        <rFont val="宋体"/>
        <charset val="134"/>
      </rPr>
      <t>定额编号：</t>
    </r>
    <r>
      <rPr>
        <b/>
        <sz val="11"/>
        <rFont val="Times New Roman"/>
        <charset val="134"/>
      </rPr>
      <t xml:space="preserve">10323                        </t>
    </r>
  </si>
  <si>
    <t>附表6                   各项费用费率取值计算表</t>
  </si>
  <si>
    <t>措施费费率表</t>
  </si>
  <si>
    <t>工程类别</t>
  </si>
  <si>
    <t>计费基础</t>
  </si>
  <si>
    <t>临时设施费</t>
  </si>
  <si>
    <t>冬雨季施工增加费</t>
  </si>
  <si>
    <t>夜间施工增加费</t>
  </si>
  <si>
    <t>施工辅助费</t>
  </si>
  <si>
    <t>安全施工措施费</t>
  </si>
  <si>
    <t>费率合计</t>
  </si>
  <si>
    <t>土方工程</t>
  </si>
  <si>
    <t>直接工程费</t>
  </si>
  <si>
    <t>石方工程</t>
  </si>
  <si>
    <t>砌体工程</t>
  </si>
  <si>
    <t>混凝土工程</t>
  </si>
  <si>
    <t>农用井工程</t>
  </si>
  <si>
    <t>其他工程</t>
  </si>
  <si>
    <t>安装工程</t>
  </si>
  <si>
    <t>间接费费率表</t>
  </si>
  <si>
    <t>间接费费率（％）</t>
  </si>
  <si>
    <t>直接费</t>
  </si>
  <si>
    <t>人工费</t>
  </si>
  <si>
    <t>利润</t>
  </si>
  <si>
    <t>税金</t>
  </si>
  <si>
    <t>农村</t>
  </si>
  <si>
    <t>县镇</t>
  </si>
  <si>
    <t>市区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</si>
</sst>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_ "/>
    <numFmt numFmtId="179" formatCode="0.0_);[Red]\(0.0\)"/>
    <numFmt numFmtId="180" formatCode="0_);[Red]\(0\)"/>
    <numFmt numFmtId="181" formatCode="0.000_);[Red]\(0.000\)"/>
    <numFmt numFmtId="182" formatCode="0.0000"/>
    <numFmt numFmtId="183" formatCode="0.0000_ "/>
    <numFmt numFmtId="184" formatCode="0.00_);\(0.00\)"/>
    <numFmt numFmtId="185" formatCode="0.000"/>
    <numFmt numFmtId="186" formatCode="0.0"/>
    <numFmt numFmtId="187" formatCode="0.0_ "/>
    <numFmt numFmtId="188" formatCode="0.00;[Red]0.00"/>
  </numFmts>
  <fonts count="86">
    <font>
      <sz val="12"/>
      <name val="宋体"/>
      <charset val="134"/>
    </font>
    <font>
      <b/>
      <sz val="14"/>
      <name val="宋体"/>
      <charset val="134"/>
    </font>
    <font>
      <b/>
      <sz val="12"/>
      <name val="宋体"/>
      <charset val="134"/>
    </font>
    <font>
      <b/>
      <sz val="10"/>
      <name val="宋体"/>
      <charset val="134"/>
    </font>
    <font>
      <sz val="10"/>
      <name val="宋体"/>
      <charset val="134"/>
    </font>
    <font>
      <sz val="15"/>
      <name val="Times New Roman"/>
      <charset val="134"/>
    </font>
    <font>
      <sz val="11"/>
      <name val="Times New Roman"/>
      <charset val="134"/>
    </font>
    <font>
      <b/>
      <sz val="11"/>
      <name val="Times New Roman"/>
      <charset val="134"/>
    </font>
    <font>
      <b/>
      <sz val="15"/>
      <name val="Times New Roman"/>
      <charset val="134"/>
    </font>
    <font>
      <b/>
      <u/>
      <sz val="15"/>
      <name val="Times New Roman"/>
      <charset val="134"/>
    </font>
    <font>
      <b/>
      <sz val="11"/>
      <name val="Times New Roman"/>
      <charset val="134"/>
    </font>
    <font>
      <sz val="14"/>
      <name val="Times New Roman"/>
      <charset val="134"/>
    </font>
    <font>
      <sz val="12"/>
      <name val="Times New Roman"/>
      <charset val="134"/>
    </font>
    <font>
      <sz val="10"/>
      <name val="Times New Roman"/>
      <charset val="134"/>
    </font>
    <font>
      <b/>
      <sz val="14"/>
      <name val="Times New Roman"/>
      <charset val="134"/>
    </font>
    <font>
      <b/>
      <u/>
      <sz val="14"/>
      <name val="Times New Roman"/>
      <charset val="134"/>
    </font>
    <font>
      <b/>
      <sz val="12"/>
      <name val="Times New Roman"/>
      <charset val="134"/>
    </font>
    <font>
      <b/>
      <sz val="16"/>
      <name val="Times New Roman"/>
      <charset val="134"/>
    </font>
    <font>
      <b/>
      <sz val="10"/>
      <name val="Times New Roman"/>
      <charset val="134"/>
    </font>
    <font>
      <b/>
      <u/>
      <sz val="14"/>
      <name val="宋体"/>
      <charset val="134"/>
    </font>
    <font>
      <sz val="12"/>
      <name val="宋体"/>
      <charset val="134"/>
    </font>
    <font>
      <sz val="12"/>
      <name val="宋体"/>
      <charset val="134"/>
    </font>
    <font>
      <sz val="11"/>
      <name val="宋体"/>
      <charset val="134"/>
    </font>
    <font>
      <sz val="11"/>
      <name val="Times New Roman"/>
      <charset val="134"/>
    </font>
    <font>
      <sz val="16"/>
      <name val="Times New Roman"/>
      <charset val="134"/>
    </font>
    <font>
      <sz val="12"/>
      <name val="黑体"/>
      <charset val="134"/>
    </font>
    <font>
      <sz val="16"/>
      <name val="黑体"/>
      <charset val="134"/>
    </font>
    <font>
      <b/>
      <sz val="11"/>
      <name val="宋体"/>
      <charset val="134"/>
    </font>
    <font>
      <b/>
      <u/>
      <sz val="15"/>
      <name val="宋体"/>
      <charset val="134"/>
    </font>
    <font>
      <b/>
      <sz val="12"/>
      <name val="仿宋_GB2312"/>
      <charset val="134"/>
    </font>
    <font>
      <sz val="10"/>
      <name val="Calibri"/>
      <charset val="134"/>
    </font>
    <font>
      <sz val="11"/>
      <color theme="1"/>
      <name val="Times New Roman"/>
      <charset val="134"/>
    </font>
    <font>
      <sz val="11"/>
      <color theme="1"/>
      <name val="宋体"/>
      <charset val="134"/>
    </font>
    <font>
      <sz val="18"/>
      <name val="Times New Roman"/>
      <charset val="134"/>
    </font>
    <font>
      <b/>
      <sz val="18"/>
      <name val="Times New Roman"/>
      <charset val="134"/>
    </font>
    <font>
      <b/>
      <sz val="11"/>
      <color indexed="8"/>
      <name val="Times New Roman"/>
      <charset val="134"/>
    </font>
    <font>
      <sz val="11"/>
      <color indexed="8"/>
      <name val="Times New Roman"/>
      <charset val="134"/>
    </font>
    <font>
      <sz val="11"/>
      <color theme="1" tint="0.0499893185216834"/>
      <name val="Times New Roman"/>
      <charset val="134"/>
    </font>
    <font>
      <b/>
      <sz val="11"/>
      <color theme="1" tint="0.0499893185216834"/>
      <name val="Times New Roman"/>
      <charset val="134"/>
    </font>
    <font>
      <b/>
      <sz val="16"/>
      <name val="宋体"/>
      <charset val="134"/>
    </font>
    <font>
      <b/>
      <u/>
      <sz val="16"/>
      <name val="宋体"/>
      <charset val="134"/>
    </font>
    <font>
      <sz val="11"/>
      <color indexed="10"/>
      <name val="宋体"/>
      <charset val="134"/>
    </font>
    <font>
      <b/>
      <sz val="11"/>
      <color indexed="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1"/>
      <color indexed="8"/>
      <name val="宋体"/>
      <charset val="134"/>
    </font>
    <font>
      <b/>
      <sz val="15"/>
      <color indexed="56"/>
      <name val="宋体"/>
      <charset val="134"/>
    </font>
    <font>
      <b/>
      <sz val="13"/>
      <color indexed="56"/>
      <name val="宋体"/>
      <charset val="134"/>
    </font>
    <font>
      <b/>
      <sz val="11"/>
      <color indexed="56"/>
      <name val="宋体"/>
      <charset val="134"/>
    </font>
    <font>
      <b/>
      <sz val="18"/>
      <color indexed="56"/>
      <name val="黑体"/>
      <charset val="134"/>
    </font>
    <font>
      <sz val="11"/>
      <color indexed="20"/>
      <name val="宋体"/>
      <charset val="134"/>
    </font>
    <font>
      <sz val="11"/>
      <color theme="1"/>
      <name val="等线"/>
      <charset val="134"/>
      <scheme val="minor"/>
    </font>
    <font>
      <sz val="11"/>
      <color indexed="17"/>
      <name val="宋体"/>
      <charset val="134"/>
    </font>
    <font>
      <b/>
      <sz val="11"/>
      <color indexed="52"/>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b/>
      <sz val="15"/>
      <name val="宋体"/>
      <charset val="134"/>
    </font>
    <font>
      <b/>
      <vertAlign val="superscript"/>
      <sz val="11"/>
      <name val="Times New Roman"/>
      <charset val="134"/>
    </font>
    <font>
      <b/>
      <sz val="11"/>
      <name val="宋体"/>
      <charset val="134"/>
    </font>
    <font>
      <vertAlign val="superscript"/>
      <sz val="11"/>
      <name val="Times New Roman"/>
      <charset val="134"/>
    </font>
    <font>
      <b/>
      <sz val="10"/>
      <name val="仿宋_GB2312"/>
      <charset val="134"/>
    </font>
    <font>
      <b/>
      <vertAlign val="superscript"/>
      <sz val="10"/>
      <name val="Times New Roman"/>
      <charset val="134"/>
    </font>
    <font>
      <vertAlign val="superscript"/>
      <sz val="10"/>
      <name val="Times New Roman"/>
      <charset val="134"/>
    </font>
    <font>
      <vertAlign val="superscript"/>
      <sz val="12"/>
      <name val="Times New Roman"/>
      <charset val="134"/>
    </font>
    <font>
      <sz val="16"/>
      <name val="宋体"/>
      <charset val="134"/>
    </font>
    <font>
      <b/>
      <sz val="18"/>
      <name val="宋体"/>
      <charset val="134"/>
    </font>
    <font>
      <b/>
      <sz val="9"/>
      <name val="宋体"/>
      <charset val="134"/>
    </font>
    <font>
      <sz val="9"/>
      <name val="宋体"/>
      <charset val="134"/>
    </font>
  </fonts>
  <fills count="53">
    <fill>
      <patternFill patternType="none"/>
    </fill>
    <fill>
      <patternFill patternType="gray125"/>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
      <left/>
      <right/>
      <top/>
      <bottom style="thick">
        <color indexed="50"/>
      </bottom>
      <diagonal/>
    </border>
    <border>
      <left/>
      <right/>
      <top/>
      <bottom style="thick">
        <color indexed="43"/>
      </bottom>
      <diagonal/>
    </border>
    <border>
      <left/>
      <right/>
      <top/>
      <bottom style="medium">
        <color indexed="13"/>
      </bottom>
      <diagonal/>
    </border>
    <border>
      <left/>
      <right/>
      <top style="thin">
        <color indexed="50"/>
      </top>
      <bottom style="double">
        <color indexed="5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75">
    <xf numFmtId="0" fontId="0" fillId="0" borderId="0" applyBorder="0"/>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20" fillId="0" borderId="0" applyFont="0" applyFill="0" applyBorder="0" applyAlignment="0" applyProtection="0"/>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0" fillId="7" borderId="11" applyNumberFormat="0" applyFont="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2" applyNumberFormat="0" applyFill="0" applyAlignment="0" applyProtection="0">
      <alignment vertical="center"/>
    </xf>
    <xf numFmtId="0" fontId="49" fillId="0" borderId="13" applyNumberFormat="0" applyFill="0" applyAlignment="0" applyProtection="0">
      <alignment vertical="center"/>
    </xf>
    <xf numFmtId="0" fontId="50" fillId="0" borderId="14" applyNumberFormat="0" applyFill="0" applyAlignment="0" applyProtection="0">
      <alignment vertical="center"/>
    </xf>
    <xf numFmtId="0" fontId="50" fillId="0" borderId="0" applyNumberFormat="0" applyFill="0" applyBorder="0" applyAlignment="0" applyProtection="0">
      <alignment vertical="center"/>
    </xf>
    <xf numFmtId="0" fontId="51" fillId="8" borderId="15" applyNumberFormat="0" applyAlignment="0" applyProtection="0">
      <alignment vertical="center"/>
    </xf>
    <xf numFmtId="0" fontId="52" fillId="9" borderId="16" applyNumberFormat="0" applyAlignment="0" applyProtection="0">
      <alignment vertical="center"/>
    </xf>
    <xf numFmtId="0" fontId="53" fillId="9" borderId="15" applyNumberFormat="0" applyAlignment="0" applyProtection="0">
      <alignment vertical="center"/>
    </xf>
    <xf numFmtId="0" fontId="54" fillId="10" borderId="17" applyNumberFormat="0" applyAlignment="0" applyProtection="0">
      <alignment vertical="center"/>
    </xf>
    <xf numFmtId="0" fontId="55" fillId="0" borderId="18" applyNumberFormat="0" applyFill="0" applyAlignment="0" applyProtection="0">
      <alignment vertical="center"/>
    </xf>
    <xf numFmtId="0" fontId="56" fillId="0" borderId="19" applyNumberFormat="0" applyFill="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0" fillId="33" borderId="0" applyNumberFormat="0" applyBorder="0" applyAlignment="0" applyProtection="0">
      <alignment vertical="center"/>
    </xf>
    <xf numFmtId="0" fontId="60" fillId="34" borderId="0" applyNumberFormat="0" applyBorder="0" applyAlignment="0" applyProtection="0">
      <alignment vertical="center"/>
    </xf>
    <xf numFmtId="0" fontId="61" fillId="35" borderId="0" applyNumberFormat="0" applyBorder="0" applyAlignment="0" applyProtection="0">
      <alignment vertical="center"/>
    </xf>
    <xf numFmtId="0" fontId="61" fillId="36" borderId="0" applyNumberFormat="0" applyBorder="0" applyAlignment="0" applyProtection="0">
      <alignment vertical="center"/>
    </xf>
    <xf numFmtId="0" fontId="60" fillId="37" borderId="0" applyNumberFormat="0" applyBorder="0" applyAlignment="0" applyProtection="0">
      <alignment vertical="center"/>
    </xf>
    <xf numFmtId="0" fontId="61" fillId="38" borderId="0" applyNumberFormat="0" applyBorder="0" applyAlignment="0" applyProtection="0">
      <alignment vertical="center"/>
    </xf>
    <xf numFmtId="0" fontId="61" fillId="39" borderId="0" applyNumberFormat="0" applyBorder="0" applyAlignment="0" applyProtection="0">
      <alignment vertical="center"/>
    </xf>
    <xf numFmtId="0" fontId="61" fillId="40" borderId="0" applyNumberFormat="0" applyBorder="0" applyAlignment="0" applyProtection="0">
      <alignment vertical="center"/>
    </xf>
    <xf numFmtId="0" fontId="61" fillId="38" borderId="0" applyNumberFormat="0" applyBorder="0" applyAlignment="0" applyProtection="0">
      <alignment vertical="center"/>
    </xf>
    <xf numFmtId="0" fontId="61" fillId="40" borderId="0" applyNumberFormat="0" applyBorder="0" applyAlignment="0" applyProtection="0">
      <alignment vertical="center"/>
    </xf>
    <xf numFmtId="0" fontId="61" fillId="38" borderId="0" applyNumberFormat="0" applyBorder="0" applyAlignment="0" applyProtection="0">
      <alignment vertical="center"/>
    </xf>
    <xf numFmtId="0" fontId="61" fillId="41" borderId="0" applyNumberFormat="0" applyBorder="0" applyAlignment="0" applyProtection="0">
      <alignment vertical="center"/>
    </xf>
    <xf numFmtId="0" fontId="61" fillId="39" borderId="0" applyNumberFormat="0" applyBorder="0" applyAlignment="0" applyProtection="0">
      <alignment vertical="center"/>
    </xf>
    <xf numFmtId="0" fontId="61" fillId="38" borderId="0" applyNumberFormat="0" applyBorder="0" applyAlignment="0" applyProtection="0">
      <alignment vertical="center"/>
    </xf>
    <xf numFmtId="0" fontId="61" fillId="39" borderId="0" applyNumberFormat="0" applyBorder="0" applyAlignment="0" applyProtection="0">
      <alignment vertical="center"/>
    </xf>
    <xf numFmtId="0" fontId="61" fillId="42" borderId="0" applyNumberFormat="0" applyBorder="0" applyAlignment="0" applyProtection="0">
      <alignment vertical="center"/>
    </xf>
    <xf numFmtId="0" fontId="61" fillId="39" borderId="0" applyNumberFormat="0" applyBorder="0" applyAlignment="0" applyProtection="0">
      <alignment vertical="center"/>
    </xf>
    <xf numFmtId="0" fontId="60" fillId="43" borderId="0" applyNumberFormat="0" applyBorder="0" applyAlignment="0" applyProtection="0">
      <alignment vertical="center"/>
    </xf>
    <xf numFmtId="0" fontId="60" fillId="39" borderId="0" applyNumberFormat="0" applyBorder="0" applyAlignment="0" applyProtection="0">
      <alignment vertical="center"/>
    </xf>
    <xf numFmtId="0" fontId="60" fillId="41" borderId="0" applyNumberFormat="0" applyBorder="0" applyAlignment="0" applyProtection="0">
      <alignment vertical="center"/>
    </xf>
    <xf numFmtId="0" fontId="60" fillId="39" borderId="0" applyNumberFormat="0" applyBorder="0" applyAlignment="0" applyProtection="0">
      <alignment vertical="center"/>
    </xf>
    <xf numFmtId="0" fontId="60" fillId="42" borderId="0" applyNumberFormat="0" applyBorder="0" applyAlignment="0" applyProtection="0">
      <alignment vertical="center"/>
    </xf>
    <xf numFmtId="0" fontId="60" fillId="39" borderId="0" applyNumberFormat="0" applyBorder="0" applyAlignment="0" applyProtection="0">
      <alignment vertical="center"/>
    </xf>
    <xf numFmtId="0" fontId="62" fillId="0" borderId="20" applyNumberFormat="0" applyFill="0" applyAlignment="0" applyProtection="0">
      <alignment vertical="center"/>
    </xf>
    <xf numFmtId="0" fontId="63" fillId="0" borderId="21" applyNumberFormat="0" applyFill="0" applyAlignment="0" applyProtection="0">
      <alignment vertical="center"/>
    </xf>
    <xf numFmtId="0" fontId="64" fillId="0" borderId="22" applyNumberFormat="0" applyFill="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44" borderId="0" applyNumberFormat="0" applyBorder="0" applyAlignment="0" applyProtection="0">
      <alignment vertical="center"/>
    </xf>
    <xf numFmtId="0" fontId="20" fillId="0" borderId="0" applyBorder="0"/>
    <xf numFmtId="0" fontId="20" fillId="0" borderId="0"/>
    <xf numFmtId="0" fontId="20" fillId="0" borderId="0"/>
    <xf numFmtId="0" fontId="20" fillId="0" borderId="0" applyBorder="0"/>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7" fillId="0" borderId="0">
      <alignment vertical="center"/>
    </xf>
    <xf numFmtId="0" fontId="20" fillId="0" borderId="0"/>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20" fillId="0" borderId="0">
      <alignment vertical="center"/>
    </xf>
    <xf numFmtId="0" fontId="68" fillId="45" borderId="0" applyNumberFormat="0" applyBorder="0" applyAlignment="0" applyProtection="0">
      <alignment vertical="center"/>
    </xf>
    <xf numFmtId="0" fontId="56" fillId="0" borderId="23" applyNumberFormat="0" applyFill="0" applyAlignment="0" applyProtection="0">
      <alignment vertical="center"/>
    </xf>
    <xf numFmtId="0" fontId="69" fillId="42" borderId="24" applyNumberFormat="0" applyAlignment="0" applyProtection="0">
      <alignment vertical="center"/>
    </xf>
    <xf numFmtId="0" fontId="54" fillId="46" borderId="25" applyNumberFormat="0" applyAlignment="0" applyProtection="0">
      <alignment vertical="center"/>
    </xf>
    <xf numFmtId="0" fontId="4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70" fillId="0" borderId="26" applyNumberFormat="0" applyFill="0" applyAlignment="0" applyProtection="0">
      <alignment vertical="center"/>
    </xf>
    <xf numFmtId="0" fontId="60" fillId="47" borderId="0" applyNumberFormat="0" applyBorder="0" applyAlignment="0" applyProtection="0">
      <alignment vertical="center"/>
    </xf>
    <xf numFmtId="0" fontId="60" fillId="48" borderId="0" applyNumberFormat="0" applyBorder="0" applyAlignment="0" applyProtection="0">
      <alignment vertical="center"/>
    </xf>
    <xf numFmtId="0" fontId="60" fillId="49" borderId="0" applyNumberFormat="0" applyBorder="0" applyAlignment="0" applyProtection="0">
      <alignment vertical="center"/>
    </xf>
    <xf numFmtId="0" fontId="60" fillId="50" borderId="0" applyNumberFormat="0" applyBorder="0" applyAlignment="0" applyProtection="0">
      <alignment vertical="center"/>
    </xf>
    <xf numFmtId="0" fontId="60" fillId="51" borderId="0" applyNumberFormat="0" applyBorder="0" applyAlignment="0" applyProtection="0">
      <alignment vertical="center"/>
    </xf>
    <xf numFmtId="0" fontId="60" fillId="52" borderId="0" applyNumberFormat="0" applyBorder="0" applyAlignment="0" applyProtection="0">
      <alignment vertical="center"/>
    </xf>
    <xf numFmtId="0" fontId="71" fillId="41" borderId="0" applyNumberFormat="0" applyBorder="0" applyAlignment="0" applyProtection="0">
      <alignment vertical="center"/>
    </xf>
    <xf numFmtId="0" fontId="72" fillId="42" borderId="27" applyNumberFormat="0" applyAlignment="0" applyProtection="0">
      <alignment vertical="center"/>
    </xf>
    <xf numFmtId="0" fontId="73" fillId="39" borderId="24" applyNumberFormat="0" applyAlignment="0" applyProtection="0">
      <alignment vertical="center"/>
    </xf>
    <xf numFmtId="0" fontId="20" fillId="38" borderId="28" applyNumberFormat="0" applyFont="0" applyAlignment="0" applyProtection="0">
      <alignment vertical="center"/>
    </xf>
  </cellStyleXfs>
  <cellXfs count="310">
    <xf numFmtId="0" fontId="0" fillId="0" borderId="0" xfId="0"/>
    <xf numFmtId="0" fontId="1" fillId="0" borderId="0" xfId="0" applyFont="1" applyAlignment="1">
      <alignment horizontal="left" vertical="center"/>
    </xf>
    <xf numFmtId="0" fontId="2"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6" fontId="4" fillId="0" borderId="1" xfId="86" applyNumberFormat="1" applyFont="1" applyBorder="1" applyAlignment="1">
      <alignment horizontal="center" vertical="center"/>
    </xf>
    <xf numFmtId="0" fontId="0" fillId="0" borderId="2" xfId="0" applyBorder="1" applyAlignment="1">
      <alignment horizontal="center"/>
    </xf>
    <xf numFmtId="0" fontId="1" fillId="0" borderId="0" xfId="0" applyFont="1"/>
    <xf numFmtId="0" fontId="0" fillId="0" borderId="1" xfId="0" applyBorder="1" applyAlignment="1">
      <alignment horizontal="center"/>
    </xf>
    <xf numFmtId="0" fontId="0" fillId="0" borderId="0" xfId="0" applyAlignment="1">
      <alignment horizontal="center"/>
    </xf>
    <xf numFmtId="0" fontId="0" fillId="2" borderId="1" xfId="0" applyFill="1" applyBorder="1" applyAlignment="1">
      <alignment horizontal="center"/>
    </xf>
    <xf numFmtId="177" fontId="5" fillId="0" borderId="0" xfId="73" applyNumberFormat="1" applyFont="1" applyAlignment="1">
      <alignment horizontal="center" vertical="center"/>
    </xf>
    <xf numFmtId="0" fontId="6" fillId="0" borderId="0" xfId="73" applyFont="1"/>
    <xf numFmtId="177" fontId="7" fillId="0" borderId="0" xfId="73" applyNumberFormat="1" applyFont="1" applyAlignment="1">
      <alignment horizontal="center" vertical="center"/>
    </xf>
    <xf numFmtId="49" fontId="6" fillId="0" borderId="0" xfId="73" applyNumberFormat="1" applyFont="1" applyAlignment="1">
      <alignment horizontal="center" vertical="center"/>
    </xf>
    <xf numFmtId="177" fontId="6" fillId="0" borderId="0" xfId="73" applyNumberFormat="1" applyFont="1" applyAlignment="1">
      <alignment horizontal="center" vertical="center" wrapText="1"/>
    </xf>
    <xf numFmtId="177" fontId="6" fillId="0" borderId="0" xfId="73" applyNumberFormat="1" applyFont="1" applyAlignment="1">
      <alignment horizontal="center" vertical="center"/>
    </xf>
    <xf numFmtId="49" fontId="8" fillId="0" borderId="0" xfId="73" applyNumberFormat="1" applyFont="1" applyBorder="1" applyAlignment="1">
      <alignment vertical="center"/>
    </xf>
    <xf numFmtId="177" fontId="9" fillId="0" borderId="0" xfId="73" applyNumberFormat="1" applyFont="1" applyBorder="1" applyAlignment="1">
      <alignment horizontal="center" vertical="center"/>
    </xf>
    <xf numFmtId="177" fontId="7" fillId="0" borderId="0" xfId="73" applyNumberFormat="1" applyFont="1" applyBorder="1" applyAlignment="1">
      <alignment horizontal="center" vertical="center"/>
    </xf>
    <xf numFmtId="49" fontId="10" fillId="0" borderId="2" xfId="73" applyNumberFormat="1" applyFont="1" applyBorder="1" applyAlignment="1">
      <alignment horizontal="left" vertical="center"/>
    </xf>
    <xf numFmtId="49" fontId="7" fillId="0" borderId="2" xfId="73" applyNumberFormat="1" applyFont="1" applyBorder="1" applyAlignment="1">
      <alignment horizontal="left" vertical="center"/>
    </xf>
    <xf numFmtId="177" fontId="7" fillId="0" borderId="0" xfId="73" applyNumberFormat="1" applyFont="1" applyBorder="1" applyAlignment="1">
      <alignment vertical="center"/>
    </xf>
    <xf numFmtId="49" fontId="7" fillId="0" borderId="1" xfId="73" applyNumberFormat="1" applyFont="1" applyBorder="1" applyAlignment="1">
      <alignment horizontal="center" vertical="center"/>
    </xf>
    <xf numFmtId="177" fontId="7" fillId="0" borderId="1" xfId="73" applyNumberFormat="1" applyFont="1" applyBorder="1" applyAlignment="1">
      <alignment horizontal="center" vertical="center"/>
    </xf>
    <xf numFmtId="49" fontId="6" fillId="0" borderId="1" xfId="73" applyNumberFormat="1" applyFont="1" applyBorder="1" applyAlignment="1">
      <alignment horizontal="center" vertical="center"/>
    </xf>
    <xf numFmtId="177" fontId="6" fillId="0" borderId="1" xfId="73" applyNumberFormat="1" applyFont="1" applyBorder="1" applyAlignment="1">
      <alignment horizontal="center" vertical="center"/>
    </xf>
    <xf numFmtId="0" fontId="7" fillId="0" borderId="1" xfId="73" applyFont="1" applyBorder="1" applyAlignment="1">
      <alignment horizontal="center" vertical="center"/>
    </xf>
    <xf numFmtId="176" fontId="7" fillId="0" borderId="1" xfId="73" applyNumberFormat="1" applyFont="1" applyBorder="1" applyAlignment="1">
      <alignment horizontal="center" vertical="center"/>
    </xf>
    <xf numFmtId="49" fontId="6" fillId="0" borderId="0" xfId="73" applyNumberFormat="1" applyFont="1" applyBorder="1" applyAlignment="1">
      <alignment horizontal="center" vertical="center"/>
    </xf>
    <xf numFmtId="177" fontId="6" fillId="0" borderId="0" xfId="73" applyNumberFormat="1" applyFont="1" applyBorder="1" applyAlignment="1">
      <alignment horizontal="center" vertical="center"/>
    </xf>
    <xf numFmtId="49" fontId="7" fillId="0" borderId="0" xfId="73" applyNumberFormat="1" applyFont="1" applyBorder="1" applyAlignment="1">
      <alignment horizontal="center" vertical="center"/>
    </xf>
    <xf numFmtId="177" fontId="7" fillId="0" borderId="0" xfId="73" applyNumberFormat="1" applyFont="1" applyBorder="1" applyAlignment="1">
      <alignment horizontal="center" vertical="center" wrapText="1"/>
    </xf>
    <xf numFmtId="177" fontId="7" fillId="0" borderId="1" xfId="73" applyNumberFormat="1" applyFont="1" applyBorder="1" applyAlignment="1">
      <alignment horizontal="center" vertical="center" wrapText="1"/>
    </xf>
    <xf numFmtId="177" fontId="6" fillId="0" borderId="1" xfId="73" applyNumberFormat="1" applyFont="1" applyBorder="1" applyAlignment="1">
      <alignment horizontal="center" vertical="center" wrapText="1"/>
    </xf>
    <xf numFmtId="0" fontId="11" fillId="0" borderId="0" xfId="157" applyFont="1" applyAlignment="1">
      <alignment vertical="center" wrapText="1"/>
    </xf>
    <xf numFmtId="0" fontId="12" fillId="0" borderId="0" xfId="157" applyFont="1" applyAlignment="1">
      <alignment vertical="center" wrapText="1"/>
    </xf>
    <xf numFmtId="0" fontId="6" fillId="0" borderId="0" xfId="157" applyFont="1" applyAlignment="1">
      <alignment horizontal="center" vertical="center" wrapText="1"/>
    </xf>
    <xf numFmtId="0" fontId="13" fillId="0" borderId="0" xfId="157" applyFont="1" applyAlignment="1">
      <alignment vertical="center" wrapText="1"/>
    </xf>
    <xf numFmtId="178" fontId="13" fillId="0" borderId="0" xfId="157" applyNumberFormat="1" applyFont="1" applyAlignment="1">
      <alignment vertical="center" wrapText="1"/>
    </xf>
    <xf numFmtId="176" fontId="13" fillId="0" borderId="0" xfId="157" applyNumberFormat="1" applyFont="1" applyAlignment="1">
      <alignment vertical="center" wrapText="1"/>
    </xf>
    <xf numFmtId="0" fontId="14" fillId="0" borderId="0" xfId="156" applyFont="1">
      <alignment vertical="center"/>
    </xf>
    <xf numFmtId="0" fontId="15" fillId="0" borderId="0" xfId="156" applyFont="1" applyAlignment="1">
      <alignment horizontal="center" vertical="center"/>
    </xf>
    <xf numFmtId="0" fontId="12" fillId="0" borderId="0" xfId="156" applyFont="1" applyAlignment="1">
      <alignment horizontal="left" vertical="center"/>
    </xf>
    <xf numFmtId="178" fontId="12" fillId="0" borderId="0" xfId="156" applyNumberFormat="1" applyFont="1" applyAlignment="1">
      <alignment horizontal="left" vertical="center"/>
    </xf>
    <xf numFmtId="0" fontId="7" fillId="0" borderId="1" xfId="157" applyFont="1" applyBorder="1" applyAlignment="1">
      <alignment horizontal="center" vertical="center" wrapText="1"/>
    </xf>
    <xf numFmtId="178" fontId="7" fillId="0" borderId="1" xfId="157" applyNumberFormat="1" applyFont="1" applyBorder="1" applyAlignment="1">
      <alignment horizontal="center" vertical="center" wrapText="1"/>
    </xf>
    <xf numFmtId="176" fontId="7" fillId="0" borderId="1" xfId="157" applyNumberFormat="1" applyFont="1" applyBorder="1" applyAlignment="1">
      <alignment horizontal="center" vertical="center" wrapText="1"/>
    </xf>
    <xf numFmtId="0" fontId="6" fillId="0" borderId="1" xfId="157" applyFont="1" applyBorder="1" applyAlignment="1">
      <alignment horizontal="center" vertical="center" wrapText="1"/>
    </xf>
    <xf numFmtId="178" fontId="6" fillId="0" borderId="1" xfId="157" applyNumberFormat="1" applyFont="1" applyBorder="1" applyAlignment="1">
      <alignment horizontal="center" vertical="center" wrapText="1"/>
    </xf>
    <xf numFmtId="177" fontId="6" fillId="0" borderId="1" xfId="157" applyNumberFormat="1" applyFont="1" applyBorder="1" applyAlignment="1">
      <alignment horizontal="center" vertical="center" wrapText="1"/>
    </xf>
    <xf numFmtId="176" fontId="6" fillId="0" borderId="1" xfId="157" applyNumberFormat="1" applyFont="1" applyBorder="1" applyAlignment="1">
      <alignment horizontal="center" vertical="center" wrapText="1"/>
    </xf>
    <xf numFmtId="176" fontId="12" fillId="0" borderId="1" xfId="157" applyNumberFormat="1" applyFont="1" applyBorder="1" applyAlignment="1">
      <alignment horizontal="center" vertical="center" wrapText="1"/>
    </xf>
    <xf numFmtId="176" fontId="12" fillId="0" borderId="0" xfId="156" applyNumberFormat="1" applyFont="1" applyAlignment="1">
      <alignment horizontal="left" vertical="center"/>
    </xf>
    <xf numFmtId="178" fontId="7" fillId="0" borderId="3" xfId="157" applyNumberFormat="1" applyFont="1" applyBorder="1" applyAlignment="1">
      <alignment horizontal="center" vertical="center" wrapText="1"/>
    </xf>
    <xf numFmtId="178" fontId="7" fillId="0" borderId="4" xfId="157" applyNumberFormat="1" applyFont="1" applyBorder="1" applyAlignment="1">
      <alignment horizontal="center" vertical="center" wrapText="1"/>
    </xf>
    <xf numFmtId="0" fontId="14" fillId="0" borderId="0" xfId="73" applyFont="1"/>
    <xf numFmtId="0" fontId="16" fillId="0" borderId="0" xfId="73" applyFont="1"/>
    <xf numFmtId="0" fontId="12" fillId="0" borderId="0" xfId="73" applyFont="1" applyAlignment="1">
      <alignment horizontal="center" vertical="center"/>
    </xf>
    <xf numFmtId="0" fontId="12" fillId="0" borderId="0" xfId="73" applyFont="1" applyAlignment="1">
      <alignment horizontal="center" vertical="center" wrapText="1"/>
    </xf>
    <xf numFmtId="177" fontId="12" fillId="0" borderId="0" xfId="73" applyNumberFormat="1" applyFont="1" applyAlignment="1">
      <alignment horizontal="center" vertical="center"/>
    </xf>
    <xf numFmtId="179" fontId="12" fillId="0" borderId="0" xfId="73" applyNumberFormat="1" applyFont="1" applyAlignment="1">
      <alignment horizontal="center" vertical="center"/>
    </xf>
    <xf numFmtId="0" fontId="12" fillId="0" borderId="0" xfId="73" applyFont="1"/>
    <xf numFmtId="180" fontId="14" fillId="0" borderId="0" xfId="73" applyNumberFormat="1" applyFont="1" applyBorder="1" applyAlignment="1">
      <alignment horizontal="left" vertical="center"/>
    </xf>
    <xf numFmtId="180" fontId="15" fillId="0" borderId="0" xfId="73" applyNumberFormat="1" applyFont="1" applyBorder="1" applyAlignment="1">
      <alignment horizontal="left" vertical="center"/>
    </xf>
    <xf numFmtId="180" fontId="17" fillId="0" borderId="0" xfId="73" applyNumberFormat="1" applyFont="1" applyBorder="1" applyAlignment="1">
      <alignment horizontal="left" vertical="center"/>
    </xf>
    <xf numFmtId="180" fontId="18" fillId="0" borderId="1" xfId="73" applyNumberFormat="1" applyFont="1" applyBorder="1" applyAlignment="1">
      <alignment horizontal="center" vertical="center" wrapText="1"/>
    </xf>
    <xf numFmtId="177" fontId="18" fillId="0" borderId="1" xfId="73" applyNumberFormat="1" applyFont="1" applyBorder="1" applyAlignment="1">
      <alignment horizontal="center" vertical="center" wrapText="1"/>
    </xf>
    <xf numFmtId="0" fontId="18" fillId="0" borderId="1" xfId="73" applyFont="1" applyBorder="1" applyAlignment="1">
      <alignment horizontal="center" vertical="center"/>
    </xf>
    <xf numFmtId="0" fontId="13" fillId="0" borderId="1" xfId="73" applyFont="1" applyBorder="1" applyAlignment="1">
      <alignment horizontal="center" vertical="center"/>
    </xf>
    <xf numFmtId="0" fontId="13" fillId="0" borderId="1" xfId="73" applyFont="1" applyBorder="1" applyAlignment="1">
      <alignment horizontal="center" vertical="center" wrapText="1"/>
    </xf>
    <xf numFmtId="177" fontId="13" fillId="0" borderId="1" xfId="73" applyNumberFormat="1" applyFont="1" applyBorder="1" applyAlignment="1">
      <alignment horizontal="center" vertical="center"/>
    </xf>
    <xf numFmtId="180" fontId="13" fillId="0" borderId="5" xfId="73" applyNumberFormat="1" applyFont="1" applyBorder="1" applyAlignment="1">
      <alignment horizontal="left" vertical="center" wrapText="1"/>
    </xf>
    <xf numFmtId="179" fontId="17" fillId="0" borderId="0" xfId="73" applyNumberFormat="1" applyFont="1" applyBorder="1" applyAlignment="1">
      <alignment horizontal="left" vertical="center"/>
    </xf>
    <xf numFmtId="179" fontId="18" fillId="0" borderId="1" xfId="73" applyNumberFormat="1" applyFont="1" applyBorder="1" applyAlignment="1">
      <alignment horizontal="center" vertical="center" wrapText="1"/>
    </xf>
    <xf numFmtId="179" fontId="13" fillId="0" borderId="1" xfId="73" applyNumberFormat="1"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19" fillId="0" borderId="2" xfId="0" applyFont="1" applyBorder="1" applyAlignment="1">
      <alignment vertical="center"/>
    </xf>
    <xf numFmtId="0" fontId="19" fillId="0" borderId="2" xfId="0" applyFont="1" applyBorder="1" applyAlignment="1">
      <alignment horizontal="center" vertical="center"/>
    </xf>
    <xf numFmtId="177" fontId="14" fillId="0" borderId="0" xfId="0" applyNumberFormat="1" applyFont="1" applyAlignment="1">
      <alignment horizontal="center" vertical="center"/>
    </xf>
    <xf numFmtId="0" fontId="16" fillId="0" borderId="1" xfId="0" applyFont="1" applyBorder="1" applyAlignment="1">
      <alignment horizontal="center" vertical="center" wrapText="1"/>
    </xf>
    <xf numFmtId="177" fontId="16" fillId="0" borderId="1" xfId="0" applyNumberFormat="1" applyFont="1" applyBorder="1" applyAlignment="1">
      <alignment horizontal="center" vertical="center" wrapText="1"/>
    </xf>
    <xf numFmtId="177" fontId="7" fillId="0" borderId="0" xfId="0" applyNumberFormat="1" applyFont="1" applyBorder="1" applyAlignment="1">
      <alignment horizontal="center" vertical="center" wrapText="1"/>
    </xf>
    <xf numFmtId="0" fontId="12" fillId="0" borderId="1" xfId="0" applyFont="1" applyBorder="1" applyAlignment="1">
      <alignment horizontal="center" vertical="center"/>
    </xf>
    <xf numFmtId="177" fontId="12" fillId="0" borderId="1" xfId="0" applyNumberFormat="1" applyFont="1" applyBorder="1" applyAlignment="1">
      <alignment horizontal="center" vertical="center"/>
    </xf>
    <xf numFmtId="177" fontId="6" fillId="0" borderId="0" xfId="0" applyNumberFormat="1" applyFont="1" applyBorder="1" applyAlignment="1">
      <alignment horizontal="center" vertical="center"/>
    </xf>
    <xf numFmtId="0" fontId="12" fillId="0" borderId="1" xfId="0" applyFont="1" applyBorder="1" applyAlignment="1">
      <alignment horizontal="center" vertical="center" wrapText="1"/>
    </xf>
    <xf numFmtId="177" fontId="12"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14" fillId="0" borderId="0" xfId="0" applyFont="1"/>
    <xf numFmtId="0" fontId="6" fillId="0" borderId="0" xfId="0" applyFont="1" applyAlignment="1">
      <alignment horizontal="center" vertical="center"/>
    </xf>
    <xf numFmtId="0" fontId="6" fillId="0" borderId="0" xfId="0" applyFont="1"/>
    <xf numFmtId="0" fontId="14" fillId="0" borderId="0" xfId="0" applyFont="1" applyAlignment="1">
      <alignment horizontal="left"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177" fontId="6" fillId="0" borderId="1" xfId="0" applyNumberFormat="1"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2" fillId="0" borderId="1" xfId="0" applyFont="1" applyBorder="1" applyAlignment="1">
      <alignment horizontal="center" vertical="center"/>
    </xf>
    <xf numFmtId="177" fontId="6" fillId="0" borderId="6" xfId="0" applyNumberFormat="1" applyFont="1" applyBorder="1" applyAlignment="1">
      <alignment horizontal="center" vertical="center"/>
    </xf>
    <xf numFmtId="177" fontId="6" fillId="0" borderId="7" xfId="0" applyNumberFormat="1" applyFont="1" applyBorder="1" applyAlignment="1">
      <alignment horizontal="center" vertical="center"/>
    </xf>
    <xf numFmtId="177" fontId="6" fillId="0" borderId="8"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12" fillId="0" borderId="8" xfId="0" applyFont="1" applyBorder="1" applyAlignment="1">
      <alignment horizontal="center" vertical="center"/>
    </xf>
    <xf numFmtId="0" fontId="2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2" fillId="0" borderId="6" xfId="0" applyFont="1" applyBorder="1" applyAlignment="1">
      <alignment horizontal="center" vertical="center"/>
    </xf>
    <xf numFmtId="0" fontId="6" fillId="0" borderId="0" xfId="0" applyFont="1" applyAlignment="1">
      <alignment wrapText="1"/>
    </xf>
    <xf numFmtId="0" fontId="14" fillId="0" borderId="0" xfId="0" applyFont="1" applyBorder="1" applyAlignment="1">
      <alignment horizontal="left" vertical="center"/>
    </xf>
    <xf numFmtId="0" fontId="1" fillId="0" borderId="0" xfId="0" applyFont="1" applyBorder="1" applyAlignment="1">
      <alignment horizontal="center" vertical="center"/>
    </xf>
    <xf numFmtId="0" fontId="14" fillId="0" borderId="0" xfId="0" applyFont="1" applyBorder="1" applyAlignment="1">
      <alignment horizontal="center" vertical="center"/>
    </xf>
    <xf numFmtId="177" fontId="6" fillId="0" borderId="2" xfId="0" applyNumberFormat="1" applyFont="1" applyBorder="1" applyAlignment="1">
      <alignment horizontal="left" vertical="center"/>
    </xf>
    <xf numFmtId="0" fontId="7" fillId="0" borderId="1" xfId="0" applyFont="1" applyBorder="1" applyAlignment="1">
      <alignment horizontal="center" vertical="center" wrapText="1"/>
    </xf>
    <xf numFmtId="180"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wrapText="1"/>
    </xf>
    <xf numFmtId="177" fontId="23" fillId="0" borderId="1" xfId="0" applyNumberFormat="1" applyFont="1" applyBorder="1" applyAlignment="1">
      <alignment horizontal="center" vertical="center" wrapText="1"/>
    </xf>
    <xf numFmtId="177" fontId="22" fillId="0" borderId="1" xfId="0" applyNumberFormat="1" applyFont="1" applyBorder="1" applyAlignment="1">
      <alignment horizontal="center" vertical="center" wrapText="1"/>
    </xf>
    <xf numFmtId="181" fontId="6" fillId="0" borderId="1" xfId="0" applyNumberFormat="1" applyFont="1" applyBorder="1" applyAlignment="1">
      <alignment horizontal="center" vertical="center"/>
    </xf>
    <xf numFmtId="0" fontId="6" fillId="0" borderId="0" xfId="0" applyFont="1" applyBorder="1" applyAlignment="1">
      <alignment horizontal="center" vertical="center"/>
    </xf>
    <xf numFmtId="177" fontId="6" fillId="0" borderId="2" xfId="0" applyNumberFormat="1" applyFont="1" applyBorder="1" applyAlignment="1">
      <alignment horizontal="right" vertical="center"/>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9" fontId="6" fillId="0" borderId="1" xfId="0" applyNumberFormat="1" applyFont="1" applyBorder="1" applyAlignment="1">
      <alignment horizontal="center" vertical="center"/>
    </xf>
    <xf numFmtId="177" fontId="6" fillId="0" borderId="9" xfId="0" applyNumberFormat="1" applyFont="1" applyBorder="1" applyAlignment="1">
      <alignment horizontal="center" vertical="center"/>
    </xf>
    <xf numFmtId="182" fontId="6" fillId="0" borderId="0" xfId="0" applyNumberFormat="1" applyFont="1"/>
    <xf numFmtId="0" fontId="7" fillId="0" borderId="0" xfId="0" applyFont="1" applyAlignment="1">
      <alignment horizontal="center" vertical="center"/>
    </xf>
    <xf numFmtId="0" fontId="14" fillId="0" borderId="0" xfId="0" applyFont="1" applyBorder="1" applyAlignment="1">
      <alignment vertical="center"/>
    </xf>
    <xf numFmtId="0" fontId="16" fillId="0" borderId="2" xfId="0" applyFont="1" applyBorder="1" applyAlignment="1">
      <alignment horizontal="center" vertical="center"/>
    </xf>
    <xf numFmtId="0" fontId="7" fillId="0" borderId="1" xfId="0" applyFont="1" applyBorder="1" applyAlignment="1">
      <alignment horizontal="center" vertical="center"/>
    </xf>
    <xf numFmtId="49" fontId="6" fillId="0" borderId="3"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76" fontId="6"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76" fontId="7" fillId="0" borderId="5" xfId="0" applyNumberFormat="1" applyFont="1" applyBorder="1" applyAlignment="1">
      <alignment horizontal="center" vertical="center" wrapText="1"/>
    </xf>
    <xf numFmtId="0" fontId="7" fillId="0" borderId="0" xfId="0" applyFont="1" applyBorder="1" applyAlignment="1">
      <alignment horizontal="center" vertical="center"/>
    </xf>
    <xf numFmtId="176" fontId="6" fillId="0" borderId="3" xfId="0" applyNumberFormat="1" applyFont="1" applyBorder="1" applyAlignment="1">
      <alignment horizontal="center" vertical="center" wrapText="1"/>
    </xf>
    <xf numFmtId="183" fontId="7" fillId="0" borderId="0" xfId="0" applyNumberFormat="1" applyFont="1" applyAlignment="1">
      <alignment horizontal="center" vertical="center"/>
    </xf>
    <xf numFmtId="0" fontId="24"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176" fontId="13" fillId="0" borderId="0" xfId="0" applyNumberFormat="1" applyFont="1" applyAlignment="1">
      <alignmen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6" fillId="0" borderId="0" xfId="0" applyFont="1" applyBorder="1" applyAlignment="1">
      <alignment vertical="center"/>
    </xf>
    <xf numFmtId="177"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76" fontId="18" fillId="0" borderId="1" xfId="0" applyNumberFormat="1" applyFont="1" applyBorder="1" applyAlignment="1">
      <alignment horizontal="center" vertical="center"/>
    </xf>
    <xf numFmtId="180" fontId="18" fillId="0" borderId="6" xfId="0" applyNumberFormat="1" applyFont="1" applyBorder="1" applyAlignment="1">
      <alignment horizontal="center" vertical="center"/>
    </xf>
    <xf numFmtId="180" fontId="18" fillId="0" borderId="7" xfId="0" applyNumberFormat="1" applyFont="1" applyBorder="1" applyAlignment="1">
      <alignment horizontal="center" vertical="center"/>
    </xf>
    <xf numFmtId="180" fontId="18"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177" fontId="13" fillId="0" borderId="1" xfId="0" applyNumberFormat="1" applyFont="1" applyBorder="1" applyAlignment="1">
      <alignment horizontal="center" vertical="center"/>
    </xf>
    <xf numFmtId="177" fontId="18" fillId="0" borderId="1" xfId="0" applyNumberFormat="1"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180" fontId="18" fillId="0" borderId="8" xfId="0" applyNumberFormat="1" applyFont="1" applyBorder="1" applyAlignment="1">
      <alignment horizontal="center" vertical="center"/>
    </xf>
    <xf numFmtId="0" fontId="13" fillId="0" borderId="1" xfId="0" applyFont="1" applyBorder="1" applyAlignment="1">
      <alignment horizontal="center" vertical="center"/>
    </xf>
    <xf numFmtId="0" fontId="25" fillId="0" borderId="0" xfId="0" applyFont="1"/>
    <xf numFmtId="0" fontId="20" fillId="0" borderId="0" xfId="0" applyFont="1"/>
    <xf numFmtId="176" fontId="26" fillId="0" borderId="0" xfId="0" applyNumberFormat="1" applyFont="1" applyBorder="1" applyAlignment="1">
      <alignment horizontal="left" vertical="center"/>
    </xf>
    <xf numFmtId="0" fontId="22" fillId="0" borderId="2" xfId="0" applyFont="1" applyBorder="1" applyAlignment="1">
      <alignment vertical="center"/>
    </xf>
    <xf numFmtId="0" fontId="22" fillId="0" borderId="0" xfId="0" applyFont="1" applyBorder="1" applyAlignment="1">
      <alignment horizontal="center" vertical="center"/>
    </xf>
    <xf numFmtId="177" fontId="22" fillId="0" borderId="2" xfId="0" applyNumberFormat="1" applyFont="1" applyBorder="1" applyAlignment="1">
      <alignment horizontal="right" vertical="center"/>
    </xf>
    <xf numFmtId="0" fontId="27" fillId="0" borderId="1" xfId="0" applyFont="1" applyBorder="1" applyAlignment="1">
      <alignment horizontal="center" vertical="center"/>
    </xf>
    <xf numFmtId="177" fontId="27" fillId="0" borderId="1" xfId="0" applyNumberFormat="1" applyFont="1" applyBorder="1" applyAlignment="1">
      <alignment horizontal="center" vertical="center"/>
    </xf>
    <xf numFmtId="49" fontId="27" fillId="0" borderId="1" xfId="0" applyNumberFormat="1" applyFont="1" applyBorder="1" applyAlignment="1">
      <alignment horizontal="center" vertical="center"/>
    </xf>
    <xf numFmtId="176" fontId="20" fillId="0" borderId="1" xfId="0" applyNumberFormat="1" applyFont="1" applyBorder="1" applyAlignment="1">
      <alignment horizontal="center" vertical="center"/>
    </xf>
    <xf numFmtId="177" fontId="20" fillId="0" borderId="1" xfId="0" applyNumberFormat="1" applyFont="1" applyBorder="1" applyAlignment="1">
      <alignment horizontal="center" vertical="center"/>
    </xf>
    <xf numFmtId="177" fontId="22" fillId="0" borderId="1" xfId="0" applyNumberFormat="1" applyFont="1" applyBorder="1" applyAlignment="1">
      <alignment horizontal="center" vertical="center"/>
    </xf>
    <xf numFmtId="176" fontId="27" fillId="0" borderId="1" xfId="0" applyNumberFormat="1" applyFont="1" applyBorder="1" applyAlignment="1">
      <alignment horizontal="center" vertical="center"/>
    </xf>
    <xf numFmtId="0" fontId="8" fillId="0" borderId="0" xfId="0" applyFont="1" applyAlignment="1">
      <alignment horizontal="center" vertical="center"/>
    </xf>
    <xf numFmtId="177" fontId="6" fillId="0" borderId="0" xfId="0" applyNumberFormat="1" applyFont="1" applyAlignment="1">
      <alignment horizontal="center" vertical="center"/>
    </xf>
    <xf numFmtId="0" fontId="6" fillId="0" borderId="0" xfId="0" applyFont="1" applyAlignment="1">
      <alignment horizontal="center" vertical="center" wrapText="1"/>
    </xf>
    <xf numFmtId="179" fontId="6" fillId="0" borderId="0" xfId="0" applyNumberFormat="1" applyFont="1" applyAlignment="1">
      <alignment horizontal="center" vertical="center"/>
    </xf>
    <xf numFmtId="177" fontId="28" fillId="0" borderId="0" xfId="0" applyNumberFormat="1" applyFont="1" applyBorder="1" applyAlignment="1">
      <alignment horizontal="center" vertical="center"/>
    </xf>
    <xf numFmtId="49"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179" fontId="7" fillId="0" borderId="1" xfId="0" applyNumberFormat="1" applyFont="1" applyBorder="1" applyAlignment="1">
      <alignment horizontal="center" vertical="center"/>
    </xf>
    <xf numFmtId="180" fontId="7" fillId="0" borderId="1" xfId="0" applyNumberFormat="1" applyFont="1" applyBorder="1" applyAlignment="1">
      <alignment horizontal="center" vertical="center"/>
    </xf>
    <xf numFmtId="0" fontId="27" fillId="0" borderId="1" xfId="0" applyFont="1" applyBorder="1" applyAlignment="1">
      <alignment horizontal="center" vertical="center" wrapText="1" shrinkToFit="1"/>
    </xf>
    <xf numFmtId="180" fontId="27" fillId="0" borderId="1" xfId="0" applyNumberFormat="1" applyFont="1" applyBorder="1" applyAlignment="1">
      <alignment horizontal="center" vertical="center"/>
    </xf>
    <xf numFmtId="0" fontId="7" fillId="0" borderId="1" xfId="0" applyFont="1" applyBorder="1" applyAlignment="1">
      <alignment horizontal="center" vertical="center" wrapText="1" shrinkToFit="1"/>
    </xf>
    <xf numFmtId="49" fontId="22" fillId="0" borderId="1" xfId="0" applyNumberFormat="1" applyFont="1" applyBorder="1" applyAlignment="1">
      <alignment horizontal="center" vertical="center"/>
    </xf>
    <xf numFmtId="0" fontId="22" fillId="0" borderId="1" xfId="0" applyFont="1" applyBorder="1" applyAlignment="1">
      <alignment horizontal="center" vertical="center" wrapText="1" shrinkToFit="1"/>
    </xf>
    <xf numFmtId="49" fontId="6"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0" fillId="3" borderId="0" xfId="0" applyFill="1"/>
    <xf numFmtId="0" fontId="0" fillId="4" borderId="0" xfId="0" applyFill="1"/>
    <xf numFmtId="0" fontId="0" fillId="5" borderId="0" xfId="0" applyFill="1"/>
    <xf numFmtId="0" fontId="29" fillId="0" borderId="1" xfId="0" applyFont="1" applyBorder="1" applyAlignment="1">
      <alignment horizontal="center" vertical="center"/>
    </xf>
    <xf numFmtId="0" fontId="29" fillId="3"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4"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0" fillId="3" borderId="1" xfId="0" applyFont="1" applyFill="1" applyBorder="1" applyAlignment="1">
      <alignment vertical="center" wrapText="1"/>
    </xf>
    <xf numFmtId="0" fontId="30" fillId="0" borderId="1" xfId="0" applyFont="1" applyBorder="1" applyAlignment="1">
      <alignment vertical="center" wrapText="1"/>
    </xf>
    <xf numFmtId="0" fontId="30" fillId="4"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30" fillId="5" borderId="1" xfId="0" applyFont="1" applyFill="1" applyBorder="1" applyAlignment="1">
      <alignment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2" fillId="5" borderId="10" xfId="0" applyFont="1" applyFill="1" applyBorder="1" applyAlignment="1">
      <alignment horizontal="center" vertical="center" wrapText="1"/>
    </xf>
    <xf numFmtId="180" fontId="6" fillId="0" borderId="1" xfId="0" applyNumberFormat="1" applyFont="1" applyBorder="1" applyAlignment="1">
      <alignment horizontal="center" vertical="center" wrapText="1"/>
    </xf>
    <xf numFmtId="0" fontId="0" fillId="3" borderId="1" xfId="0" applyFill="1" applyBorder="1"/>
    <xf numFmtId="0" fontId="0" fillId="0" borderId="1" xfId="0" applyBorder="1"/>
    <xf numFmtId="0" fontId="0" fillId="4" borderId="1" xfId="0" applyFill="1" applyBorder="1"/>
    <xf numFmtId="0" fontId="0" fillId="5" borderId="1" xfId="0" applyFill="1" applyBorder="1"/>
    <xf numFmtId="0" fontId="20" fillId="0" borderId="5" xfId="0" applyFont="1" applyBorder="1" applyAlignment="1">
      <alignment horizontal="center"/>
    </xf>
    <xf numFmtId="0" fontId="0" fillId="0" borderId="5" xfId="0" applyBorder="1" applyAlignment="1">
      <alignment horizontal="center"/>
    </xf>
    <xf numFmtId="0" fontId="6" fillId="0" borderId="10" xfId="0" applyFont="1" applyBorder="1" applyAlignment="1">
      <alignment horizontal="center" vertical="center"/>
    </xf>
    <xf numFmtId="0" fontId="33" fillId="0" borderId="0" xfId="0" applyFont="1"/>
    <xf numFmtId="0" fontId="12" fillId="0" borderId="0" xfId="0" applyFont="1"/>
    <xf numFmtId="0" fontId="34" fillId="6" borderId="0" xfId="0" applyFont="1" applyFill="1" applyAlignment="1">
      <alignment horizontal="center" vertical="center"/>
    </xf>
    <xf numFmtId="177" fontId="6" fillId="6" borderId="2" xfId="0" applyNumberFormat="1" applyFont="1" applyFill="1" applyBorder="1" applyAlignment="1">
      <alignment horizontal="left" vertical="center"/>
    </xf>
    <xf numFmtId="0" fontId="7" fillId="6" borderId="3"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1" xfId="0" applyFont="1" applyFill="1" applyBorder="1" applyAlignment="1">
      <alignment horizontal="center" vertical="center"/>
    </xf>
    <xf numFmtId="184" fontId="7" fillId="6" borderId="1" xfId="0" applyNumberFormat="1" applyFont="1" applyFill="1" applyBorder="1" applyAlignment="1">
      <alignment horizontal="center" vertical="center"/>
    </xf>
    <xf numFmtId="0" fontId="7" fillId="6" borderId="10" xfId="0" applyFont="1" applyFill="1" applyBorder="1" applyAlignment="1">
      <alignment horizontal="center" vertical="center"/>
    </xf>
    <xf numFmtId="0" fontId="7" fillId="6" borderId="4" xfId="0" applyFont="1" applyFill="1" applyBorder="1" applyAlignment="1">
      <alignment horizontal="center" vertical="center" wrapText="1"/>
    </xf>
    <xf numFmtId="184" fontId="7" fillId="6" borderId="1" xfId="0" applyNumberFormat="1" applyFont="1" applyFill="1" applyBorder="1" applyAlignment="1">
      <alignment horizontal="center" vertical="center" wrapText="1"/>
    </xf>
    <xf numFmtId="0" fontId="7" fillId="6" borderId="4" xfId="0" applyFont="1" applyFill="1" applyBorder="1" applyAlignment="1">
      <alignment horizontal="center" vertical="center"/>
    </xf>
    <xf numFmtId="49" fontId="35" fillId="6" borderId="1" xfId="0" applyNumberFormat="1" applyFont="1" applyFill="1" applyBorder="1" applyAlignment="1">
      <alignment horizontal="center" vertical="center"/>
    </xf>
    <xf numFmtId="0" fontId="35" fillId="6" borderId="1" xfId="0" applyFont="1" applyFill="1" applyBorder="1" applyAlignment="1">
      <alignment horizontal="center" vertical="center" wrapText="1" shrinkToFit="1"/>
    </xf>
    <xf numFmtId="184" fontId="36" fillId="6" borderId="1" xfId="0" applyNumberFormat="1" applyFont="1" applyFill="1" applyBorder="1" applyAlignment="1">
      <alignment horizontal="center" vertical="center"/>
    </xf>
    <xf numFmtId="177" fontId="7" fillId="6" borderId="1" xfId="0" applyNumberFormat="1" applyFont="1" applyFill="1" applyBorder="1" applyAlignment="1">
      <alignment horizontal="center" vertical="center"/>
    </xf>
    <xf numFmtId="184" fontId="6" fillId="6" borderId="1" xfId="0" applyNumberFormat="1" applyFont="1" applyFill="1" applyBorder="1" applyAlignment="1">
      <alignment horizontal="center" vertical="center"/>
    </xf>
    <xf numFmtId="0" fontId="6" fillId="0" borderId="1" xfId="0" applyFont="1" applyBorder="1"/>
    <xf numFmtId="0" fontId="13" fillId="0" borderId="0" xfId="0" applyFont="1" applyAlignment="1">
      <alignment horizontal="left"/>
    </xf>
    <xf numFmtId="184" fontId="6" fillId="6" borderId="2" xfId="0" applyNumberFormat="1" applyFont="1" applyFill="1" applyBorder="1" applyAlignment="1">
      <alignment horizontal="center" vertical="center"/>
    </xf>
    <xf numFmtId="0" fontId="6" fillId="2" borderId="0" xfId="0" applyFont="1" applyFill="1" applyAlignment="1">
      <alignment horizontal="center" vertical="center"/>
    </xf>
    <xf numFmtId="0" fontId="12" fillId="0" borderId="0" xfId="0" applyFont="1" applyAlignment="1">
      <alignment horizontal="center" vertical="center" wrapText="1"/>
    </xf>
    <xf numFmtId="177" fontId="14" fillId="0" borderId="0" xfId="0" applyNumberFormat="1" applyFont="1" applyBorder="1" applyAlignment="1">
      <alignment horizontal="left" vertical="center"/>
    </xf>
    <xf numFmtId="177" fontId="1" fillId="0" borderId="0" xfId="0" applyNumberFormat="1" applyFont="1" applyBorder="1" applyAlignment="1">
      <alignment horizontal="center" vertical="center"/>
    </xf>
    <xf numFmtId="177" fontId="14" fillId="0" borderId="0" xfId="0" applyNumberFormat="1" applyFont="1" applyBorder="1" applyAlignment="1">
      <alignment horizontal="center" vertical="center"/>
    </xf>
    <xf numFmtId="177" fontId="6" fillId="0" borderId="2" xfId="0" applyNumberFormat="1" applyFont="1" applyBorder="1" applyAlignment="1">
      <alignment horizontal="center" vertical="center"/>
    </xf>
    <xf numFmtId="49" fontId="7" fillId="2" borderId="1" xfId="0" applyNumberFormat="1" applyFont="1" applyFill="1" applyBorder="1" applyAlignment="1">
      <alignment horizontal="center" vertical="center"/>
    </xf>
    <xf numFmtId="180" fontId="7" fillId="2" borderId="6" xfId="0" applyNumberFormat="1" applyFont="1" applyFill="1" applyBorder="1" applyAlignment="1">
      <alignment horizontal="center" vertical="center"/>
    </xf>
    <xf numFmtId="180" fontId="7" fillId="2" borderId="7" xfId="0" applyNumberFormat="1" applyFont="1" applyFill="1" applyBorder="1" applyAlignment="1">
      <alignment horizontal="center" vertical="center"/>
    </xf>
    <xf numFmtId="180" fontId="7" fillId="2" borderId="8" xfId="0" applyNumberFormat="1" applyFont="1" applyFill="1" applyBorder="1" applyAlignment="1">
      <alignment horizontal="center" vertical="center"/>
    </xf>
    <xf numFmtId="180" fontId="7" fillId="2" borderId="1" xfId="0" applyNumberFormat="1" applyFont="1" applyFill="1" applyBorder="1" applyAlignment="1">
      <alignment horizontal="center" vertical="center"/>
    </xf>
    <xf numFmtId="180" fontId="7" fillId="0" borderId="6" xfId="0" applyNumberFormat="1" applyFont="1" applyBorder="1" applyAlignment="1">
      <alignment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vertical="center"/>
    </xf>
    <xf numFmtId="0" fontId="6" fillId="0" borderId="1" xfId="0" applyFont="1" applyBorder="1" applyAlignment="1">
      <alignment horizontal="center" vertical="center" wrapText="1" shrinkToFit="1"/>
    </xf>
    <xf numFmtId="0" fontId="6" fillId="0" borderId="0" xfId="0" applyFont="1" applyBorder="1" applyAlignment="1">
      <alignment horizontal="center" vertical="center" wrapText="1"/>
    </xf>
    <xf numFmtId="180" fontId="7" fillId="0" borderId="7" xfId="0" applyNumberFormat="1" applyFont="1" applyBorder="1" applyAlignment="1">
      <alignment horizontal="center" vertical="center"/>
    </xf>
    <xf numFmtId="180" fontId="7" fillId="0" borderId="8" xfId="0" applyNumberFormat="1" applyFont="1" applyBorder="1" applyAlignment="1">
      <alignment horizontal="center" vertical="center"/>
    </xf>
    <xf numFmtId="185" fontId="6" fillId="0" borderId="0" xfId="0" applyNumberFormat="1" applyFont="1" applyAlignment="1">
      <alignment horizontal="center" vertical="center"/>
    </xf>
    <xf numFmtId="180" fontId="7" fillId="0" borderId="7" xfId="0" applyNumberFormat="1" applyFont="1" applyBorder="1" applyAlignment="1">
      <alignment vertical="center"/>
    </xf>
    <xf numFmtId="177" fontId="37" fillId="0" borderId="1" xfId="0" applyNumberFormat="1" applyFont="1" applyBorder="1" applyAlignment="1">
      <alignment horizontal="center" vertical="center"/>
    </xf>
    <xf numFmtId="177" fontId="38" fillId="0" borderId="1" xfId="0" applyNumberFormat="1" applyFont="1" applyBorder="1" applyAlignment="1">
      <alignment horizontal="center" vertical="center"/>
    </xf>
    <xf numFmtId="0" fontId="37" fillId="0" borderId="1" xfId="0" applyFont="1" applyBorder="1" applyAlignment="1">
      <alignment horizontal="center" vertical="center"/>
    </xf>
    <xf numFmtId="0" fontId="7" fillId="0" borderId="0" xfId="0" applyFont="1" applyBorder="1" applyAlignment="1">
      <alignment horizontal="center" vertical="center" wrapText="1"/>
    </xf>
    <xf numFmtId="177" fontId="12" fillId="0" borderId="0" xfId="0" applyNumberFormat="1" applyFont="1" applyAlignment="1">
      <alignment horizontal="center" vertical="center"/>
    </xf>
    <xf numFmtId="180" fontId="22" fillId="0" borderId="1" xfId="0" applyNumberFormat="1" applyFont="1" applyBorder="1" applyAlignment="1">
      <alignment horizontal="center" vertical="center"/>
    </xf>
    <xf numFmtId="186" fontId="0" fillId="0" borderId="0" xfId="0" applyNumberFormat="1"/>
    <xf numFmtId="0" fontId="22" fillId="0" borderId="0" xfId="0" applyFont="1"/>
    <xf numFmtId="187" fontId="0" fillId="0" borderId="0" xfId="0" applyNumberFormat="1"/>
    <xf numFmtId="0" fontId="39" fillId="0" borderId="0" xfId="0" applyFont="1" applyAlignment="1">
      <alignment horizontal="center" vertical="center" wrapText="1"/>
    </xf>
    <xf numFmtId="0" fontId="40" fillId="0" borderId="0" xfId="0" applyFont="1" applyAlignment="1">
      <alignment horizontal="center" vertical="center" wrapText="1"/>
    </xf>
    <xf numFmtId="0" fontId="27" fillId="0" borderId="0" xfId="0" applyFont="1" applyAlignment="1">
      <alignment horizontal="left" vertical="center"/>
    </xf>
    <xf numFmtId="0" fontId="22" fillId="0" borderId="0" xfId="0" applyFont="1" applyAlignment="1">
      <alignment horizontal="right" vertical="center"/>
    </xf>
    <xf numFmtId="179" fontId="27" fillId="0" borderId="1" xfId="0" applyNumberFormat="1" applyFont="1" applyBorder="1" applyAlignment="1">
      <alignment horizontal="center" vertical="center"/>
    </xf>
    <xf numFmtId="176" fontId="27" fillId="0" borderId="1" xfId="0" applyNumberFormat="1" applyFont="1" applyBorder="1" applyAlignment="1">
      <alignment horizontal="center" vertical="center" wrapText="1"/>
    </xf>
    <xf numFmtId="0" fontId="22" fillId="0" borderId="1" xfId="0" applyFont="1" applyBorder="1" applyAlignment="1">
      <alignment horizontal="left" vertical="center"/>
    </xf>
    <xf numFmtId="176" fontId="22" fillId="0" borderId="1" xfId="0" applyNumberFormat="1" applyFont="1" applyBorder="1" applyAlignment="1">
      <alignment horizontal="center" vertical="center"/>
    </xf>
    <xf numFmtId="0" fontId="27" fillId="0" borderId="1" xfId="77" applyFont="1" applyBorder="1" applyAlignment="1">
      <alignment horizontal="center" vertical="center"/>
    </xf>
    <xf numFmtId="176" fontId="27" fillId="0" borderId="1" xfId="77" applyNumberFormat="1" applyFont="1" applyBorder="1" applyAlignment="1">
      <alignment horizontal="center" vertical="center"/>
    </xf>
    <xf numFmtId="188" fontId="27" fillId="0" borderId="1" xfId="77" applyNumberFormat="1" applyFont="1" applyBorder="1" applyAlignment="1">
      <alignment horizontal="center" vertical="center"/>
    </xf>
    <xf numFmtId="49" fontId="22" fillId="0" borderId="1" xfId="77" applyNumberFormat="1" applyFont="1" applyBorder="1" applyAlignment="1">
      <alignment horizontal="center" vertical="center"/>
    </xf>
    <xf numFmtId="0" fontId="22" fillId="0" borderId="1" xfId="77" applyFont="1" applyBorder="1" applyAlignment="1">
      <alignment horizontal="left" vertical="center"/>
    </xf>
    <xf numFmtId="176" fontId="41" fillId="0" borderId="1" xfId="77" applyNumberFormat="1" applyFont="1" applyBorder="1" applyAlignment="1">
      <alignment horizontal="center" vertical="center"/>
    </xf>
    <xf numFmtId="188" fontId="22" fillId="0" borderId="1" xfId="77" applyNumberFormat="1" applyFont="1" applyBorder="1" applyAlignment="1">
      <alignment horizontal="center" vertical="center"/>
    </xf>
    <xf numFmtId="176" fontId="42" fillId="0" borderId="1" xfId="77" applyNumberFormat="1" applyFont="1" applyBorder="1" applyAlignment="1">
      <alignment horizontal="center" vertical="center"/>
    </xf>
    <xf numFmtId="188" fontId="0" fillId="0" borderId="0" xfId="0" applyNumberFormat="1"/>
    <xf numFmtId="176" fontId="0" fillId="0" borderId="0" xfId="0" applyNumberFormat="1"/>
    <xf numFmtId="0" fontId="20" fillId="0" borderId="0" xfId="0" applyFont="1" applyAlignment="1">
      <alignment wrapText="1"/>
    </xf>
    <xf numFmtId="0" fontId="2" fillId="0" borderId="0" xfId="0" applyFont="1"/>
    <xf numFmtId="0" fontId="39" fillId="0" borderId="2" xfId="0" applyFont="1" applyBorder="1" applyAlignment="1">
      <alignment horizontal="center" vertical="center"/>
    </xf>
    <xf numFmtId="49" fontId="16" fillId="0" borderId="1" xfId="0" applyNumberFormat="1" applyFont="1" applyBorder="1" applyAlignment="1">
      <alignment horizontal="center" vertical="center"/>
    </xf>
    <xf numFmtId="49" fontId="16"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177" fontId="16" fillId="0" borderId="1" xfId="0" applyNumberFormat="1" applyFont="1" applyBorder="1" applyAlignment="1">
      <alignment horizontal="center" vertical="center"/>
    </xf>
    <xf numFmtId="10" fontId="16" fillId="0" borderId="1" xfId="3"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2" fontId="12"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wrapText="1"/>
    </xf>
    <xf numFmtId="49" fontId="16" fillId="0" borderId="1" xfId="0" applyNumberFormat="1" applyFont="1" applyBorder="1" applyAlignment="1" quotePrefix="1">
      <alignment horizontal="center" vertical="center"/>
    </xf>
    <xf numFmtId="49" fontId="2" fillId="0" borderId="1" xfId="0" applyNumberFormat="1" applyFont="1" applyBorder="1" applyAlignment="1" quotePrefix="1">
      <alignment horizontal="center" vertical="center"/>
    </xf>
    <xf numFmtId="180" fontId="7" fillId="0" borderId="1" xfId="0" applyNumberFormat="1" applyFont="1" applyBorder="1" applyAlignment="1" quotePrefix="1">
      <alignment horizontal="center" vertical="center"/>
    </xf>
    <xf numFmtId="180" fontId="7" fillId="2" borderId="6" xfId="0" applyNumberFormat="1" applyFont="1" applyFill="1" applyBorder="1" applyAlignment="1" quotePrefix="1">
      <alignment horizontal="center" vertical="center"/>
    </xf>
    <xf numFmtId="49" fontId="7" fillId="0" borderId="1" xfId="0" applyNumberFormat="1" applyFont="1" applyBorder="1" applyAlignment="1" quotePrefix="1">
      <alignment horizontal="center" vertical="center"/>
    </xf>
    <xf numFmtId="180" fontId="7" fillId="0" borderId="6" xfId="0" applyNumberFormat="1" applyFont="1" applyBorder="1" applyAlignment="1" quotePrefix="1">
      <alignment horizontal="center" vertical="center"/>
    </xf>
    <xf numFmtId="49" fontId="6" fillId="0" borderId="1" xfId="0" applyNumberFormat="1" applyFont="1" applyBorder="1" applyAlignment="1" quotePrefix="1">
      <alignment horizontal="center" vertical="center"/>
    </xf>
    <xf numFmtId="180" fontId="6" fillId="0" borderId="1" xfId="0" applyNumberFormat="1" applyFont="1" applyBorder="1" applyAlignment="1" quotePrefix="1">
      <alignment horizontal="center" vertical="center"/>
    </xf>
    <xf numFmtId="180" fontId="22" fillId="0" borderId="1" xfId="0" applyNumberFormat="1" applyFont="1" applyBorder="1" applyAlignment="1" quotePrefix="1">
      <alignment horizontal="center" vertical="center"/>
    </xf>
    <xf numFmtId="180" fontId="27" fillId="0" borderId="1" xfId="0" applyNumberFormat="1" applyFont="1" applyBorder="1" applyAlignment="1" quotePrefix="1">
      <alignment horizontal="center" vertical="center"/>
    </xf>
    <xf numFmtId="180" fontId="6" fillId="0" borderId="1" xfId="0" applyNumberFormat="1" applyFont="1" applyBorder="1" applyAlignment="1" quotePrefix="1">
      <alignment horizontal="center" vertical="center" wrapText="1"/>
    </xf>
    <xf numFmtId="179" fontId="7" fillId="0" borderId="1" xfId="0" applyNumberFormat="1" applyFont="1" applyBorder="1" applyAlignment="1" quotePrefix="1">
      <alignment horizontal="center" vertical="center"/>
    </xf>
    <xf numFmtId="177" fontId="7" fillId="0" borderId="1" xfId="0" applyNumberFormat="1" applyFont="1" applyBorder="1" applyAlignment="1" quotePrefix="1">
      <alignment horizontal="center" vertical="center"/>
    </xf>
    <xf numFmtId="49" fontId="27" fillId="0" borderId="1" xfId="0" applyNumberFormat="1" applyFont="1" applyBorder="1" applyAlignment="1" quotePrefix="1">
      <alignment horizontal="center" vertical="center"/>
    </xf>
    <xf numFmtId="49" fontId="6" fillId="0" borderId="3" xfId="0" applyNumberFormat="1" applyFont="1" applyBorder="1" applyAlignment="1" quotePrefix="1">
      <alignment horizontal="center" vertical="center" wrapText="1"/>
    </xf>
    <xf numFmtId="0" fontId="12" fillId="0" borderId="1" xfId="0" applyFont="1" applyBorder="1" applyAlignment="1" quotePrefix="1">
      <alignment horizontal="center" vertical="center"/>
    </xf>
    <xf numFmtId="49" fontId="7" fillId="0" borderId="1" xfId="73" applyNumberFormat="1" applyFont="1" applyBorder="1" applyAlignment="1" quotePrefix="1">
      <alignment horizontal="center" vertical="center"/>
    </xf>
    <xf numFmtId="49" fontId="6" fillId="0" borderId="1" xfId="73" applyNumberFormat="1" applyFont="1" applyBorder="1" applyAlignment="1" quotePrefix="1">
      <alignment horizontal="center" vertical="center"/>
    </xf>
  </cellXfs>
  <cellStyles count="1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标题 1 2" xfId="67"/>
    <cellStyle name="标题 2 2" xfId="68"/>
    <cellStyle name="标题 3 2" xfId="69"/>
    <cellStyle name="标题 4 2" xfId="70"/>
    <cellStyle name="标题 5" xfId="71"/>
    <cellStyle name="差 2" xfId="72"/>
    <cellStyle name="常规 10" xfId="73"/>
    <cellStyle name="常规 10 2 2 2" xfId="74"/>
    <cellStyle name="常规 10 4" xfId="75"/>
    <cellStyle name="常规 11" xfId="76"/>
    <cellStyle name="常规 13" xfId="77"/>
    <cellStyle name="常规 13 6" xfId="78"/>
    <cellStyle name="常规 14" xfId="79"/>
    <cellStyle name="常规 19" xfId="80"/>
    <cellStyle name="常规 2" xfId="81"/>
    <cellStyle name="常规 2 10" xfId="82"/>
    <cellStyle name="常规 2 11" xfId="83"/>
    <cellStyle name="常规 2 2" xfId="84"/>
    <cellStyle name="常规 2 2 2" xfId="85"/>
    <cellStyle name="常规 2 2 2 2" xfId="86"/>
    <cellStyle name="常规 2 2 2 3" xfId="87"/>
    <cellStyle name="常规 2 2 2 4" xfId="88"/>
    <cellStyle name="常规 2 2 2 5" xfId="89"/>
    <cellStyle name="常规 2 2 2 6" xfId="90"/>
    <cellStyle name="常规 2 2 2 7" xfId="91"/>
    <cellStyle name="常规 2 2 2 8" xfId="92"/>
    <cellStyle name="常规 2 2 2 9" xfId="93"/>
    <cellStyle name="常规 2 2 3" xfId="94"/>
    <cellStyle name="常规 2 2 4" xfId="95"/>
    <cellStyle name="常规 2 2 5" xfId="96"/>
    <cellStyle name="常规 2 2 6" xfId="97"/>
    <cellStyle name="常规 2 2 7" xfId="98"/>
    <cellStyle name="常规 2 2 8" xfId="99"/>
    <cellStyle name="常规 2 2 9" xfId="100"/>
    <cellStyle name="常规 2 3" xfId="101"/>
    <cellStyle name="常规 2 4" xfId="102"/>
    <cellStyle name="常规 2 5" xfId="103"/>
    <cellStyle name="常规 2 6" xfId="104"/>
    <cellStyle name="常规 2 7" xfId="105"/>
    <cellStyle name="常规 2 8" xfId="106"/>
    <cellStyle name="常规 2 9" xfId="107"/>
    <cellStyle name="常规 240" xfId="108"/>
    <cellStyle name="常规 3" xfId="109"/>
    <cellStyle name="常规 3 2" xfId="110"/>
    <cellStyle name="常规 3 2 2" xfId="111"/>
    <cellStyle name="常规 3 2 3" xfId="112"/>
    <cellStyle name="常规 3 2 4" xfId="113"/>
    <cellStyle name="常规 3 2 5" xfId="114"/>
    <cellStyle name="常规 3 2 6" xfId="115"/>
    <cellStyle name="常规 3 2 7" xfId="116"/>
    <cellStyle name="常规 3 2 8" xfId="117"/>
    <cellStyle name="常规 3 2 9" xfId="118"/>
    <cellStyle name="常规 3 3" xfId="119"/>
    <cellStyle name="常规 3 4" xfId="120"/>
    <cellStyle name="常规 3 5" xfId="121"/>
    <cellStyle name="常规 3 6" xfId="122"/>
    <cellStyle name="常规 3 7" xfId="123"/>
    <cellStyle name="常规 3 8" xfId="124"/>
    <cellStyle name="常规 3 9" xfId="125"/>
    <cellStyle name="常规 4" xfId="126"/>
    <cellStyle name="常规 4 2" xfId="127"/>
    <cellStyle name="常规 4 3" xfId="128"/>
    <cellStyle name="常规 4 4" xfId="129"/>
    <cellStyle name="常规 4 5" xfId="130"/>
    <cellStyle name="常规 4 6" xfId="131"/>
    <cellStyle name="常规 4 7" xfId="132"/>
    <cellStyle name="常规 4 8" xfId="133"/>
    <cellStyle name="常规 4 9" xfId="134"/>
    <cellStyle name="常规 5" xfId="135"/>
    <cellStyle name="常规 5 2" xfId="136"/>
    <cellStyle name="常规 5 3" xfId="137"/>
    <cellStyle name="常规 5 4" xfId="138"/>
    <cellStyle name="常规 5 5" xfId="139"/>
    <cellStyle name="常规 5 6" xfId="140"/>
    <cellStyle name="常规 5 7" xfId="141"/>
    <cellStyle name="常规 5 8" xfId="142"/>
    <cellStyle name="常规 5 9" xfId="143"/>
    <cellStyle name="常规 6" xfId="144"/>
    <cellStyle name="常规 6 2" xfId="145"/>
    <cellStyle name="常规 6 3" xfId="146"/>
    <cellStyle name="常规 6 4" xfId="147"/>
    <cellStyle name="常规 6 5" xfId="148"/>
    <cellStyle name="常规 6 6" xfId="149"/>
    <cellStyle name="常规 6 7" xfId="150"/>
    <cellStyle name="常规 6 8" xfId="151"/>
    <cellStyle name="常规 6 9" xfId="152"/>
    <cellStyle name="常规 7" xfId="153"/>
    <cellStyle name="常规 8" xfId="154"/>
    <cellStyle name="常规 9" xfId="155"/>
    <cellStyle name="常规_砼、沙浆费计算表 2" xfId="156"/>
    <cellStyle name="常规_预算表2004.2日 2" xfId="157"/>
    <cellStyle name="好 2" xfId="158"/>
    <cellStyle name="汇总 2" xfId="159"/>
    <cellStyle name="计算 2" xfId="160"/>
    <cellStyle name="检查单元格 2" xfId="161"/>
    <cellStyle name="解释性文本 2" xfId="162"/>
    <cellStyle name="警告文本 2" xfId="163"/>
    <cellStyle name="链接单元格 2" xfId="164"/>
    <cellStyle name="强调文字颜色 1 2" xfId="165"/>
    <cellStyle name="强调文字颜色 2 2" xfId="166"/>
    <cellStyle name="强调文字颜色 3 2" xfId="167"/>
    <cellStyle name="强调文字颜色 4 2" xfId="168"/>
    <cellStyle name="强调文字颜色 5 2" xfId="169"/>
    <cellStyle name="强调文字颜色 6 2" xfId="170"/>
    <cellStyle name="适中 2" xfId="171"/>
    <cellStyle name="输出 2" xfId="172"/>
    <cellStyle name="输入 2" xfId="173"/>
    <cellStyle name="注释 2" xfId="174"/>
  </cellStyles>
  <tableStyles count="0" defaultTableStyle="TableStyleMedium2" defaultPivotStyle="PivotStyleLight16"/>
  <colors>
    <mruColors>
      <color rgb="00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XLYS\&#24800;&#24217;&#32447;\&#24800;&#2421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20399;&#32768;&#26149;\My%20Documents\&#37995;&#36798;&#38209;&#19994;&#27010;&#31639;&#20070;X.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附表2材料价格表"/>
      <sheetName val="附表3机械台班"/>
      <sheetName val="附表5直接工程费单价表"/>
      <sheetName val="表2总预算"/>
      <sheetName val="表3工程施工费表"/>
      <sheetName val="表4设备购置费"/>
      <sheetName val="5"/>
      <sheetName val="定额"/>
      <sheetName val="材料表"/>
      <sheetName val="附表2"/>
      <sheetName val="附表4单价"/>
      <sheetName val="表6不可预见费南 "/>
      <sheetName val="表5-2工程监理费南"/>
      <sheetName val="表3工程施工费南 "/>
      <sheetName val="表5-3竣工验收费南 "/>
      <sheetName val="表5其他费用南 "/>
      <sheetName val="表5-1前期工作费南"/>
      <sheetName val="表4设备费南 "/>
      <sheetName val="表5-4业主管理费南 "/>
      <sheetName val="表2预算总表 南"/>
      <sheetName val="砼、砂浆半成品预算表"/>
      <sheetName val="二级代码"/>
      <sheetName val="数据字典"/>
      <sheetName val="SW-TEO"/>
      <sheetName val="附表4直接工程费单价表"/>
      <sheetName val="附表2材料价格计算表"/>
      <sheetName val="表3工程施工费用"/>
      <sheetName val="单价计算"/>
      <sheetName val="单位估价"/>
      <sheetName val="新定额单价"/>
      <sheetName val="Open"/>
      <sheetName val="#REF!"/>
      <sheetName val="附表2 材料价格表"/>
      <sheetName val="表1"/>
      <sheetName val="DE"/>
      <sheetName val="Main"/>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取费"/>
      <sheetName val="附表2"/>
      <sheetName val="现金流量表"/>
      <sheetName val="成本表"/>
      <sheetName val="损益表"/>
      <sheetName val="资金运用表"/>
      <sheetName val="附表2 材料价格表"/>
      <sheetName val="附表4直接工程费单价表"/>
      <sheetName val="数据字典"/>
      <sheetName val="Main"/>
      <sheetName val="表5-2工程监理费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费用总表"/>
      <sheetName val="新汇总表"/>
      <sheetName val="定额"/>
      <sheetName val="其他费"/>
      <sheetName val="材料表"/>
      <sheetName val="运输"/>
      <sheetName val="设计费"/>
      <sheetName val="勘测费"/>
      <sheetName val="编制说明"/>
      <sheetName val="基础挖方"/>
      <sheetName val="金具计算"/>
      <sheetName val="数据字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3"/>
  <sheetViews>
    <sheetView view="pageBreakPreview" zoomScaleNormal="100" workbookViewId="0">
      <selection activeCell="J8" sqref="J8"/>
    </sheetView>
  </sheetViews>
  <sheetFormatPr defaultColWidth="9" defaultRowHeight="14.25" outlineLevelCol="4"/>
  <cols>
    <col min="1" max="1" width="11.2" customWidth="1"/>
    <col min="2" max="2" width="21" customWidth="1"/>
    <col min="3" max="3" width="13" customWidth="1"/>
    <col min="4" max="4" width="20.4" customWidth="1"/>
    <col min="5" max="5" width="15.7" customWidth="1"/>
  </cols>
  <sheetData>
    <row r="1" ht="28.95" customHeight="1" spans="1:5">
      <c r="A1" s="296" t="s">
        <v>0</v>
      </c>
      <c r="B1" s="296"/>
      <c r="C1" s="296"/>
      <c r="D1" s="296"/>
      <c r="E1" s="296"/>
    </row>
    <row r="2" ht="37.95" customHeight="1" spans="1:5">
      <c r="A2" s="297" t="s">
        <v>1</v>
      </c>
      <c r="B2" s="297" t="s">
        <v>2</v>
      </c>
      <c r="C2" s="298" t="s">
        <v>3</v>
      </c>
      <c r="D2" s="298" t="s">
        <v>4</v>
      </c>
      <c r="E2" s="298" t="s">
        <v>5</v>
      </c>
    </row>
    <row r="3" ht="24" customHeight="1" spans="1:5">
      <c r="A3" s="297"/>
      <c r="B3" s="310" t="s">
        <v>6</v>
      </c>
      <c r="C3" s="310" t="s">
        <v>7</v>
      </c>
      <c r="D3" s="310" t="s">
        <v>8</v>
      </c>
      <c r="E3" s="221"/>
    </row>
    <row r="4" ht="24" customHeight="1" spans="1:5">
      <c r="A4" s="311" t="s">
        <v>9</v>
      </c>
      <c r="B4" s="299"/>
      <c r="C4" s="300" t="e">
        <f>C5+C6+C7+C8+C9</f>
        <v>#REF!</v>
      </c>
      <c r="D4" s="301" t="e">
        <f>C4/$C$13</f>
        <v>#REF!</v>
      </c>
      <c r="E4" s="221"/>
    </row>
    <row r="5" ht="24" customHeight="1" spans="1:5">
      <c r="A5" s="302" t="s">
        <v>10</v>
      </c>
      <c r="B5" s="303" t="e">
        <f>#REF!</f>
        <v>#REF!</v>
      </c>
      <c r="C5" s="304" t="e">
        <f>#REF!</f>
        <v>#REF!</v>
      </c>
      <c r="D5" s="301" t="e">
        <f>C5/$C$4</f>
        <v>#REF!</v>
      </c>
      <c r="E5" s="221"/>
    </row>
    <row r="6" s="295" customFormat="1" ht="24" customHeight="1" spans="1:5">
      <c r="A6" s="302" t="s">
        <v>11</v>
      </c>
      <c r="B6" s="303" t="e">
        <f>#REF!</f>
        <v>#REF!</v>
      </c>
      <c r="C6" s="304" t="e">
        <f>#REF!</f>
        <v>#REF!</v>
      </c>
      <c r="D6" s="301" t="e">
        <f>C6/$C$4</f>
        <v>#REF!</v>
      </c>
      <c r="E6" s="305"/>
    </row>
    <row r="7" ht="24" customHeight="1" spans="1:5">
      <c r="A7" s="302" t="s">
        <v>12</v>
      </c>
      <c r="B7" s="306" t="e">
        <f>#REF!</f>
        <v>#REF!</v>
      </c>
      <c r="C7" s="304" t="e">
        <f>#REF!</f>
        <v>#REF!</v>
      </c>
      <c r="D7" s="301" t="e">
        <f>C7/$C$4</f>
        <v>#REF!</v>
      </c>
      <c r="E7" s="221"/>
    </row>
    <row r="8" ht="24" customHeight="1" spans="1:5">
      <c r="A8" s="302" t="s">
        <v>13</v>
      </c>
      <c r="B8" s="306" t="e">
        <f>#REF!</f>
        <v>#REF!</v>
      </c>
      <c r="C8" s="304" t="e">
        <f>#REF!</f>
        <v>#REF!</v>
      </c>
      <c r="D8" s="301" t="e">
        <f>C8/$C$4</f>
        <v>#REF!</v>
      </c>
      <c r="E8" s="221"/>
    </row>
    <row r="9" ht="24" customHeight="1" spans="1:5">
      <c r="A9" s="302" t="s">
        <v>14</v>
      </c>
      <c r="B9" s="303" t="e">
        <f>#REF!</f>
        <v>#REF!</v>
      </c>
      <c r="C9" s="304" t="e">
        <f>#REF!</f>
        <v>#REF!</v>
      </c>
      <c r="D9" s="301" t="e">
        <f>C9/$C$4</f>
        <v>#REF!</v>
      </c>
      <c r="E9" s="221"/>
    </row>
    <row r="10" ht="31.95" customHeight="1" spans="1:5">
      <c r="A10" s="302" t="s">
        <v>15</v>
      </c>
      <c r="B10" s="302"/>
      <c r="C10" s="304" t="e">
        <f>#REF!</f>
        <v>#REF!</v>
      </c>
      <c r="D10" s="301" t="e">
        <f>C10/$C$13</f>
        <v>#REF!</v>
      </c>
      <c r="E10" s="307"/>
    </row>
    <row r="11" ht="31.95" customHeight="1" spans="1:5">
      <c r="A11" s="302" t="s">
        <v>16</v>
      </c>
      <c r="B11" s="302"/>
      <c r="C11" s="304" t="e">
        <f>#REF!</f>
        <v>#REF!</v>
      </c>
      <c r="D11" s="301" t="e">
        <f>C11/$C$13</f>
        <v>#REF!</v>
      </c>
      <c r="E11" s="307"/>
    </row>
    <row r="12" ht="24" customHeight="1" spans="1:5">
      <c r="A12" s="302" t="s">
        <v>17</v>
      </c>
      <c r="B12" s="302"/>
      <c r="C12" s="304" t="e">
        <f>#REF!</f>
        <v>#REF!</v>
      </c>
      <c r="D12" s="301" t="e">
        <f>C12/$C$13</f>
        <v>#REF!</v>
      </c>
      <c r="E12" s="221"/>
    </row>
    <row r="13" ht="23.4" customHeight="1" spans="1:5">
      <c r="A13" s="84" t="s">
        <v>18</v>
      </c>
      <c r="B13" s="308" t="s">
        <v>19</v>
      </c>
      <c r="C13" s="304" t="e">
        <f>C4+C10+C11+C12</f>
        <v>#REF!</v>
      </c>
      <c r="D13" s="309">
        <v>99.995</v>
      </c>
      <c r="E13" s="221"/>
    </row>
  </sheetData>
  <mergeCells count="6">
    <mergeCell ref="A1:E1"/>
    <mergeCell ref="A4:B4"/>
    <mergeCell ref="A10:B10"/>
    <mergeCell ref="A11:B11"/>
    <mergeCell ref="A12:B12"/>
    <mergeCell ref="A2:A3"/>
  </mergeCells>
  <pageMargins left="0.7" right="0.7" top="0.75" bottom="0.75" header="0.3" footer="0.3"/>
  <pageSetup paperSize="9" orientation="portrait" horizontalDpi="1200" verticalDpi="1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00B050"/>
  </sheetPr>
  <dimension ref="A1:P18"/>
  <sheetViews>
    <sheetView view="pageBreakPreview" zoomScaleNormal="100" topLeftCell="A9" workbookViewId="0">
      <selection activeCell="A18" sqref="A18:F18"/>
    </sheetView>
  </sheetViews>
  <sheetFormatPr defaultColWidth="7.7" defaultRowHeight="20.1" customHeight="1"/>
  <cols>
    <col min="1" max="1" width="9.7" style="151" customWidth="1"/>
    <col min="2" max="2" width="5.2" style="151" customWidth="1"/>
    <col min="3" max="3" width="14.7" style="151" customWidth="1"/>
    <col min="4" max="4" width="8.2" style="152" customWidth="1"/>
    <col min="5" max="5" width="8" style="151" customWidth="1"/>
    <col min="6" max="7" width="8.4" style="151" customWidth="1"/>
    <col min="8" max="10" width="8" style="151" customWidth="1"/>
    <col min="11" max="15" width="9.1" style="151" customWidth="1"/>
    <col min="16" max="16" width="8" style="151" customWidth="1"/>
    <col min="17" max="16384" width="7.7" style="151"/>
  </cols>
  <sheetData>
    <row r="1" s="148" customFormat="1" ht="39" customHeight="1" spans="1:16">
      <c r="A1" s="153" t="s">
        <v>499</v>
      </c>
      <c r="B1" s="153"/>
      <c r="C1" s="154" t="s">
        <v>500</v>
      </c>
      <c r="D1" s="154"/>
      <c r="E1" s="154"/>
      <c r="F1" s="154"/>
      <c r="G1" s="154"/>
      <c r="H1" s="154"/>
      <c r="I1" s="154"/>
      <c r="J1" s="154"/>
      <c r="K1" s="154"/>
      <c r="L1" s="154"/>
      <c r="M1" s="154"/>
      <c r="N1" s="154"/>
      <c r="O1" s="154"/>
      <c r="P1" s="154"/>
    </row>
    <row r="2" s="96" customFormat="1" ht="24" customHeight="1" spans="1:16">
      <c r="A2" s="155" t="e">
        <f>#REF!</f>
        <v>#REF!</v>
      </c>
      <c r="B2" s="155"/>
      <c r="C2" s="155"/>
      <c r="D2" s="155"/>
      <c r="E2" s="155"/>
      <c r="F2" s="125"/>
      <c r="G2" s="125"/>
      <c r="H2" s="125"/>
      <c r="I2" s="125"/>
      <c r="J2" s="125"/>
      <c r="K2" s="125"/>
      <c r="L2" s="155"/>
      <c r="N2" s="168"/>
      <c r="O2" s="169" t="s">
        <v>501</v>
      </c>
      <c r="P2" s="169"/>
    </row>
    <row r="3" s="149" customFormat="1" ht="24" customHeight="1" spans="1:16">
      <c r="A3" s="156" t="s">
        <v>502</v>
      </c>
      <c r="B3" s="156" t="s">
        <v>503</v>
      </c>
      <c r="C3" s="157" t="s">
        <v>504</v>
      </c>
      <c r="D3" s="158" t="s">
        <v>505</v>
      </c>
      <c r="E3" s="159" t="s">
        <v>506</v>
      </c>
      <c r="F3" s="160"/>
      <c r="G3" s="160"/>
      <c r="H3" s="160"/>
      <c r="I3" s="160"/>
      <c r="J3" s="160"/>
      <c r="K3" s="160"/>
      <c r="L3" s="160"/>
      <c r="M3" s="160"/>
      <c r="N3" s="160"/>
      <c r="O3" s="160"/>
      <c r="P3" s="170"/>
    </row>
    <row r="4" s="149" customFormat="1" ht="24" customHeight="1" spans="1:16">
      <c r="A4" s="156"/>
      <c r="B4" s="156"/>
      <c r="C4" s="157"/>
      <c r="D4" s="158"/>
      <c r="E4" s="161" t="s">
        <v>507</v>
      </c>
      <c r="F4" s="161"/>
      <c r="G4" s="161"/>
      <c r="H4" s="159" t="s">
        <v>508</v>
      </c>
      <c r="I4" s="160"/>
      <c r="J4" s="170"/>
      <c r="K4" s="158" t="s">
        <v>509</v>
      </c>
      <c r="L4" s="158"/>
      <c r="M4" s="158"/>
      <c r="N4" s="159" t="s">
        <v>510</v>
      </c>
      <c r="O4" s="160"/>
      <c r="P4" s="170"/>
    </row>
    <row r="5" s="149" customFormat="1" ht="24" customHeight="1" spans="1:16">
      <c r="A5" s="156"/>
      <c r="B5" s="156"/>
      <c r="C5" s="157"/>
      <c r="D5" s="158"/>
      <c r="E5" s="158" t="s">
        <v>511</v>
      </c>
      <c r="F5" s="158" t="s">
        <v>512</v>
      </c>
      <c r="G5" s="158" t="s">
        <v>513</v>
      </c>
      <c r="H5" s="158" t="s">
        <v>514</v>
      </c>
      <c r="I5" s="158" t="s">
        <v>515</v>
      </c>
      <c r="J5" s="158" t="s">
        <v>516</v>
      </c>
      <c r="K5" s="158" t="s">
        <v>517</v>
      </c>
      <c r="L5" s="158" t="s">
        <v>518</v>
      </c>
      <c r="M5" s="158" t="s">
        <v>519</v>
      </c>
      <c r="N5" s="158" t="s">
        <v>520</v>
      </c>
      <c r="O5" s="158" t="s">
        <v>521</v>
      </c>
      <c r="P5" s="158" t="s">
        <v>522</v>
      </c>
    </row>
    <row r="6" s="150" customFormat="1" ht="24" customHeight="1" spans="1:16">
      <c r="A6" s="162" t="e">
        <f>#REF!</f>
        <v>#REF!</v>
      </c>
      <c r="B6" s="162" t="e">
        <f>#REF!</f>
        <v>#REF!</v>
      </c>
      <c r="C6" s="162" t="s">
        <v>523</v>
      </c>
      <c r="D6" s="163">
        <v>609.086503969311</v>
      </c>
      <c r="E6" s="163"/>
      <c r="F6" s="163">
        <v>87.0123577099016</v>
      </c>
      <c r="G6" s="163">
        <v>87.0123577099016</v>
      </c>
      <c r="H6" s="163"/>
      <c r="I6" s="163"/>
      <c r="J6" s="163"/>
      <c r="K6" s="163">
        <v>87.0123577099016</v>
      </c>
      <c r="L6" s="163">
        <v>87.0123577099016</v>
      </c>
      <c r="M6" s="163">
        <v>87.0123577099016</v>
      </c>
      <c r="N6" s="163">
        <v>87.0123577099016</v>
      </c>
      <c r="O6" s="163">
        <v>87.0123577099016</v>
      </c>
      <c r="P6" s="163"/>
    </row>
    <row r="7" s="150" customFormat="1" ht="29.4" customHeight="1" spans="1:16">
      <c r="A7" s="162"/>
      <c r="B7" s="162"/>
      <c r="C7" s="162" t="s">
        <v>524</v>
      </c>
      <c r="D7" s="163">
        <v>315.15160489397</v>
      </c>
      <c r="E7" s="163"/>
      <c r="F7" s="163"/>
      <c r="G7" s="163">
        <v>45.0216578419957</v>
      </c>
      <c r="H7" s="163">
        <v>45.0216578419957</v>
      </c>
      <c r="I7" s="163">
        <v>45.0216578419957</v>
      </c>
      <c r="J7" s="163">
        <v>45.0216578419957</v>
      </c>
      <c r="K7" s="163">
        <v>45.0216578419957</v>
      </c>
      <c r="L7" s="163">
        <v>45.0216578419957</v>
      </c>
      <c r="M7" s="163">
        <v>45.0216578419957</v>
      </c>
      <c r="N7" s="163"/>
      <c r="O7" s="163"/>
      <c r="P7" s="163"/>
    </row>
    <row r="8" s="150" customFormat="1" ht="24" customHeight="1" spans="1:16">
      <c r="A8" s="162"/>
      <c r="B8" s="162"/>
      <c r="C8" s="162" t="s">
        <v>525</v>
      </c>
      <c r="D8" s="163">
        <v>49.8954224391755</v>
      </c>
      <c r="E8" s="163"/>
      <c r="F8" s="163"/>
      <c r="G8" s="163"/>
      <c r="H8" s="163"/>
      <c r="I8" s="163"/>
      <c r="J8" s="163"/>
      <c r="K8" s="163"/>
      <c r="L8" s="163"/>
      <c r="M8" s="163">
        <v>24.9477112195877</v>
      </c>
      <c r="N8" s="163">
        <v>24.9477112195877</v>
      </c>
      <c r="O8" s="171"/>
      <c r="P8" s="163"/>
    </row>
    <row r="9" s="150" customFormat="1" ht="39" customHeight="1" spans="1:16">
      <c r="A9" s="162"/>
      <c r="B9" s="162"/>
      <c r="C9" s="162" t="s">
        <v>526</v>
      </c>
      <c r="D9" s="163">
        <v>6.99781491740406</v>
      </c>
      <c r="E9" s="163"/>
      <c r="F9" s="163"/>
      <c r="G9" s="163"/>
      <c r="H9" s="163"/>
      <c r="I9" s="163"/>
      <c r="J9" s="163"/>
      <c r="K9" s="163"/>
      <c r="L9" s="163"/>
      <c r="M9" s="163">
        <v>3.49890745870203</v>
      </c>
      <c r="N9" s="163">
        <v>3.49890745870203</v>
      </c>
      <c r="O9" s="171"/>
      <c r="P9" s="163"/>
    </row>
    <row r="10" s="150" customFormat="1" ht="24" customHeight="1" spans="1:16">
      <c r="A10" s="162"/>
      <c r="B10" s="162"/>
      <c r="C10" s="162" t="s">
        <v>527</v>
      </c>
      <c r="D10" s="163">
        <v>1.5027802165876</v>
      </c>
      <c r="E10" s="163"/>
      <c r="F10" s="163"/>
      <c r="G10" s="163"/>
      <c r="H10" s="163"/>
      <c r="I10" s="171"/>
      <c r="J10" s="163"/>
      <c r="K10" s="163"/>
      <c r="L10" s="163"/>
      <c r="M10" s="163"/>
      <c r="N10" s="163"/>
      <c r="O10" s="163">
        <v>1.5027802165876</v>
      </c>
      <c r="P10" s="171"/>
    </row>
    <row r="11" s="150" customFormat="1" ht="24" customHeight="1" spans="1:16">
      <c r="A11" s="162"/>
      <c r="B11" s="162"/>
      <c r="C11" s="162" t="s">
        <v>528</v>
      </c>
      <c r="D11" s="163">
        <v>15.0986559</v>
      </c>
      <c r="E11" s="163"/>
      <c r="F11" s="163"/>
      <c r="G11" s="163">
        <v>2.15695084285714</v>
      </c>
      <c r="H11" s="163">
        <v>2.15695084285714</v>
      </c>
      <c r="I11" s="163">
        <v>2.15695084285714</v>
      </c>
      <c r="J11" s="163">
        <v>2.15695084285714</v>
      </c>
      <c r="K11" s="163">
        <v>2.15695084285714</v>
      </c>
      <c r="L11" s="163">
        <v>2.15695084285714</v>
      </c>
      <c r="M11" s="163">
        <v>2.15695084285714</v>
      </c>
      <c r="N11" s="163"/>
      <c r="O11" s="163"/>
      <c r="P11" s="163"/>
    </row>
    <row r="12" s="150" customFormat="1" ht="24" customHeight="1" spans="1:16">
      <c r="A12" s="162"/>
      <c r="B12" s="162"/>
      <c r="C12" s="162" t="s">
        <v>529</v>
      </c>
      <c r="D12" s="163">
        <v>57.4383802147154</v>
      </c>
      <c r="E12" s="163">
        <v>28.7191901073577</v>
      </c>
      <c r="F12" s="163">
        <v>17.2315140644146</v>
      </c>
      <c r="G12" s="163"/>
      <c r="H12" s="163"/>
      <c r="I12" s="171"/>
      <c r="J12" s="163"/>
      <c r="K12" s="163"/>
      <c r="L12" s="163"/>
      <c r="M12" s="163"/>
      <c r="N12" s="163"/>
      <c r="O12" s="163">
        <v>11.4876760429431</v>
      </c>
      <c r="P12" s="171"/>
    </row>
    <row r="13" s="150" customFormat="1" ht="24" customHeight="1" spans="1:16">
      <c r="A13" s="162"/>
      <c r="B13" s="162"/>
      <c r="C13" s="162" t="s">
        <v>530</v>
      </c>
      <c r="D13" s="163">
        <v>21.954655646729</v>
      </c>
      <c r="E13" s="163">
        <v>1.82955463722741</v>
      </c>
      <c r="F13" s="163">
        <v>1.82955463722741</v>
      </c>
      <c r="G13" s="163">
        <v>1.82955463722741</v>
      </c>
      <c r="H13" s="163">
        <v>1.82955463722741</v>
      </c>
      <c r="I13" s="163">
        <v>1.82955463722741</v>
      </c>
      <c r="J13" s="163">
        <v>1.82955463722741</v>
      </c>
      <c r="K13" s="163">
        <v>1.82955463722741</v>
      </c>
      <c r="L13" s="163">
        <v>1.82955463722741</v>
      </c>
      <c r="M13" s="163">
        <v>1.82955463722741</v>
      </c>
      <c r="N13" s="163">
        <v>1.82955463722741</v>
      </c>
      <c r="O13" s="163">
        <v>1.82955463722741</v>
      </c>
      <c r="P13" s="163">
        <v>1.82955463722741</v>
      </c>
    </row>
    <row r="14" s="150" customFormat="1" ht="24" customHeight="1" spans="1:16">
      <c r="A14" s="162"/>
      <c r="B14" s="162"/>
      <c r="C14" s="162" t="s">
        <v>531</v>
      </c>
      <c r="D14" s="163">
        <v>29.7932815915888</v>
      </c>
      <c r="E14" s="163"/>
      <c r="F14" s="163"/>
      <c r="G14" s="163"/>
      <c r="H14" s="163"/>
      <c r="I14" s="163"/>
      <c r="J14" s="163"/>
      <c r="K14" s="163"/>
      <c r="L14" s="163"/>
      <c r="M14" s="163"/>
      <c r="N14" s="163"/>
      <c r="O14" s="163">
        <v>14.8966407957944</v>
      </c>
      <c r="P14" s="163">
        <v>14.8966407957944</v>
      </c>
    </row>
    <row r="15" s="150" customFormat="1" ht="24" customHeight="1" spans="1:16">
      <c r="A15" s="162"/>
      <c r="B15" s="162"/>
      <c r="C15" s="162" t="s">
        <v>532</v>
      </c>
      <c r="D15" s="163">
        <v>29.7798965945265</v>
      </c>
      <c r="E15" s="163">
        <v>2.48165804954388</v>
      </c>
      <c r="F15" s="163">
        <v>2.48165804954388</v>
      </c>
      <c r="G15" s="163">
        <v>2.48165804954388</v>
      </c>
      <c r="H15" s="163">
        <v>2.48165804954388</v>
      </c>
      <c r="I15" s="163">
        <v>2.48165804954388</v>
      </c>
      <c r="J15" s="163">
        <v>2.48165804954388</v>
      </c>
      <c r="K15" s="163">
        <v>2.48165804954388</v>
      </c>
      <c r="L15" s="163">
        <v>2.48165804954388</v>
      </c>
      <c r="M15" s="163">
        <v>2.48165804954388</v>
      </c>
      <c r="N15" s="163">
        <v>2.48165804954388</v>
      </c>
      <c r="O15" s="163">
        <v>2.48165804954388</v>
      </c>
      <c r="P15" s="163">
        <v>2.48165804954388</v>
      </c>
    </row>
    <row r="16" s="150" customFormat="1" ht="24" customHeight="1" spans="1:16">
      <c r="A16" s="162"/>
      <c r="B16" s="162"/>
      <c r="C16" s="162" t="s">
        <v>533</v>
      </c>
      <c r="D16" s="163">
        <v>33.6480102145202</v>
      </c>
      <c r="E16" s="163"/>
      <c r="F16" s="163"/>
      <c r="G16" s="163"/>
      <c r="H16" s="163"/>
      <c r="I16" s="163"/>
      <c r="J16" s="163"/>
      <c r="K16" s="163"/>
      <c r="L16" s="163"/>
      <c r="M16" s="163"/>
      <c r="N16" s="163">
        <v>11.2160034048401</v>
      </c>
      <c r="O16" s="163">
        <v>11.2160034048401</v>
      </c>
      <c r="P16" s="163">
        <v>11.2160034048401</v>
      </c>
    </row>
    <row r="17" s="149" customFormat="1" ht="24" customHeight="1" spans="1:16">
      <c r="A17" s="157" t="s">
        <v>534</v>
      </c>
      <c r="B17" s="157"/>
      <c r="C17" s="157"/>
      <c r="D17" s="164">
        <v>1170.34700659853</v>
      </c>
      <c r="E17" s="164">
        <v>33.030402794129</v>
      </c>
      <c r="F17" s="164">
        <v>108.555084461087</v>
      </c>
      <c r="G17" s="164">
        <v>138.502179081526</v>
      </c>
      <c r="H17" s="164">
        <v>51.4898213716241</v>
      </c>
      <c r="I17" s="164">
        <v>51.4898213716241</v>
      </c>
      <c r="J17" s="164">
        <v>51.4898213716241</v>
      </c>
      <c r="K17" s="164">
        <v>138.502179081526</v>
      </c>
      <c r="L17" s="164">
        <v>138.502179081526</v>
      </c>
      <c r="M17" s="164">
        <v>166.948797759815</v>
      </c>
      <c r="N17" s="164">
        <v>130.986192479803</v>
      </c>
      <c r="O17" s="164">
        <v>130.426670856838</v>
      </c>
      <c r="P17" s="164">
        <v>30.4238568874057</v>
      </c>
    </row>
    <row r="18" s="150" customFormat="1" ht="24" customHeight="1" spans="1:16">
      <c r="A18" s="165" t="s">
        <v>535</v>
      </c>
      <c r="B18" s="165"/>
      <c r="C18" s="165"/>
      <c r="D18" s="165"/>
      <c r="E18" s="165"/>
      <c r="F18" s="165"/>
      <c r="G18" s="166"/>
      <c r="H18" s="167"/>
      <c r="I18" s="167"/>
      <c r="J18" s="167"/>
      <c r="K18" s="167"/>
      <c r="L18" s="167"/>
      <c r="M18" s="167"/>
      <c r="N18" s="167" t="s">
        <v>536</v>
      </c>
      <c r="O18" s="167"/>
      <c r="P18" s="167"/>
    </row>
  </sheetData>
  <mergeCells count="16">
    <mergeCell ref="C1:O1"/>
    <mergeCell ref="O2:P2"/>
    <mergeCell ref="E3:P3"/>
    <mergeCell ref="E4:G4"/>
    <mergeCell ref="H4:J4"/>
    <mergeCell ref="K4:M4"/>
    <mergeCell ref="N4:P4"/>
    <mergeCell ref="A17:C17"/>
    <mergeCell ref="A18:F18"/>
    <mergeCell ref="N18:P18"/>
    <mergeCell ref="A3:A5"/>
    <mergeCell ref="A6:A16"/>
    <mergeCell ref="B3:B5"/>
    <mergeCell ref="B6:B16"/>
    <mergeCell ref="C3:C5"/>
    <mergeCell ref="D3:D5"/>
  </mergeCells>
  <printOptions horizontalCentered="1"/>
  <pageMargins left="0.78740157480315" right="0.78740157480315" top="0.748031496062992" bottom="0.748031496062992" header="0.31496062992126" footer="0.31496062992126"/>
  <pageSetup paperSize="9" scale="7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00B050"/>
  </sheetPr>
  <dimension ref="A1:G38"/>
  <sheetViews>
    <sheetView view="pageBreakPreview" zoomScaleNormal="100" workbookViewId="0">
      <selection activeCell="J18" sqref="J18"/>
    </sheetView>
  </sheetViews>
  <sheetFormatPr defaultColWidth="9" defaultRowHeight="24.9" customHeight="1" outlineLevelCol="6"/>
  <cols>
    <col min="1" max="1" width="7.2" style="80" customWidth="1"/>
    <col min="2" max="2" width="14.2" style="80" customWidth="1"/>
    <col min="3" max="3" width="46.6" style="80" customWidth="1"/>
    <col min="4" max="4" width="11.1" style="80" customWidth="1"/>
    <col min="5" max="5" width="8.5" style="80" customWidth="1"/>
    <col min="6" max="6" width="9" style="80" customWidth="1"/>
    <col min="7" max="7" width="12.1" style="80" customWidth="1"/>
    <col min="8" max="8" width="9" style="80" customWidth="1"/>
    <col min="9" max="9" width="13.6" style="80" customWidth="1"/>
    <col min="10" max="10" width="13.5" style="80" customWidth="1"/>
    <col min="11" max="11" width="12" style="80" customWidth="1"/>
    <col min="12" max="12" width="12.6" style="80" customWidth="1"/>
    <col min="13" max="15" width="9" style="80" customWidth="1"/>
    <col min="16" max="16" width="5" style="80" customWidth="1"/>
    <col min="17" max="17" width="6.9" style="80" customWidth="1"/>
    <col min="18" max="18" width="5.1" style="80" customWidth="1"/>
    <col min="19" max="16384" width="9" style="80"/>
  </cols>
  <sheetData>
    <row r="1" s="78" customFormat="1" ht="24.6" customHeight="1" spans="1:4">
      <c r="A1" s="133" t="s">
        <v>537</v>
      </c>
      <c r="B1" s="116" t="s">
        <v>538</v>
      </c>
      <c r="C1" s="117"/>
      <c r="D1" s="117"/>
    </row>
    <row r="2" s="96" customFormat="1" ht="19.2" customHeight="1" spans="1:4">
      <c r="A2" s="134" t="s">
        <v>539</v>
      </c>
      <c r="B2" s="134"/>
      <c r="C2" s="134"/>
      <c r="D2" s="134"/>
    </row>
    <row r="3" s="132" customFormat="1" ht="21" customHeight="1" spans="1:4">
      <c r="A3" s="135" t="s">
        <v>540</v>
      </c>
      <c r="B3" s="135" t="s">
        <v>541</v>
      </c>
      <c r="C3" s="135" t="s">
        <v>542</v>
      </c>
      <c r="D3" s="135" t="s">
        <v>543</v>
      </c>
    </row>
    <row r="4" s="132" customFormat="1" ht="21" customHeight="1" spans="1:4">
      <c r="A4" s="135" t="s">
        <v>68</v>
      </c>
      <c r="B4" s="135" t="s">
        <v>544</v>
      </c>
      <c r="C4" s="135" t="s">
        <v>545</v>
      </c>
      <c r="D4" s="135" t="s">
        <v>546</v>
      </c>
    </row>
    <row r="5" s="132" customFormat="1" ht="21" customHeight="1" spans="1:4">
      <c r="A5" s="119">
        <v>1</v>
      </c>
      <c r="B5" s="119" t="s">
        <v>547</v>
      </c>
      <c r="C5" s="119" t="s">
        <v>548</v>
      </c>
      <c r="D5" s="127">
        <f>633.62*1.1304*12/(250-10)</f>
        <v>35.8122024</v>
      </c>
    </row>
    <row r="6" s="132" customFormat="1" ht="21" customHeight="1" spans="1:4">
      <c r="A6" s="119">
        <v>2</v>
      </c>
      <c r="B6" s="119" t="s">
        <v>549</v>
      </c>
      <c r="C6" s="119" t="s">
        <v>117</v>
      </c>
      <c r="D6" s="127">
        <f>SUM(D7:D10)</f>
        <v>6.95978666725333</v>
      </c>
    </row>
    <row r="7" s="96" customFormat="1" ht="21" customHeight="1" spans="1:7">
      <c r="A7" s="324" t="s">
        <v>90</v>
      </c>
      <c r="B7" s="112" t="s">
        <v>550</v>
      </c>
      <c r="C7" s="100" t="s">
        <v>551</v>
      </c>
      <c r="D7" s="109">
        <f>0*12/(250-10)</f>
        <v>0</v>
      </c>
      <c r="G7" s="80"/>
    </row>
    <row r="8" s="96" customFormat="1" ht="21" customHeight="1" spans="1:4">
      <c r="A8" s="324" t="s">
        <v>212</v>
      </c>
      <c r="B8" s="112" t="s">
        <v>552</v>
      </c>
      <c r="C8" s="112" t="s">
        <v>553</v>
      </c>
      <c r="D8" s="137">
        <f>3.5*365*95%/(250-10)</f>
        <v>5.05677083333333</v>
      </c>
    </row>
    <row r="9" s="96" customFormat="1" ht="21" customHeight="1" spans="1:4">
      <c r="A9" s="324" t="s">
        <v>230</v>
      </c>
      <c r="B9" s="112" t="s">
        <v>554</v>
      </c>
      <c r="C9" s="112" t="s">
        <v>555</v>
      </c>
      <c r="D9" s="137">
        <f>(4.5+3.5)/2*0.2</f>
        <v>0.8</v>
      </c>
    </row>
    <row r="10" s="96" customFormat="1" ht="21" customHeight="1" spans="1:4">
      <c r="A10" s="324" t="s">
        <v>231</v>
      </c>
      <c r="B10" s="112" t="s">
        <v>556</v>
      </c>
      <c r="C10" s="112" t="s">
        <v>557</v>
      </c>
      <c r="D10" s="137">
        <f>D5*(3-1)*11/250*0.35</f>
        <v>1.10301583392</v>
      </c>
    </row>
    <row r="11" s="132" customFormat="1" ht="21" customHeight="1" spans="1:4">
      <c r="A11" s="138">
        <v>3</v>
      </c>
      <c r="B11" s="119" t="s">
        <v>558</v>
      </c>
      <c r="C11" s="119" t="s">
        <v>559</v>
      </c>
      <c r="D11" s="127">
        <f>SUM(D12:D18)</f>
        <v>22.0275743696355</v>
      </c>
    </row>
    <row r="12" s="96" customFormat="1" ht="21" customHeight="1" spans="1:4">
      <c r="A12" s="324" t="s">
        <v>90</v>
      </c>
      <c r="B12" s="139" t="s">
        <v>560</v>
      </c>
      <c r="C12" s="139" t="s">
        <v>561</v>
      </c>
      <c r="D12" s="140">
        <f>(D5+D6)*14%</f>
        <v>5.98807846941547</v>
      </c>
    </row>
    <row r="13" s="96" customFormat="1" ht="21" customHeight="1" spans="1:4">
      <c r="A13" s="324" t="s">
        <v>212</v>
      </c>
      <c r="B13" s="112" t="s">
        <v>562</v>
      </c>
      <c r="C13" s="112" t="s">
        <v>563</v>
      </c>
      <c r="D13" s="137">
        <f>(D5+D6)*2%</f>
        <v>0.855439781345067</v>
      </c>
    </row>
    <row r="14" s="96" customFormat="1" ht="21" customHeight="1" spans="1:4">
      <c r="A14" s="324" t="s">
        <v>230</v>
      </c>
      <c r="B14" s="112" t="s">
        <v>564</v>
      </c>
      <c r="C14" s="112" t="s">
        <v>565</v>
      </c>
      <c r="D14" s="137">
        <f>(D5+D6)*20%</f>
        <v>8.55439781345067</v>
      </c>
    </row>
    <row r="15" s="96" customFormat="1" ht="21" customHeight="1" spans="1:4">
      <c r="A15" s="324" t="s">
        <v>231</v>
      </c>
      <c r="B15" s="112" t="s">
        <v>566</v>
      </c>
      <c r="C15" s="112" t="s">
        <v>567</v>
      </c>
      <c r="D15" s="137">
        <f>(D5+D6)*4%</f>
        <v>1.71087956269013</v>
      </c>
    </row>
    <row r="16" s="96" customFormat="1" ht="21" customHeight="1" spans="1:4">
      <c r="A16" s="324" t="s">
        <v>568</v>
      </c>
      <c r="B16" s="112" t="s">
        <v>569</v>
      </c>
      <c r="C16" s="112" t="s">
        <v>570</v>
      </c>
      <c r="D16" s="137">
        <f>(D5+D6)*1.5%</f>
        <v>0.6415798360088</v>
      </c>
    </row>
    <row r="17" s="96" customFormat="1" ht="21" customHeight="1" spans="1:4">
      <c r="A17" s="324" t="s">
        <v>571</v>
      </c>
      <c r="B17" s="112" t="s">
        <v>572</v>
      </c>
      <c r="C17" s="112" t="s">
        <v>563</v>
      </c>
      <c r="D17" s="137">
        <f>(D5+D6)*2%</f>
        <v>0.855439781345067</v>
      </c>
    </row>
    <row r="18" s="96" customFormat="1" ht="21" customHeight="1" spans="1:4">
      <c r="A18" s="324" t="s">
        <v>573</v>
      </c>
      <c r="B18" s="112" t="s">
        <v>574</v>
      </c>
      <c r="C18" s="112" t="s">
        <v>575</v>
      </c>
      <c r="D18" s="137">
        <f>(D5+D6)*8%</f>
        <v>3.42175912538027</v>
      </c>
    </row>
    <row r="19" s="132" customFormat="1" ht="21" customHeight="1" spans="1:4">
      <c r="A19" s="141">
        <v>4</v>
      </c>
      <c r="B19" s="119" t="s">
        <v>576</v>
      </c>
      <c r="C19" s="119" t="s">
        <v>559</v>
      </c>
      <c r="D19" s="127">
        <f>D11+D6+D5</f>
        <v>64.7995634368888</v>
      </c>
    </row>
    <row r="20" s="132" customFormat="1" ht="21" customHeight="1" spans="1:4">
      <c r="A20" s="142"/>
      <c r="B20" s="143"/>
      <c r="C20" s="143"/>
      <c r="D20" s="144"/>
    </row>
    <row r="21" s="96" customFormat="1" ht="21" customHeight="1" spans="1:4">
      <c r="A21" s="145" t="s">
        <v>577</v>
      </c>
      <c r="B21" s="145"/>
      <c r="C21" s="145"/>
      <c r="D21" s="145"/>
    </row>
    <row r="22" s="132" customFormat="1" ht="21" customHeight="1" spans="1:4">
      <c r="A22" s="135" t="s">
        <v>540</v>
      </c>
      <c r="B22" s="135" t="s">
        <v>541</v>
      </c>
      <c r="C22" s="135" t="s">
        <v>542</v>
      </c>
      <c r="D22" s="135" t="s">
        <v>577</v>
      </c>
    </row>
    <row r="23" s="132" customFormat="1" ht="21" customHeight="1" spans="1:4">
      <c r="A23" s="135" t="s">
        <v>68</v>
      </c>
      <c r="B23" s="135" t="s">
        <v>544</v>
      </c>
      <c r="C23" s="135" t="s">
        <v>545</v>
      </c>
      <c r="D23" s="135" t="s">
        <v>546</v>
      </c>
    </row>
    <row r="24" s="132" customFormat="1" ht="21" customHeight="1" spans="1:4">
      <c r="A24" s="119">
        <v>1</v>
      </c>
      <c r="B24" s="119" t="s">
        <v>547</v>
      </c>
      <c r="C24" s="119" t="s">
        <v>578</v>
      </c>
      <c r="D24" s="127">
        <f>478.1*1.1304*12/(250-10)</f>
        <v>27.022212</v>
      </c>
    </row>
    <row r="25" s="132" customFormat="1" ht="21" customHeight="1" spans="1:4">
      <c r="A25" s="119">
        <v>2</v>
      </c>
      <c r="B25" s="119" t="s">
        <v>549</v>
      </c>
      <c r="C25" s="119" t="s">
        <v>559</v>
      </c>
      <c r="D25" s="127">
        <f>SUM(D26:D29)</f>
        <v>3.44627653173333</v>
      </c>
    </row>
    <row r="26" s="96" customFormat="1" ht="21" customHeight="1" spans="1:4">
      <c r="A26" s="324" t="s">
        <v>90</v>
      </c>
      <c r="B26" s="112" t="s">
        <v>550</v>
      </c>
      <c r="C26" s="100" t="s">
        <v>551</v>
      </c>
      <c r="D26" s="109">
        <f>0*12/(250-10)</f>
        <v>0</v>
      </c>
    </row>
    <row r="27" s="96" customFormat="1" ht="21" customHeight="1" spans="1:4">
      <c r="A27" s="324" t="s">
        <v>212</v>
      </c>
      <c r="B27" s="112" t="s">
        <v>552</v>
      </c>
      <c r="C27" s="112" t="s">
        <v>579</v>
      </c>
      <c r="D27" s="137">
        <f>2*365*95%/(250-10)</f>
        <v>2.88958333333333</v>
      </c>
    </row>
    <row r="28" s="96" customFormat="1" ht="21" customHeight="1" spans="1:4">
      <c r="A28" s="324" t="s">
        <v>230</v>
      </c>
      <c r="B28" s="112" t="s">
        <v>554</v>
      </c>
      <c r="C28" s="112" t="s">
        <v>580</v>
      </c>
      <c r="D28" s="137">
        <f>(4.5+3.5)/2*0.05</f>
        <v>0.2</v>
      </c>
    </row>
    <row r="29" s="96" customFormat="1" ht="21" customHeight="1" spans="1:4">
      <c r="A29" s="324" t="s">
        <v>231</v>
      </c>
      <c r="B29" s="112" t="s">
        <v>556</v>
      </c>
      <c r="C29" s="112" t="s">
        <v>581</v>
      </c>
      <c r="D29" s="137">
        <f>D24*(3-1)*11/250*0.15</f>
        <v>0.3566931984</v>
      </c>
    </row>
    <row r="30" s="132" customFormat="1" ht="21" customHeight="1" spans="1:4">
      <c r="A30" s="138">
        <v>3</v>
      </c>
      <c r="B30" s="119" t="s">
        <v>558</v>
      </c>
      <c r="C30" s="119" t="s">
        <v>559</v>
      </c>
      <c r="D30" s="127">
        <f>SUM(D31:D37)</f>
        <v>15.6912715938427</v>
      </c>
    </row>
    <row r="31" s="96" customFormat="1" ht="21" customHeight="1" spans="1:4">
      <c r="A31" s="324" t="s">
        <v>90</v>
      </c>
      <c r="B31" s="139" t="s">
        <v>560</v>
      </c>
      <c r="C31" s="139" t="s">
        <v>561</v>
      </c>
      <c r="D31" s="146">
        <f>(D24+D25)*14%</f>
        <v>4.26558839444267</v>
      </c>
    </row>
    <row r="32" s="96" customFormat="1" ht="21" customHeight="1" spans="1:4">
      <c r="A32" s="324" t="s">
        <v>212</v>
      </c>
      <c r="B32" s="139" t="s">
        <v>562</v>
      </c>
      <c r="C32" s="139" t="s">
        <v>563</v>
      </c>
      <c r="D32" s="146">
        <f>(D24+D25)*2%</f>
        <v>0.609369770634667</v>
      </c>
    </row>
    <row r="33" s="96" customFormat="1" ht="21" customHeight="1" spans="1:4">
      <c r="A33" s="324" t="s">
        <v>230</v>
      </c>
      <c r="B33" s="112" t="s">
        <v>564</v>
      </c>
      <c r="C33" s="112" t="s">
        <v>565</v>
      </c>
      <c r="D33" s="137">
        <f>(D24+D25)*20%</f>
        <v>6.09369770634667</v>
      </c>
    </row>
    <row r="34" s="96" customFormat="1" ht="21" customHeight="1" spans="1:4">
      <c r="A34" s="324" t="s">
        <v>231</v>
      </c>
      <c r="B34" s="112" t="s">
        <v>566</v>
      </c>
      <c r="C34" s="112" t="s">
        <v>567</v>
      </c>
      <c r="D34" s="137">
        <f>(D24+D25)*4%</f>
        <v>1.21873954126933</v>
      </c>
    </row>
    <row r="35" s="96" customFormat="1" ht="21" customHeight="1" spans="1:4">
      <c r="A35" s="324" t="s">
        <v>568</v>
      </c>
      <c r="B35" s="112" t="s">
        <v>569</v>
      </c>
      <c r="C35" s="112" t="s">
        <v>570</v>
      </c>
      <c r="D35" s="137">
        <f>(D24+D25)*1.5%</f>
        <v>0.457027327976</v>
      </c>
    </row>
    <row r="36" s="96" customFormat="1" ht="21" customHeight="1" spans="1:4">
      <c r="A36" s="324" t="s">
        <v>571</v>
      </c>
      <c r="B36" s="112" t="s">
        <v>572</v>
      </c>
      <c r="C36" s="112" t="s">
        <v>563</v>
      </c>
      <c r="D36" s="137">
        <f>(D24+D25)*2%</f>
        <v>0.609369770634667</v>
      </c>
    </row>
    <row r="37" s="96" customFormat="1" ht="21" customHeight="1" spans="1:4">
      <c r="A37" s="324" t="s">
        <v>573</v>
      </c>
      <c r="B37" s="112" t="s">
        <v>574</v>
      </c>
      <c r="C37" s="112" t="s">
        <v>575</v>
      </c>
      <c r="D37" s="137">
        <f>(D24+D25)*8%</f>
        <v>2.43747908253867</v>
      </c>
    </row>
    <row r="38" s="132" customFormat="1" ht="21" customHeight="1" spans="1:5">
      <c r="A38" s="141">
        <v>4</v>
      </c>
      <c r="B38" s="119" t="s">
        <v>576</v>
      </c>
      <c r="C38" s="119" t="s">
        <v>559</v>
      </c>
      <c r="D38" s="127">
        <f>D30+D25+D24</f>
        <v>46.159760125576</v>
      </c>
      <c r="E38" s="147"/>
    </row>
  </sheetData>
  <mergeCells count="3">
    <mergeCell ref="B1:D1"/>
    <mergeCell ref="A2:D2"/>
    <mergeCell ref="A21:D21"/>
  </mergeCells>
  <printOptions horizontalCentered="1"/>
  <pageMargins left="0.78740157480315" right="0.78740157480315" top="0.748031496062992" bottom="0.748031496062992" header="0.31496062992126" footer="0.31496062992126"/>
  <pageSetup paperSize="9" orientation="portrait"/>
  <headerFooter/>
  <rowBreaks count="1" manualBreakCount="1">
    <brk id="20" max="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00B050"/>
  </sheetPr>
  <dimension ref="A1:S18"/>
  <sheetViews>
    <sheetView view="pageBreakPreview" zoomScaleNormal="100" workbookViewId="0">
      <selection activeCell="I13" sqref="I13"/>
    </sheetView>
  </sheetViews>
  <sheetFormatPr defaultColWidth="9" defaultRowHeight="15"/>
  <cols>
    <col min="1" max="1" width="4.5" style="97" customWidth="1"/>
    <col min="2" max="2" width="18.5" style="114" customWidth="1"/>
    <col min="3" max="3" width="5.5" style="97" customWidth="1"/>
    <col min="4" max="4" width="14.7" style="97" customWidth="1"/>
    <col min="5" max="5" width="13.6" style="97" customWidth="1"/>
    <col min="6" max="7" width="7" style="97" customWidth="1"/>
    <col min="8" max="8" width="7.6" style="97" customWidth="1"/>
    <col min="9" max="9" width="6.5" style="97" customWidth="1"/>
    <col min="10" max="10" width="8" style="97" customWidth="1"/>
    <col min="11" max="11" width="8.7" style="97" customWidth="1"/>
    <col min="12" max="12" width="7.1" style="97" hidden="1" customWidth="1"/>
    <col min="13" max="13" width="8.6" style="97" customWidth="1"/>
    <col min="14" max="14" width="8.1" style="97" customWidth="1"/>
    <col min="15" max="16384" width="9" style="97"/>
  </cols>
  <sheetData>
    <row r="1" s="95" customFormat="1" ht="28.5" customHeight="1" spans="1:14">
      <c r="A1" s="115" t="s">
        <v>582</v>
      </c>
      <c r="B1" s="115"/>
      <c r="C1" s="116" t="s">
        <v>583</v>
      </c>
      <c r="D1" s="117"/>
      <c r="E1" s="117"/>
      <c r="F1" s="117"/>
      <c r="G1" s="117"/>
      <c r="H1" s="117"/>
      <c r="I1" s="117"/>
      <c r="J1" s="117"/>
      <c r="K1" s="117"/>
      <c r="L1" s="117"/>
      <c r="M1" s="117"/>
      <c r="N1" s="117"/>
    </row>
    <row r="2" ht="19.8" customHeight="1" spans="1:14">
      <c r="A2" s="118"/>
      <c r="B2" s="118"/>
      <c r="C2" s="118"/>
      <c r="D2" s="118"/>
      <c r="E2" s="118"/>
      <c r="F2" s="118"/>
      <c r="G2" s="118"/>
      <c r="H2" s="118"/>
      <c r="I2" s="118"/>
      <c r="J2" s="125"/>
      <c r="K2" s="125"/>
      <c r="L2" s="126" t="s">
        <v>67</v>
      </c>
      <c r="M2" s="126"/>
      <c r="N2" s="126"/>
    </row>
    <row r="3" ht="14.25" customHeight="1" spans="1:14">
      <c r="A3" s="119" t="s">
        <v>68</v>
      </c>
      <c r="B3" s="119" t="s">
        <v>465</v>
      </c>
      <c r="C3" s="119" t="s">
        <v>71</v>
      </c>
      <c r="D3" s="119" t="s">
        <v>584</v>
      </c>
      <c r="E3" s="119" t="s">
        <v>585</v>
      </c>
      <c r="F3" s="119" t="s">
        <v>586</v>
      </c>
      <c r="G3" s="119" t="s">
        <v>587</v>
      </c>
      <c r="H3" s="119" t="s">
        <v>588</v>
      </c>
      <c r="I3" s="119"/>
      <c r="J3" s="119"/>
      <c r="K3" s="119"/>
      <c r="L3" s="119"/>
      <c r="M3" s="119"/>
      <c r="N3" s="119"/>
    </row>
    <row r="4" ht="27.75" spans="1:14">
      <c r="A4" s="119"/>
      <c r="B4" s="119"/>
      <c r="C4" s="119"/>
      <c r="D4" s="119"/>
      <c r="E4" s="119"/>
      <c r="F4" s="119"/>
      <c r="G4" s="119"/>
      <c r="H4" s="119" t="s">
        <v>589</v>
      </c>
      <c r="I4" s="127" t="s">
        <v>590</v>
      </c>
      <c r="J4" s="128" t="s">
        <v>591</v>
      </c>
      <c r="K4" s="128" t="s">
        <v>592</v>
      </c>
      <c r="L4" s="128" t="s">
        <v>593</v>
      </c>
      <c r="M4" s="128" t="s">
        <v>594</v>
      </c>
      <c r="N4" s="119" t="s">
        <v>595</v>
      </c>
    </row>
    <row r="5" ht="22.2" customHeight="1" spans="1:14">
      <c r="A5" s="120">
        <v>1</v>
      </c>
      <c r="B5" s="121" t="s">
        <v>596</v>
      </c>
      <c r="C5" s="101" t="s">
        <v>597</v>
      </c>
      <c r="D5" s="122" t="s">
        <v>598</v>
      </c>
      <c r="E5" s="123" t="s">
        <v>599</v>
      </c>
      <c r="F5" s="124">
        <v>1.004</v>
      </c>
      <c r="G5" s="101">
        <f>'附表2-1'!H8</f>
        <v>15.78096</v>
      </c>
      <c r="H5" s="109">
        <v>331.86</v>
      </c>
      <c r="I5" s="101">
        <f>'附表2-1'!H8</f>
        <v>15.78096</v>
      </c>
      <c r="J5" s="101">
        <f t="shared" ref="J5:J11" si="0">(H5+I5)*2.17/100</f>
        <v>7.543808832</v>
      </c>
      <c r="K5" s="101">
        <f t="shared" ref="K5:K11" si="1">H5+I5+J5</f>
        <v>355.184768832</v>
      </c>
      <c r="L5" s="101">
        <v>0</v>
      </c>
      <c r="M5" s="101">
        <f t="shared" ref="M5:M11" si="2">K5+L5</f>
        <v>355.184768832</v>
      </c>
      <c r="N5" s="129">
        <v>255</v>
      </c>
    </row>
    <row r="6" ht="22.2" customHeight="1" spans="1:14">
      <c r="A6" s="120">
        <v>2</v>
      </c>
      <c r="B6" s="121" t="s">
        <v>600</v>
      </c>
      <c r="C6" s="101" t="s">
        <v>597</v>
      </c>
      <c r="D6" s="121"/>
      <c r="E6" s="123" t="s">
        <v>599</v>
      </c>
      <c r="F6" s="124">
        <v>1.004</v>
      </c>
      <c r="G6" s="101">
        <f>'附表2-1'!H8</f>
        <v>15.78096</v>
      </c>
      <c r="H6" s="109">
        <v>309.73</v>
      </c>
      <c r="I6" s="101">
        <f>'附表2-1'!H8</f>
        <v>15.78096</v>
      </c>
      <c r="J6" s="101">
        <f t="shared" ref="J6" si="3">(H6+I6)*2.17/100</f>
        <v>7.063587832</v>
      </c>
      <c r="K6" s="101">
        <f t="shared" ref="K6" si="4">H6+I6+J6</f>
        <v>332.574547832</v>
      </c>
      <c r="L6" s="101">
        <v>0</v>
      </c>
      <c r="M6" s="101">
        <f t="shared" ref="M6" si="5">K6+L6</f>
        <v>332.574547832</v>
      </c>
      <c r="N6" s="129">
        <v>255</v>
      </c>
    </row>
    <row r="7" ht="22.2" customHeight="1" spans="1:14">
      <c r="A7" s="120">
        <v>3</v>
      </c>
      <c r="B7" s="121" t="s">
        <v>601</v>
      </c>
      <c r="C7" s="101" t="s">
        <v>597</v>
      </c>
      <c r="D7" s="121"/>
      <c r="E7" s="123" t="s">
        <v>599</v>
      </c>
      <c r="F7" s="124">
        <v>1</v>
      </c>
      <c r="G7" s="88">
        <f>'附表2-1'!H15</f>
        <v>15.74</v>
      </c>
      <c r="H7" s="109">
        <v>4007.24</v>
      </c>
      <c r="I7" s="101">
        <f>'附表2-1'!H15</f>
        <v>15.74</v>
      </c>
      <c r="J7" s="101">
        <f t="shared" si="0"/>
        <v>87.298666</v>
      </c>
      <c r="K7" s="101">
        <f t="shared" si="1"/>
        <v>4110.278666</v>
      </c>
      <c r="L7" s="101">
        <v>0</v>
      </c>
      <c r="M7" s="101">
        <f t="shared" si="2"/>
        <v>4110.278666</v>
      </c>
      <c r="N7" s="129">
        <v>2990</v>
      </c>
    </row>
    <row r="8" ht="22.2" customHeight="1" spans="1:14">
      <c r="A8" s="120">
        <v>4</v>
      </c>
      <c r="B8" s="121" t="s">
        <v>602</v>
      </c>
      <c r="C8" s="101" t="s">
        <v>128</v>
      </c>
      <c r="D8" s="121"/>
      <c r="E8" s="123" t="s">
        <v>599</v>
      </c>
      <c r="F8" s="124">
        <v>1.8</v>
      </c>
      <c r="G8" s="101">
        <f>'附表2-1'!H36</f>
        <v>59.24</v>
      </c>
      <c r="H8" s="101">
        <v>78.64</v>
      </c>
      <c r="I8" s="101">
        <f>'附表2-1'!H36</f>
        <v>59.24</v>
      </c>
      <c r="J8" s="101">
        <f t="shared" si="0"/>
        <v>2.991996</v>
      </c>
      <c r="K8" s="101">
        <f t="shared" si="1"/>
        <v>140.871996</v>
      </c>
      <c r="L8" s="101">
        <v>0</v>
      </c>
      <c r="M8" s="101">
        <f t="shared" si="2"/>
        <v>140.871996</v>
      </c>
      <c r="N8" s="129">
        <v>35</v>
      </c>
    </row>
    <row r="9" ht="22.2" customHeight="1" spans="1:19">
      <c r="A9" s="120">
        <v>5</v>
      </c>
      <c r="B9" s="121" t="s">
        <v>603</v>
      </c>
      <c r="C9" s="101" t="s">
        <v>128</v>
      </c>
      <c r="D9" s="121"/>
      <c r="E9" s="123" t="s">
        <v>599</v>
      </c>
      <c r="F9" s="124">
        <v>1.6</v>
      </c>
      <c r="G9" s="101">
        <f>'附表2-1'!H29</f>
        <v>31.68</v>
      </c>
      <c r="H9" s="101">
        <v>37.86</v>
      </c>
      <c r="I9" s="101">
        <f>'附表2-1'!H29</f>
        <v>31.68</v>
      </c>
      <c r="J9" s="101">
        <f t="shared" si="0"/>
        <v>1.509018</v>
      </c>
      <c r="K9" s="101">
        <f t="shared" si="1"/>
        <v>71.049018</v>
      </c>
      <c r="L9" s="101">
        <v>0</v>
      </c>
      <c r="M9" s="101">
        <f t="shared" si="2"/>
        <v>71.049018</v>
      </c>
      <c r="N9" s="129">
        <v>50</v>
      </c>
      <c r="S9" s="97">
        <v>108</v>
      </c>
    </row>
    <row r="10" ht="22.2" customHeight="1" spans="1:14">
      <c r="A10" s="120">
        <v>6</v>
      </c>
      <c r="B10" s="123" t="s">
        <v>604</v>
      </c>
      <c r="C10" s="101" t="s">
        <v>128</v>
      </c>
      <c r="D10" s="121"/>
      <c r="E10" s="123" t="s">
        <v>605</v>
      </c>
      <c r="F10" s="124">
        <v>1.6</v>
      </c>
      <c r="G10" s="101">
        <f>'附表2-1'!H50</f>
        <v>16.025</v>
      </c>
      <c r="H10" s="101">
        <v>25</v>
      </c>
      <c r="I10" s="101">
        <f>'附表2-1'!H50</f>
        <v>16.025</v>
      </c>
      <c r="J10" s="101">
        <f t="shared" si="0"/>
        <v>0.8902425</v>
      </c>
      <c r="K10" s="101">
        <f t="shared" si="1"/>
        <v>41.9152425</v>
      </c>
      <c r="L10" s="101"/>
      <c r="M10" s="101">
        <f t="shared" si="2"/>
        <v>41.9152425</v>
      </c>
      <c r="N10" s="129">
        <v>50</v>
      </c>
    </row>
    <row r="11" ht="22.2" customHeight="1" spans="1:14">
      <c r="A11" s="120">
        <v>7</v>
      </c>
      <c r="B11" s="121" t="s">
        <v>606</v>
      </c>
      <c r="C11" s="101" t="s">
        <v>128</v>
      </c>
      <c r="D11" s="121"/>
      <c r="E11" s="123" t="s">
        <v>599</v>
      </c>
      <c r="F11" s="124">
        <v>1.5</v>
      </c>
      <c r="G11" s="101">
        <f>'附表2-1'!H22</f>
        <v>29.825</v>
      </c>
      <c r="H11" s="101">
        <v>61.17</v>
      </c>
      <c r="I11" s="101">
        <f>'附表2-1'!H22</f>
        <v>29.825</v>
      </c>
      <c r="J11" s="101">
        <f t="shared" si="0"/>
        <v>1.9745915</v>
      </c>
      <c r="K11" s="101">
        <f t="shared" si="1"/>
        <v>92.9695915</v>
      </c>
      <c r="L11" s="101">
        <v>0</v>
      </c>
      <c r="M11" s="101">
        <f t="shared" si="2"/>
        <v>92.9695915</v>
      </c>
      <c r="N11" s="129">
        <v>50</v>
      </c>
    </row>
    <row r="12" ht="22.2" customHeight="1" spans="1:14">
      <c r="A12" s="120">
        <v>8</v>
      </c>
      <c r="B12" s="121" t="s">
        <v>607</v>
      </c>
      <c r="C12" s="101" t="s">
        <v>608</v>
      </c>
      <c r="D12" s="121"/>
      <c r="E12" s="123" t="s">
        <v>599</v>
      </c>
      <c r="F12" s="124"/>
      <c r="G12" s="101"/>
      <c r="H12" s="101">
        <v>9.66</v>
      </c>
      <c r="I12" s="101"/>
      <c r="J12" s="101"/>
      <c r="K12" s="101"/>
      <c r="L12" s="101"/>
      <c r="M12" s="101">
        <f>H12</f>
        <v>9.66</v>
      </c>
      <c r="N12" s="101">
        <v>4.27</v>
      </c>
    </row>
    <row r="13" ht="22.2" customHeight="1" spans="1:14">
      <c r="A13" s="120">
        <v>9</v>
      </c>
      <c r="B13" s="121" t="s">
        <v>609</v>
      </c>
      <c r="C13" s="101" t="s">
        <v>608</v>
      </c>
      <c r="D13" s="121"/>
      <c r="E13" s="123" t="s">
        <v>599</v>
      </c>
      <c r="F13" s="124"/>
      <c r="G13" s="101"/>
      <c r="H13" s="101">
        <v>8.17</v>
      </c>
      <c r="I13" s="101"/>
      <c r="J13" s="101"/>
      <c r="K13" s="101"/>
      <c r="L13" s="101"/>
      <c r="M13" s="101">
        <f>H13</f>
        <v>8.17</v>
      </c>
      <c r="N13" s="101">
        <v>3.84</v>
      </c>
    </row>
    <row r="14" ht="22.2" customHeight="1" spans="1:14">
      <c r="A14" s="120">
        <v>10</v>
      </c>
      <c r="B14" s="121" t="s">
        <v>610</v>
      </c>
      <c r="C14" s="101" t="s">
        <v>128</v>
      </c>
      <c r="D14" s="121"/>
      <c r="E14" s="123" t="s">
        <v>599</v>
      </c>
      <c r="F14" s="101" t="s">
        <v>117</v>
      </c>
      <c r="G14" s="101"/>
      <c r="H14" s="101"/>
      <c r="I14" s="101"/>
      <c r="J14" s="101"/>
      <c r="K14" s="101"/>
      <c r="L14" s="101"/>
      <c r="M14" s="130">
        <v>1858</v>
      </c>
      <c r="N14" s="101">
        <v>1060</v>
      </c>
    </row>
    <row r="15" ht="22.2" customHeight="1" spans="1:14">
      <c r="A15" s="120">
        <v>11</v>
      </c>
      <c r="B15" s="121" t="s">
        <v>611</v>
      </c>
      <c r="C15" s="101" t="s">
        <v>128</v>
      </c>
      <c r="D15" s="121"/>
      <c r="E15" s="123" t="s">
        <v>599</v>
      </c>
      <c r="F15" s="101" t="s">
        <v>117</v>
      </c>
      <c r="G15" s="101"/>
      <c r="H15" s="101"/>
      <c r="I15" s="101"/>
      <c r="J15" s="101"/>
      <c r="K15" s="101"/>
      <c r="L15" s="101"/>
      <c r="M15" s="130">
        <v>2023</v>
      </c>
      <c r="N15" s="101">
        <v>1060</v>
      </c>
    </row>
    <row r="18" spans="19:19">
      <c r="S18" s="131"/>
    </row>
  </sheetData>
  <mergeCells count="13">
    <mergeCell ref="A1:B1"/>
    <mergeCell ref="C1:N1"/>
    <mergeCell ref="A2:I2"/>
    <mergeCell ref="L2:N2"/>
    <mergeCell ref="H3:N3"/>
    <mergeCell ref="A3:A4"/>
    <mergeCell ref="B3:B4"/>
    <mergeCell ref="C3:C4"/>
    <mergeCell ref="D3:D4"/>
    <mergeCell ref="D5:D15"/>
    <mergeCell ref="E3:E4"/>
    <mergeCell ref="F3:F4"/>
    <mergeCell ref="G3:G4"/>
  </mergeCells>
  <printOptions horizontalCentered="1"/>
  <pageMargins left="0.78740157480315" right="0.7874015748031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00B050"/>
  </sheetPr>
  <dimension ref="A1:H50"/>
  <sheetViews>
    <sheetView view="pageBreakPreview" zoomScaleNormal="100" workbookViewId="0">
      <selection activeCell="C14" sqref="C14:G14"/>
    </sheetView>
  </sheetViews>
  <sheetFormatPr defaultColWidth="9" defaultRowHeight="24.9" customHeight="1" outlineLevelCol="7"/>
  <cols>
    <col min="1" max="1" width="7.1" style="97" customWidth="1"/>
    <col min="2" max="2" width="10.1" style="97" customWidth="1"/>
    <col min="3" max="3" width="9.4" style="97" customWidth="1"/>
    <col min="4" max="4" width="6.4" style="97" customWidth="1"/>
    <col min="5" max="5" width="9.4" style="97" customWidth="1"/>
    <col min="6" max="6" width="7.4" style="97" customWidth="1"/>
    <col min="7" max="7" width="13.7" style="97" customWidth="1"/>
    <col min="8" max="8" width="15.7" style="96" customWidth="1"/>
    <col min="9" max="15" width="9" style="97" customWidth="1"/>
    <col min="16" max="16" width="5" style="97" customWidth="1"/>
    <col min="17" max="17" width="6.9" style="97" customWidth="1"/>
    <col min="18" max="18" width="5.1" style="97" customWidth="1"/>
    <col min="19" max="16384" width="9" style="97"/>
  </cols>
  <sheetData>
    <row r="1" s="95" customFormat="1" ht="28.95" customHeight="1" spans="1:8">
      <c r="A1" s="98" t="s">
        <v>612</v>
      </c>
      <c r="B1" s="98"/>
      <c r="C1" s="78" t="s">
        <v>613</v>
      </c>
      <c r="D1" s="78"/>
      <c r="E1" s="78"/>
      <c r="F1" s="78"/>
      <c r="G1" s="78"/>
      <c r="H1" s="78"/>
    </row>
    <row r="2" ht="20.4" customHeight="1"/>
    <row r="3" ht="20.4" customHeight="1" spans="1:8">
      <c r="A3" s="99" t="s">
        <v>614</v>
      </c>
      <c r="B3" s="100">
        <v>1</v>
      </c>
      <c r="C3" s="101" t="s">
        <v>615</v>
      </c>
      <c r="D3" s="102" t="s">
        <v>616</v>
      </c>
      <c r="E3" s="103"/>
      <c r="F3" s="104"/>
      <c r="G3" s="100" t="s">
        <v>617</v>
      </c>
      <c r="H3" s="105" t="s">
        <v>618</v>
      </c>
    </row>
    <row r="4" ht="20.4" customHeight="1" spans="1:8">
      <c r="A4" s="99" t="s">
        <v>619</v>
      </c>
      <c r="B4" s="100" t="s">
        <v>620</v>
      </c>
      <c r="C4" s="101" t="s">
        <v>621</v>
      </c>
      <c r="D4" s="100">
        <v>1.004</v>
      </c>
      <c r="E4" s="100" t="s">
        <v>622</v>
      </c>
      <c r="F4" s="100"/>
      <c r="G4" s="100" t="s">
        <v>623</v>
      </c>
      <c r="H4" s="100" t="s">
        <v>597</v>
      </c>
    </row>
    <row r="5" ht="20.4" customHeight="1" spans="1:8">
      <c r="A5" s="99" t="s">
        <v>624</v>
      </c>
      <c r="B5" s="100" t="s">
        <v>625</v>
      </c>
      <c r="C5" s="106" t="s">
        <v>626</v>
      </c>
      <c r="D5" s="107"/>
      <c r="E5" s="107"/>
      <c r="F5" s="107"/>
      <c r="G5" s="108"/>
      <c r="H5" s="100" t="s">
        <v>627</v>
      </c>
    </row>
    <row r="6" ht="20.4" customHeight="1" spans="1:8">
      <c r="A6" s="100">
        <v>1</v>
      </c>
      <c r="B6" s="100" t="s">
        <v>628</v>
      </c>
      <c r="C6" s="102" t="s">
        <v>629</v>
      </c>
      <c r="D6" s="103"/>
      <c r="E6" s="103"/>
      <c r="F6" s="103"/>
      <c r="G6" s="104"/>
      <c r="H6" s="109">
        <f>16*0.64*1.004</f>
        <v>10.28096</v>
      </c>
    </row>
    <row r="7" ht="20.4" customHeight="1" spans="1:8">
      <c r="A7" s="100">
        <v>2</v>
      </c>
      <c r="B7" s="100" t="s">
        <v>630</v>
      </c>
      <c r="C7" s="102">
        <v>5.5</v>
      </c>
      <c r="D7" s="103"/>
      <c r="E7" s="103"/>
      <c r="F7" s="103"/>
      <c r="G7" s="110"/>
      <c r="H7" s="100">
        <v>5.5</v>
      </c>
    </row>
    <row r="8" ht="20.4" customHeight="1" spans="1:8">
      <c r="A8" s="100" t="s">
        <v>631</v>
      </c>
      <c r="B8" s="100"/>
      <c r="C8" s="102" t="s">
        <v>117</v>
      </c>
      <c r="D8" s="103"/>
      <c r="E8" s="103"/>
      <c r="F8" s="103"/>
      <c r="G8" s="104"/>
      <c r="H8" s="109">
        <f>SUM(H6:H7)</f>
        <v>15.78096</v>
      </c>
    </row>
    <row r="9" ht="20.4" customHeight="1" spans="1:7">
      <c r="A9" s="96"/>
      <c r="B9" s="96"/>
      <c r="C9" s="96"/>
      <c r="D9" s="96"/>
      <c r="E9" s="96"/>
      <c r="F9" s="96"/>
      <c r="G9" s="96"/>
    </row>
    <row r="10" ht="20.4" customHeight="1" spans="1:8">
      <c r="A10" s="99" t="s">
        <v>614</v>
      </c>
      <c r="B10" s="100">
        <v>2</v>
      </c>
      <c r="C10" s="101" t="s">
        <v>615</v>
      </c>
      <c r="D10" s="102" t="s">
        <v>632</v>
      </c>
      <c r="E10" s="103"/>
      <c r="F10" s="104"/>
      <c r="G10" s="100" t="s">
        <v>617</v>
      </c>
      <c r="H10" s="105" t="s">
        <v>618</v>
      </c>
    </row>
    <row r="11" ht="20.4" customHeight="1" spans="1:8">
      <c r="A11" s="99" t="s">
        <v>619</v>
      </c>
      <c r="B11" s="100" t="s">
        <v>620</v>
      </c>
      <c r="C11" s="101" t="s">
        <v>621</v>
      </c>
      <c r="D11" s="100">
        <v>1</v>
      </c>
      <c r="E11" s="100" t="s">
        <v>622</v>
      </c>
      <c r="F11" s="100"/>
      <c r="G11" s="100" t="s">
        <v>623</v>
      </c>
      <c r="H11" s="100" t="s">
        <v>597</v>
      </c>
    </row>
    <row r="12" ht="20.4" customHeight="1" spans="1:8">
      <c r="A12" s="99" t="s">
        <v>633</v>
      </c>
      <c r="B12" s="100" t="s">
        <v>625</v>
      </c>
      <c r="C12" s="106" t="s">
        <v>626</v>
      </c>
      <c r="D12" s="107"/>
      <c r="E12" s="107"/>
      <c r="F12" s="107"/>
      <c r="G12" s="108"/>
      <c r="H12" s="100" t="s">
        <v>627</v>
      </c>
    </row>
    <row r="13" ht="20.4" customHeight="1" spans="1:8">
      <c r="A13" s="100">
        <v>1</v>
      </c>
      <c r="B13" s="100" t="s">
        <v>628</v>
      </c>
      <c r="C13" s="102" t="s">
        <v>634</v>
      </c>
      <c r="D13" s="103"/>
      <c r="E13" s="103"/>
      <c r="F13" s="103"/>
      <c r="G13" s="104"/>
      <c r="H13" s="109">
        <f>16*0.64*1</f>
        <v>10.24</v>
      </c>
    </row>
    <row r="14" ht="20.4" customHeight="1" spans="1:8">
      <c r="A14" s="100">
        <v>2</v>
      </c>
      <c r="B14" s="100" t="s">
        <v>630</v>
      </c>
      <c r="C14" s="102">
        <v>5.5</v>
      </c>
      <c r="D14" s="103"/>
      <c r="E14" s="103"/>
      <c r="F14" s="103"/>
      <c r="G14" s="104"/>
      <c r="H14" s="100">
        <v>5.5</v>
      </c>
    </row>
    <row r="15" ht="20.4" customHeight="1" spans="1:8">
      <c r="A15" s="100" t="s">
        <v>631</v>
      </c>
      <c r="B15" s="100"/>
      <c r="C15" s="102" t="s">
        <v>117</v>
      </c>
      <c r="D15" s="103"/>
      <c r="E15" s="103"/>
      <c r="F15" s="103"/>
      <c r="G15" s="104"/>
      <c r="H15" s="109">
        <f>SUM(H13:H14)</f>
        <v>15.74</v>
      </c>
    </row>
    <row r="16" ht="20.4" customHeight="1" spans="1:7">
      <c r="A16" s="96"/>
      <c r="B16" s="96"/>
      <c r="C16" s="96"/>
      <c r="D16" s="96"/>
      <c r="E16" s="96"/>
      <c r="F16" s="96"/>
      <c r="G16" s="96"/>
    </row>
    <row r="17" ht="34.2" customHeight="1" spans="1:8">
      <c r="A17" s="99" t="s">
        <v>614</v>
      </c>
      <c r="B17" s="100">
        <v>4</v>
      </c>
      <c r="C17" s="101" t="s">
        <v>615</v>
      </c>
      <c r="D17" s="102" t="s">
        <v>635</v>
      </c>
      <c r="E17" s="103"/>
      <c r="F17" s="104"/>
      <c r="G17" s="100" t="s">
        <v>617</v>
      </c>
      <c r="H17" s="111" t="s">
        <v>636</v>
      </c>
    </row>
    <row r="18" ht="20.4" customHeight="1" spans="1:8">
      <c r="A18" s="99" t="s">
        <v>619</v>
      </c>
      <c r="B18" s="100" t="s">
        <v>637</v>
      </c>
      <c r="C18" s="101" t="s">
        <v>621</v>
      </c>
      <c r="D18" s="100">
        <v>1.5</v>
      </c>
      <c r="E18" s="100" t="s">
        <v>622</v>
      </c>
      <c r="F18" s="100"/>
      <c r="G18" s="100" t="s">
        <v>623</v>
      </c>
      <c r="H18" s="100" t="s">
        <v>128</v>
      </c>
    </row>
    <row r="19" ht="20.4" customHeight="1" spans="1:8">
      <c r="A19" s="99" t="s">
        <v>624</v>
      </c>
      <c r="B19" s="100" t="s">
        <v>625</v>
      </c>
      <c r="C19" s="106" t="s">
        <v>626</v>
      </c>
      <c r="D19" s="107"/>
      <c r="E19" s="107"/>
      <c r="F19" s="107"/>
      <c r="G19" s="108"/>
      <c r="H19" s="100" t="s">
        <v>627</v>
      </c>
    </row>
    <row r="20" ht="20.4" customHeight="1" spans="1:8">
      <c r="A20" s="100">
        <v>1</v>
      </c>
      <c r="B20" s="100" t="s">
        <v>628</v>
      </c>
      <c r="C20" s="102" t="s">
        <v>638</v>
      </c>
      <c r="D20" s="103"/>
      <c r="E20" s="103"/>
      <c r="F20" s="103"/>
      <c r="G20" s="104"/>
      <c r="H20" s="109">
        <f>35*0.53*1.5</f>
        <v>27.825</v>
      </c>
    </row>
    <row r="21" ht="20.4" customHeight="1" spans="1:8">
      <c r="A21" s="100">
        <v>2</v>
      </c>
      <c r="B21" s="100" t="s">
        <v>630</v>
      </c>
      <c r="C21" s="102">
        <v>2</v>
      </c>
      <c r="D21" s="103"/>
      <c r="E21" s="103"/>
      <c r="F21" s="103"/>
      <c r="G21" s="104"/>
      <c r="H21" s="100">
        <v>2</v>
      </c>
    </row>
    <row r="22" ht="20.4" customHeight="1" spans="1:8">
      <c r="A22" s="100" t="s">
        <v>631</v>
      </c>
      <c r="B22" s="100"/>
      <c r="C22" s="102" t="s">
        <v>117</v>
      </c>
      <c r="D22" s="103"/>
      <c r="E22" s="103"/>
      <c r="F22" s="103"/>
      <c r="G22" s="104"/>
      <c r="H22" s="109">
        <f>SUM(H20:H21)</f>
        <v>29.825</v>
      </c>
    </row>
    <row r="23" ht="10.2" customHeight="1" spans="1:7">
      <c r="A23" s="96"/>
      <c r="B23" s="96"/>
      <c r="C23" s="96"/>
      <c r="D23" s="96"/>
      <c r="E23" s="96"/>
      <c r="F23" s="96"/>
      <c r="G23" s="96"/>
    </row>
    <row r="24" s="96" customFormat="1" ht="34.2" customHeight="1" spans="1:8">
      <c r="A24" s="99" t="s">
        <v>614</v>
      </c>
      <c r="B24" s="100">
        <v>5</v>
      </c>
      <c r="C24" s="101" t="s">
        <v>615</v>
      </c>
      <c r="D24" s="102" t="s">
        <v>603</v>
      </c>
      <c r="E24" s="103"/>
      <c r="F24" s="104"/>
      <c r="G24" s="100" t="s">
        <v>617</v>
      </c>
      <c r="H24" s="111" t="s">
        <v>636</v>
      </c>
    </row>
    <row r="25" ht="20.4" customHeight="1" spans="1:8">
      <c r="A25" s="99" t="s">
        <v>619</v>
      </c>
      <c r="B25" s="100" t="s">
        <v>637</v>
      </c>
      <c r="C25" s="101" t="s">
        <v>621</v>
      </c>
      <c r="D25" s="100">
        <v>1.6</v>
      </c>
      <c r="E25" s="100" t="s">
        <v>622</v>
      </c>
      <c r="F25" s="100"/>
      <c r="G25" s="100" t="s">
        <v>623</v>
      </c>
      <c r="H25" s="100" t="s">
        <v>128</v>
      </c>
    </row>
    <row r="26" ht="20.4" customHeight="1" spans="1:8">
      <c r="A26" s="99" t="s">
        <v>624</v>
      </c>
      <c r="B26" s="100" t="s">
        <v>625</v>
      </c>
      <c r="C26" s="106" t="s">
        <v>626</v>
      </c>
      <c r="D26" s="107"/>
      <c r="E26" s="107"/>
      <c r="F26" s="107"/>
      <c r="G26" s="108"/>
      <c r="H26" s="100" t="s">
        <v>627</v>
      </c>
    </row>
    <row r="27" ht="20.4" customHeight="1" spans="1:8">
      <c r="A27" s="100">
        <v>1</v>
      </c>
      <c r="B27" s="100" t="s">
        <v>628</v>
      </c>
      <c r="C27" s="102" t="s">
        <v>639</v>
      </c>
      <c r="D27" s="103"/>
      <c r="E27" s="103"/>
      <c r="F27" s="103"/>
      <c r="G27" s="104"/>
      <c r="H27" s="109">
        <f>35*0.53*1.6</f>
        <v>29.68</v>
      </c>
    </row>
    <row r="28" ht="20.4" customHeight="1" spans="1:8">
      <c r="A28" s="100">
        <v>2</v>
      </c>
      <c r="B28" s="100" t="s">
        <v>630</v>
      </c>
      <c r="C28" s="102">
        <v>2</v>
      </c>
      <c r="D28" s="103"/>
      <c r="E28" s="103"/>
      <c r="F28" s="103"/>
      <c r="G28" s="104"/>
      <c r="H28" s="100">
        <v>2</v>
      </c>
    </row>
    <row r="29" ht="20.4" customHeight="1" spans="1:8">
      <c r="A29" s="100" t="s">
        <v>631</v>
      </c>
      <c r="B29" s="100"/>
      <c r="C29" s="102" t="s">
        <v>117</v>
      </c>
      <c r="D29" s="103"/>
      <c r="E29" s="103"/>
      <c r="F29" s="103"/>
      <c r="G29" s="104"/>
      <c r="H29" s="109">
        <f>H27+H28</f>
        <v>31.68</v>
      </c>
    </row>
    <row r="30" ht="20.4" customHeight="1" spans="1:7">
      <c r="A30" s="96"/>
      <c r="B30" s="96"/>
      <c r="C30" s="96"/>
      <c r="D30" s="96"/>
      <c r="E30" s="96"/>
      <c r="F30" s="96"/>
      <c r="G30" s="96"/>
    </row>
    <row r="31" ht="28.95" customHeight="1" spans="1:8">
      <c r="A31" s="99" t="s">
        <v>614</v>
      </c>
      <c r="B31" s="100">
        <v>6</v>
      </c>
      <c r="C31" s="101" t="s">
        <v>615</v>
      </c>
      <c r="D31" s="102" t="s">
        <v>602</v>
      </c>
      <c r="E31" s="103"/>
      <c r="F31" s="104"/>
      <c r="G31" s="100" t="s">
        <v>617</v>
      </c>
      <c r="H31" s="112" t="s">
        <v>640</v>
      </c>
    </row>
    <row r="32" ht="20.4" customHeight="1" spans="1:8">
      <c r="A32" s="99" t="s">
        <v>619</v>
      </c>
      <c r="B32" s="100" t="s">
        <v>641</v>
      </c>
      <c r="C32" s="101" t="s">
        <v>621</v>
      </c>
      <c r="D32" s="100">
        <v>1.8</v>
      </c>
      <c r="E32" s="100" t="s">
        <v>622</v>
      </c>
      <c r="F32" s="100"/>
      <c r="G32" s="100" t="s">
        <v>623</v>
      </c>
      <c r="H32" s="100" t="s">
        <v>128</v>
      </c>
    </row>
    <row r="33" ht="20.4" customHeight="1" spans="1:8">
      <c r="A33" s="99" t="s">
        <v>624</v>
      </c>
      <c r="B33" s="100" t="s">
        <v>625</v>
      </c>
      <c r="C33" s="106" t="s">
        <v>626</v>
      </c>
      <c r="D33" s="107"/>
      <c r="E33" s="107"/>
      <c r="F33" s="107"/>
      <c r="G33" s="108"/>
      <c r="H33" s="100" t="s">
        <v>627</v>
      </c>
    </row>
    <row r="34" ht="20.4" customHeight="1" spans="1:8">
      <c r="A34" s="100">
        <v>1</v>
      </c>
      <c r="B34" s="100" t="s">
        <v>628</v>
      </c>
      <c r="C34" s="102" t="s">
        <v>642</v>
      </c>
      <c r="D34" s="103"/>
      <c r="E34" s="103"/>
      <c r="F34" s="103"/>
      <c r="G34" s="104"/>
      <c r="H34" s="109">
        <f>60*0.53*1.8</f>
        <v>57.24</v>
      </c>
    </row>
    <row r="35" ht="20.4" customHeight="1" spans="1:8">
      <c r="A35" s="100">
        <v>2</v>
      </c>
      <c r="B35" s="100" t="s">
        <v>630</v>
      </c>
      <c r="C35" s="102">
        <v>2</v>
      </c>
      <c r="D35" s="103"/>
      <c r="E35" s="103"/>
      <c r="F35" s="103"/>
      <c r="G35" s="104"/>
      <c r="H35" s="100">
        <v>2</v>
      </c>
    </row>
    <row r="36" ht="20.4" customHeight="1" spans="1:8">
      <c r="A36" s="100" t="s">
        <v>631</v>
      </c>
      <c r="B36" s="100"/>
      <c r="C36" s="102" t="s">
        <v>117</v>
      </c>
      <c r="D36" s="103"/>
      <c r="E36" s="103"/>
      <c r="F36" s="103"/>
      <c r="G36" s="104"/>
      <c r="H36" s="109">
        <f>SUM(H34:H35)</f>
        <v>59.24</v>
      </c>
    </row>
    <row r="37" ht="20.4" customHeight="1" spans="1:7">
      <c r="A37" s="96"/>
      <c r="B37" s="96"/>
      <c r="C37" s="96"/>
      <c r="D37" s="96"/>
      <c r="E37" s="96"/>
      <c r="F37" s="96"/>
      <c r="G37" s="96"/>
    </row>
    <row r="38" ht="36.6" customHeight="1" spans="1:8">
      <c r="A38" s="99" t="s">
        <v>614</v>
      </c>
      <c r="B38" s="100">
        <v>8</v>
      </c>
      <c r="C38" s="101" t="s">
        <v>615</v>
      </c>
      <c r="D38" s="102" t="s">
        <v>643</v>
      </c>
      <c r="E38" s="103"/>
      <c r="F38" s="104"/>
      <c r="G38" s="100" t="s">
        <v>617</v>
      </c>
      <c r="H38" s="111" t="s">
        <v>636</v>
      </c>
    </row>
    <row r="39" ht="20.4" customHeight="1" spans="1:8">
      <c r="A39" s="99" t="s">
        <v>619</v>
      </c>
      <c r="B39" s="100" t="s">
        <v>637</v>
      </c>
      <c r="C39" s="101" t="s">
        <v>621</v>
      </c>
      <c r="D39" s="100">
        <v>1.65</v>
      </c>
      <c r="E39" s="100" t="s">
        <v>622</v>
      </c>
      <c r="F39" s="100"/>
      <c r="G39" s="100" t="s">
        <v>623</v>
      </c>
      <c r="H39" s="100" t="s">
        <v>128</v>
      </c>
    </row>
    <row r="40" ht="20.4" customHeight="1" spans="1:8">
      <c r="A40" s="99" t="s">
        <v>624</v>
      </c>
      <c r="B40" s="100" t="s">
        <v>625</v>
      </c>
      <c r="C40" s="106" t="s">
        <v>626</v>
      </c>
      <c r="D40" s="107"/>
      <c r="E40" s="107"/>
      <c r="F40" s="107"/>
      <c r="G40" s="108"/>
      <c r="H40" s="100" t="s">
        <v>627</v>
      </c>
    </row>
    <row r="41" ht="20.4" customHeight="1" spans="1:8">
      <c r="A41" s="100">
        <v>1</v>
      </c>
      <c r="B41" s="100" t="s">
        <v>628</v>
      </c>
      <c r="C41" s="102" t="s">
        <v>644</v>
      </c>
      <c r="D41" s="103"/>
      <c r="E41" s="103"/>
      <c r="F41" s="103"/>
      <c r="G41" s="104"/>
      <c r="H41" s="109">
        <f>35*0.53*1.65</f>
        <v>30.6075</v>
      </c>
    </row>
    <row r="42" ht="20.4" customHeight="1" spans="1:8">
      <c r="A42" s="100">
        <v>2</v>
      </c>
      <c r="B42" s="100" t="s">
        <v>630</v>
      </c>
      <c r="C42" s="102">
        <v>2</v>
      </c>
      <c r="D42" s="103"/>
      <c r="E42" s="103"/>
      <c r="F42" s="103"/>
      <c r="G42" s="104"/>
      <c r="H42" s="100">
        <v>2</v>
      </c>
    </row>
    <row r="43" ht="20.4" customHeight="1" spans="1:8">
      <c r="A43" s="100" t="s">
        <v>631</v>
      </c>
      <c r="B43" s="100"/>
      <c r="C43" s="102" t="s">
        <v>117</v>
      </c>
      <c r="D43" s="103"/>
      <c r="E43" s="103"/>
      <c r="F43" s="103"/>
      <c r="G43" s="104"/>
      <c r="H43" s="109">
        <f>SUM(H41:H42)</f>
        <v>32.6075</v>
      </c>
    </row>
    <row r="44" ht="20.4" customHeight="1" spans="1:7">
      <c r="A44" s="96"/>
      <c r="B44" s="96"/>
      <c r="C44" s="96"/>
      <c r="D44" s="96"/>
      <c r="E44" s="96"/>
      <c r="F44" s="96"/>
      <c r="G44" s="96"/>
    </row>
    <row r="45" ht="20.4" customHeight="1" spans="1:8">
      <c r="A45" s="99" t="s">
        <v>614</v>
      </c>
      <c r="B45" s="100">
        <v>8</v>
      </c>
      <c r="C45" s="101" t="s">
        <v>615</v>
      </c>
      <c r="D45" s="113" t="s">
        <v>645</v>
      </c>
      <c r="E45" s="103"/>
      <c r="F45" s="104"/>
      <c r="G45" s="100" t="s">
        <v>617</v>
      </c>
      <c r="H45" s="112" t="s">
        <v>646</v>
      </c>
    </row>
    <row r="46" ht="20.4" customHeight="1" spans="1:8">
      <c r="A46" s="99" t="s">
        <v>619</v>
      </c>
      <c r="B46" s="100" t="s">
        <v>647</v>
      </c>
      <c r="C46" s="101" t="s">
        <v>621</v>
      </c>
      <c r="D46" s="100">
        <v>1.65</v>
      </c>
      <c r="E46" s="100" t="s">
        <v>622</v>
      </c>
      <c r="F46" s="100"/>
      <c r="G46" s="100" t="s">
        <v>623</v>
      </c>
      <c r="H46" s="100" t="s">
        <v>128</v>
      </c>
    </row>
    <row r="47" ht="20.4" customHeight="1" spans="1:8">
      <c r="A47" s="99" t="s">
        <v>624</v>
      </c>
      <c r="B47" s="100" t="s">
        <v>625</v>
      </c>
      <c r="C47" s="106" t="s">
        <v>626</v>
      </c>
      <c r="D47" s="107"/>
      <c r="E47" s="107"/>
      <c r="F47" s="107"/>
      <c r="G47" s="108"/>
      <c r="H47" s="100" t="s">
        <v>627</v>
      </c>
    </row>
    <row r="48" ht="20.4" customHeight="1" spans="1:8">
      <c r="A48" s="100">
        <v>1</v>
      </c>
      <c r="B48" s="100" t="s">
        <v>628</v>
      </c>
      <c r="C48" s="102" t="s">
        <v>648</v>
      </c>
      <c r="D48" s="103"/>
      <c r="E48" s="103"/>
      <c r="F48" s="103"/>
      <c r="G48" s="104"/>
      <c r="H48" s="109">
        <f>10*0.85*1.65</f>
        <v>14.025</v>
      </c>
    </row>
    <row r="49" ht="20.4" customHeight="1" spans="1:8">
      <c r="A49" s="100">
        <v>2</v>
      </c>
      <c r="B49" s="100" t="s">
        <v>630</v>
      </c>
      <c r="C49" s="102">
        <v>2</v>
      </c>
      <c r="D49" s="103"/>
      <c r="E49" s="103"/>
      <c r="F49" s="103"/>
      <c r="G49" s="104"/>
      <c r="H49" s="100">
        <v>2</v>
      </c>
    </row>
    <row r="50" ht="20.4" customHeight="1" spans="1:8">
      <c r="A50" s="100" t="s">
        <v>631</v>
      </c>
      <c r="B50" s="100"/>
      <c r="C50" s="102" t="s">
        <v>117</v>
      </c>
      <c r="D50" s="103"/>
      <c r="E50" s="103"/>
      <c r="F50" s="103"/>
      <c r="G50" s="104"/>
      <c r="H50" s="109">
        <f>SUM(H48:H49)</f>
        <v>16.025</v>
      </c>
    </row>
  </sheetData>
  <mergeCells count="44">
    <mergeCell ref="A1:B1"/>
    <mergeCell ref="C1:H1"/>
    <mergeCell ref="D3:F3"/>
    <mergeCell ref="C5:G5"/>
    <mergeCell ref="C6:G6"/>
    <mergeCell ref="C7:G7"/>
    <mergeCell ref="A8:B8"/>
    <mergeCell ref="C8:G8"/>
    <mergeCell ref="D10:F10"/>
    <mergeCell ref="C12:G12"/>
    <mergeCell ref="C13:G13"/>
    <mergeCell ref="C14:G14"/>
    <mergeCell ref="A15:B15"/>
    <mergeCell ref="C15:G15"/>
    <mergeCell ref="D17:F17"/>
    <mergeCell ref="C19:G19"/>
    <mergeCell ref="C20:G20"/>
    <mergeCell ref="C21:G21"/>
    <mergeCell ref="A22:B22"/>
    <mergeCell ref="C22:G22"/>
    <mergeCell ref="D24:F24"/>
    <mergeCell ref="C26:G26"/>
    <mergeCell ref="C27:G27"/>
    <mergeCell ref="C28:G28"/>
    <mergeCell ref="A29:B29"/>
    <mergeCell ref="C29:G29"/>
    <mergeCell ref="D31:F31"/>
    <mergeCell ref="C33:G33"/>
    <mergeCell ref="C34:G34"/>
    <mergeCell ref="C35:G35"/>
    <mergeCell ref="A36:B36"/>
    <mergeCell ref="C36:G36"/>
    <mergeCell ref="D38:F38"/>
    <mergeCell ref="C40:G40"/>
    <mergeCell ref="C41:G41"/>
    <mergeCell ref="C42:G42"/>
    <mergeCell ref="A43:B43"/>
    <mergeCell ref="C43:G43"/>
    <mergeCell ref="D45:F45"/>
    <mergeCell ref="C47:G47"/>
    <mergeCell ref="C48:G48"/>
    <mergeCell ref="C49:G49"/>
    <mergeCell ref="A50:B50"/>
    <mergeCell ref="C50:G50"/>
  </mergeCells>
  <printOptions horizontalCentered="1"/>
  <pageMargins left="0.78740157480315" right="0.78740157480315" top="0.748031496062992" bottom="0.748031496062992" header="0.31496062992126" footer="0.31496062992126"/>
  <pageSetup paperSize="9" orientation="portrait"/>
  <headerFooter/>
  <rowBreaks count="1" manualBreakCount="1">
    <brk id="22" max="7"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00B050"/>
  </sheetPr>
  <dimension ref="A1:E24"/>
  <sheetViews>
    <sheetView view="pageBreakPreview" zoomScaleNormal="100" topLeftCell="A13" workbookViewId="0">
      <selection activeCell="G21" sqref="G21:I24"/>
    </sheetView>
  </sheetViews>
  <sheetFormatPr defaultColWidth="9" defaultRowHeight="24.9" customHeight="1" outlineLevelCol="4"/>
  <cols>
    <col min="1" max="1" width="14" style="80" customWidth="1"/>
    <col min="2" max="2" width="26.4" style="80" customWidth="1"/>
    <col min="3" max="3" width="20.6" style="80" customWidth="1"/>
    <col min="4" max="4" width="17.7" style="80" customWidth="1"/>
    <col min="5" max="5" width="5.5" style="80" customWidth="1"/>
    <col min="6" max="8" width="9" style="80" customWidth="1"/>
    <col min="9" max="9" width="5" style="80" customWidth="1"/>
    <col min="10" max="10" width="6.9" style="80" customWidth="1"/>
    <col min="11" max="11" width="5.1" style="80" customWidth="1"/>
    <col min="12" max="16384" width="9" style="80"/>
  </cols>
  <sheetData>
    <row r="1" s="78" customFormat="1" ht="37.95" customHeight="1" spans="1:5">
      <c r="A1" s="81" t="s">
        <v>649</v>
      </c>
      <c r="B1" s="82" t="s">
        <v>650</v>
      </c>
      <c r="C1" s="82"/>
      <c r="D1" s="82"/>
      <c r="E1" s="83"/>
    </row>
    <row r="2" s="79" customFormat="1" ht="21.6" customHeight="1" spans="1:5">
      <c r="A2" s="84" t="s">
        <v>1</v>
      </c>
      <c r="B2" s="84" t="s">
        <v>651</v>
      </c>
      <c r="C2" s="84" t="s">
        <v>652</v>
      </c>
      <c r="D2" s="85" t="s">
        <v>653</v>
      </c>
      <c r="E2" s="86"/>
    </row>
    <row r="3" ht="21.6" customHeight="1" spans="1:5">
      <c r="A3" s="325" t="s">
        <v>38</v>
      </c>
      <c r="B3" s="87" t="s">
        <v>654</v>
      </c>
      <c r="C3" s="87" t="s">
        <v>655</v>
      </c>
      <c r="D3" s="88">
        <v>0.21</v>
      </c>
      <c r="E3" s="89"/>
    </row>
    <row r="4" ht="21.6" customHeight="1" spans="1:5">
      <c r="A4" s="325" t="s">
        <v>40</v>
      </c>
      <c r="B4" s="87" t="s">
        <v>656</v>
      </c>
      <c r="C4" s="87" t="s">
        <v>655</v>
      </c>
      <c r="D4" s="88">
        <v>3.7</v>
      </c>
      <c r="E4" s="89"/>
    </row>
    <row r="5" ht="21.6" customHeight="1" spans="1:5">
      <c r="A5" s="325" t="s">
        <v>42</v>
      </c>
      <c r="B5" s="87" t="s">
        <v>657</v>
      </c>
      <c r="C5" s="87" t="s">
        <v>658</v>
      </c>
      <c r="D5" s="88">
        <v>0.71</v>
      </c>
      <c r="E5" s="89"/>
    </row>
    <row r="6" ht="21.6" customHeight="1" spans="1:5">
      <c r="A6" s="325" t="s">
        <v>179</v>
      </c>
      <c r="B6" s="87" t="s">
        <v>659</v>
      </c>
      <c r="C6" s="87" t="s">
        <v>608</v>
      </c>
      <c r="D6" s="88">
        <v>7.35</v>
      </c>
      <c r="E6" s="89"/>
    </row>
    <row r="7" ht="21.6" customHeight="1" spans="1:5">
      <c r="A7" s="325" t="s">
        <v>255</v>
      </c>
      <c r="B7" s="87" t="s">
        <v>660</v>
      </c>
      <c r="C7" s="87" t="s">
        <v>608</v>
      </c>
      <c r="D7" s="88">
        <v>6.42</v>
      </c>
      <c r="E7" s="89"/>
    </row>
    <row r="8" ht="21.6" customHeight="1" spans="1:5">
      <c r="A8" s="325" t="s">
        <v>260</v>
      </c>
      <c r="B8" s="87" t="s">
        <v>661</v>
      </c>
      <c r="C8" s="87" t="s">
        <v>608</v>
      </c>
      <c r="D8" s="88">
        <v>6.35</v>
      </c>
      <c r="E8" s="89"/>
    </row>
    <row r="9" ht="21.6" customHeight="1" spans="1:5">
      <c r="A9" s="325" t="s">
        <v>332</v>
      </c>
      <c r="B9" s="87" t="s">
        <v>662</v>
      </c>
      <c r="C9" s="87" t="s">
        <v>608</v>
      </c>
      <c r="D9" s="88">
        <v>6.12</v>
      </c>
      <c r="E9" s="89"/>
    </row>
    <row r="10" ht="21.6" customHeight="1" spans="1:5">
      <c r="A10" s="325" t="s">
        <v>663</v>
      </c>
      <c r="B10" s="87" t="s">
        <v>664</v>
      </c>
      <c r="C10" s="87" t="s">
        <v>608</v>
      </c>
      <c r="D10" s="88">
        <v>8.63</v>
      </c>
      <c r="E10" s="89"/>
    </row>
    <row r="11" ht="21.6" customHeight="1" spans="1:5">
      <c r="A11" s="325" t="s">
        <v>665</v>
      </c>
      <c r="B11" s="87" t="s">
        <v>666</v>
      </c>
      <c r="C11" s="87" t="s">
        <v>608</v>
      </c>
      <c r="D11" s="88">
        <v>4.75</v>
      </c>
      <c r="E11" s="89"/>
    </row>
    <row r="12" ht="21.6" customHeight="1" spans="1:5">
      <c r="A12" s="325" t="s">
        <v>667</v>
      </c>
      <c r="B12" s="87" t="s">
        <v>668</v>
      </c>
      <c r="C12" s="87" t="s">
        <v>608</v>
      </c>
      <c r="D12" s="88">
        <v>6.3</v>
      </c>
      <c r="E12" s="89"/>
    </row>
    <row r="13" ht="21.6" customHeight="1" spans="1:5">
      <c r="A13" s="325" t="s">
        <v>669</v>
      </c>
      <c r="B13" s="87" t="s">
        <v>670</v>
      </c>
      <c r="C13" s="87" t="s">
        <v>608</v>
      </c>
      <c r="D13" s="88">
        <v>6.31</v>
      </c>
      <c r="E13" s="89"/>
    </row>
    <row r="14" ht="21.6" customHeight="1" spans="1:5">
      <c r="A14" s="325" t="s">
        <v>671</v>
      </c>
      <c r="B14" s="87" t="s">
        <v>672</v>
      </c>
      <c r="C14" s="87" t="s">
        <v>673</v>
      </c>
      <c r="D14" s="88">
        <v>6.53</v>
      </c>
      <c r="E14" s="89"/>
    </row>
    <row r="15" ht="21.6" customHeight="1" spans="1:5">
      <c r="A15" s="325" t="s">
        <v>674</v>
      </c>
      <c r="B15" s="87" t="s">
        <v>675</v>
      </c>
      <c r="C15" s="87" t="s">
        <v>608</v>
      </c>
      <c r="D15" s="88">
        <v>6.72</v>
      </c>
      <c r="E15" s="89"/>
    </row>
    <row r="16" ht="21.6" customHeight="1" spans="1:5">
      <c r="A16" s="325" t="s">
        <v>676</v>
      </c>
      <c r="B16" s="90" t="s">
        <v>677</v>
      </c>
      <c r="C16" s="90" t="s">
        <v>608</v>
      </c>
      <c r="D16" s="91">
        <v>18</v>
      </c>
      <c r="E16" s="89"/>
    </row>
    <row r="17" ht="21.6" customHeight="1" spans="1:5">
      <c r="A17" s="325" t="s">
        <v>678</v>
      </c>
      <c r="B17" s="87" t="s">
        <v>679</v>
      </c>
      <c r="C17" s="87" t="s">
        <v>597</v>
      </c>
      <c r="D17" s="88">
        <v>4051.62</v>
      </c>
      <c r="E17" s="89"/>
    </row>
    <row r="18" ht="21.6" customHeight="1" spans="1:5">
      <c r="A18" s="325" t="s">
        <v>680</v>
      </c>
      <c r="B18" s="92" t="s">
        <v>681</v>
      </c>
      <c r="C18" s="90" t="s">
        <v>655</v>
      </c>
      <c r="D18" s="88">
        <v>5500</v>
      </c>
      <c r="E18" s="89"/>
    </row>
    <row r="19" ht="21.6" customHeight="1" spans="1:4">
      <c r="A19" s="325" t="s">
        <v>682</v>
      </c>
      <c r="B19" s="87" t="s">
        <v>683</v>
      </c>
      <c r="C19" s="90" t="s">
        <v>655</v>
      </c>
      <c r="D19" s="88">
        <v>1860.11</v>
      </c>
    </row>
    <row r="20" ht="21.6" customHeight="1" spans="1:4">
      <c r="A20" s="325" t="s">
        <v>684</v>
      </c>
      <c r="B20" s="90" t="s">
        <v>685</v>
      </c>
      <c r="C20" s="90" t="s">
        <v>686</v>
      </c>
      <c r="D20" s="91">
        <v>25</v>
      </c>
    </row>
    <row r="21" ht="21.6" customHeight="1" spans="1:4">
      <c r="A21" s="325" t="s">
        <v>687</v>
      </c>
      <c r="B21" s="92" t="s">
        <v>688</v>
      </c>
      <c r="C21" s="93" t="s">
        <v>689</v>
      </c>
      <c r="D21" s="87">
        <v>15.36</v>
      </c>
    </row>
    <row r="22" ht="21.6" customHeight="1" spans="1:4">
      <c r="A22" s="325" t="s">
        <v>690</v>
      </c>
      <c r="B22" s="92" t="s">
        <v>691</v>
      </c>
      <c r="C22" s="93" t="s">
        <v>692</v>
      </c>
      <c r="D22" s="87">
        <v>28</v>
      </c>
    </row>
    <row r="23" customHeight="1" spans="1:4">
      <c r="A23" s="325" t="s">
        <v>693</v>
      </c>
      <c r="B23" s="92" t="s">
        <v>694</v>
      </c>
      <c r="C23" s="87" t="s">
        <v>655</v>
      </c>
      <c r="D23" s="87">
        <v>17.86</v>
      </c>
    </row>
    <row r="24" customHeight="1" spans="1:4">
      <c r="A24" s="325" t="s">
        <v>695</v>
      </c>
      <c r="B24" s="94" t="s">
        <v>696</v>
      </c>
      <c r="C24" s="87" t="s">
        <v>597</v>
      </c>
      <c r="D24" s="87">
        <v>600</v>
      </c>
    </row>
  </sheetData>
  <autoFilter ref="B1:B24">
    <extLst/>
  </autoFilter>
  <mergeCells count="1">
    <mergeCell ref="B1:D1"/>
  </mergeCells>
  <printOptions horizontalCentered="1"/>
  <pageMargins left="0.78740157480315" right="0.78740157480315" top="0.748031496062992" bottom="0.748031496062992" header="0.31496062992126" footer="0.314960629921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Y14"/>
  <sheetViews>
    <sheetView view="pageBreakPreview" zoomScaleNormal="100" workbookViewId="0">
      <pane xSplit="5" ySplit="4" topLeftCell="F5" activePane="bottomRight" state="frozen"/>
      <selection/>
      <selection pane="topRight"/>
      <selection pane="bottomLeft"/>
      <selection pane="bottomRight" activeCell="O7" sqref="O7"/>
    </sheetView>
  </sheetViews>
  <sheetFormatPr defaultColWidth="8.6" defaultRowHeight="24.9" customHeight="1"/>
  <cols>
    <col min="1" max="1" width="5.9" style="60" customWidth="1"/>
    <col min="2" max="2" width="18.1" style="61" customWidth="1"/>
    <col min="3" max="3" width="7.9" style="62" customWidth="1"/>
    <col min="4" max="4" width="12.1" style="62" customWidth="1"/>
    <col min="5" max="5" width="8.2" style="62" hidden="1" customWidth="1"/>
    <col min="6" max="6" width="10" style="62" hidden="1" customWidth="1"/>
    <col min="7" max="7" width="6.2" style="62" hidden="1" customWidth="1"/>
    <col min="8" max="8" width="13" style="62" hidden="1" customWidth="1"/>
    <col min="9" max="9" width="5.4" style="62" hidden="1" customWidth="1"/>
    <col min="10" max="10" width="7.6" style="62" customWidth="1"/>
    <col min="11" max="11" width="5.1" style="62" customWidth="1"/>
    <col min="12" max="12" width="6" style="62" customWidth="1"/>
    <col min="13" max="13" width="8.2" style="62" customWidth="1"/>
    <col min="14" max="14" width="4.6" style="63" customWidth="1"/>
    <col min="15" max="15" width="4.6" style="62" customWidth="1"/>
    <col min="16" max="17" width="4.7" style="62" customWidth="1"/>
    <col min="18" max="18" width="6.2" style="62" customWidth="1"/>
    <col min="19" max="19" width="5.1" style="62" customWidth="1"/>
    <col min="20" max="20" width="5" style="62" customWidth="1"/>
    <col min="21" max="21" width="4.4" style="62" customWidth="1"/>
    <col min="22" max="22" width="5.4" style="62" customWidth="1"/>
    <col min="23" max="23" width="5.1" style="62" customWidth="1"/>
    <col min="24" max="32" width="9" style="64" customWidth="1"/>
    <col min="33" max="16384" width="8.6" style="64"/>
  </cols>
  <sheetData>
    <row r="1" s="58" customFormat="1" ht="28.95" customHeight="1" spans="1:25">
      <c r="A1" s="65" t="s">
        <v>697</v>
      </c>
      <c r="B1" s="65"/>
      <c r="C1" s="66" t="s">
        <v>698</v>
      </c>
      <c r="D1" s="66"/>
      <c r="E1" s="66"/>
      <c r="F1" s="66"/>
      <c r="G1" s="66"/>
      <c r="H1" s="66"/>
      <c r="I1" s="66"/>
      <c r="J1" s="66"/>
      <c r="K1" s="66"/>
      <c r="L1" s="66"/>
      <c r="M1" s="66"/>
      <c r="N1" s="66"/>
      <c r="O1" s="66"/>
      <c r="P1" s="66"/>
      <c r="Q1" s="66"/>
      <c r="R1" s="66"/>
      <c r="S1" s="66"/>
      <c r="T1" s="66"/>
      <c r="U1" s="66"/>
      <c r="V1" s="66"/>
      <c r="W1" s="66"/>
      <c r="Y1" s="58">
        <f>总概算表!F18</f>
        <v>233.7403509</v>
      </c>
    </row>
    <row r="2" s="59" customFormat="1" ht="13.2" hidden="1" customHeight="1" spans="1:23">
      <c r="A2" s="67"/>
      <c r="B2" s="67"/>
      <c r="C2" s="67"/>
      <c r="D2" s="67"/>
      <c r="E2" s="67"/>
      <c r="F2" s="67"/>
      <c r="G2" s="67"/>
      <c r="H2" s="67"/>
      <c r="I2" s="67"/>
      <c r="J2" s="67"/>
      <c r="K2" s="67"/>
      <c r="L2" s="67"/>
      <c r="M2" s="67"/>
      <c r="N2" s="75"/>
      <c r="O2" s="67"/>
      <c r="P2" s="67"/>
      <c r="Q2" s="67"/>
      <c r="R2" s="67"/>
      <c r="S2" s="67"/>
      <c r="T2" s="67"/>
      <c r="U2" s="67"/>
      <c r="V2" s="67"/>
      <c r="W2" s="67"/>
    </row>
    <row r="3" s="59" customFormat="1" customHeight="1" spans="1:23">
      <c r="A3" s="68" t="s">
        <v>699</v>
      </c>
      <c r="B3" s="68" t="s">
        <v>700</v>
      </c>
      <c r="C3" s="69" t="s">
        <v>701</v>
      </c>
      <c r="D3" s="70" t="s">
        <v>702</v>
      </c>
      <c r="E3" s="70"/>
      <c r="F3" s="70"/>
      <c r="G3" s="70"/>
      <c r="H3" s="70"/>
      <c r="I3" s="70"/>
      <c r="J3" s="69" t="s">
        <v>703</v>
      </c>
      <c r="K3" s="69"/>
      <c r="L3" s="69"/>
      <c r="M3" s="69"/>
      <c r="N3" s="69"/>
      <c r="O3" s="69"/>
      <c r="P3" s="69"/>
      <c r="Q3" s="69"/>
      <c r="R3" s="69"/>
      <c r="S3" s="69"/>
      <c r="T3" s="69"/>
      <c r="U3" s="69"/>
      <c r="V3" s="69"/>
      <c r="W3" s="69"/>
    </row>
    <row r="4" s="59" customFormat="1" ht="43.95" customHeight="1" spans="1:23">
      <c r="A4" s="68"/>
      <c r="B4" s="68"/>
      <c r="C4" s="69"/>
      <c r="D4" s="69" t="s">
        <v>704</v>
      </c>
      <c r="E4" s="69" t="s">
        <v>705</v>
      </c>
      <c r="F4" s="69" t="s">
        <v>705</v>
      </c>
      <c r="G4" s="69" t="s">
        <v>706</v>
      </c>
      <c r="H4" s="69" t="s">
        <v>706</v>
      </c>
      <c r="I4" s="69" t="s">
        <v>707</v>
      </c>
      <c r="J4" s="69" t="s">
        <v>708</v>
      </c>
      <c r="K4" s="69" t="s">
        <v>709</v>
      </c>
      <c r="L4" s="69"/>
      <c r="M4" s="69" t="s">
        <v>710</v>
      </c>
      <c r="N4" s="69" t="s">
        <v>711</v>
      </c>
      <c r="O4" s="69"/>
      <c r="P4" s="69" t="s">
        <v>712</v>
      </c>
      <c r="Q4" s="69"/>
      <c r="R4" s="69" t="s">
        <v>713</v>
      </c>
      <c r="S4" s="69"/>
      <c r="T4" s="69" t="s">
        <v>714</v>
      </c>
      <c r="U4" s="69"/>
      <c r="V4" s="69" t="s">
        <v>715</v>
      </c>
      <c r="W4" s="69"/>
    </row>
    <row r="5" s="59" customFormat="1" ht="20.4" customHeight="1" spans="1:23">
      <c r="A5" s="68"/>
      <c r="B5" s="68"/>
      <c r="C5" s="69"/>
      <c r="D5" s="69"/>
      <c r="E5" s="69" t="s">
        <v>716</v>
      </c>
      <c r="F5" s="69" t="s">
        <v>716</v>
      </c>
      <c r="G5" s="69" t="s">
        <v>716</v>
      </c>
      <c r="H5" s="69" t="s">
        <v>716</v>
      </c>
      <c r="I5" s="69" t="s">
        <v>716</v>
      </c>
      <c r="J5" s="69"/>
      <c r="K5" s="69" t="s">
        <v>717</v>
      </c>
      <c r="L5" s="69" t="s">
        <v>718</v>
      </c>
      <c r="M5" s="69"/>
      <c r="N5" s="76" t="s">
        <v>719</v>
      </c>
      <c r="O5" s="69" t="s">
        <v>718</v>
      </c>
      <c r="P5" s="69" t="s">
        <v>719</v>
      </c>
      <c r="Q5" s="69" t="s">
        <v>718</v>
      </c>
      <c r="R5" s="69" t="s">
        <v>719</v>
      </c>
      <c r="S5" s="69" t="s">
        <v>718</v>
      </c>
      <c r="T5" s="69" t="s">
        <v>719</v>
      </c>
      <c r="U5" s="69" t="s">
        <v>718</v>
      </c>
      <c r="V5" s="69" t="s">
        <v>719</v>
      </c>
      <c r="W5" s="69" t="s">
        <v>718</v>
      </c>
    </row>
    <row r="6" ht="21.6" customHeight="1" spans="1:23">
      <c r="A6" s="71">
        <v>1004</v>
      </c>
      <c r="B6" s="72" t="s">
        <v>720</v>
      </c>
      <c r="C6" s="73">
        <f t="shared" ref="C6:C12" si="0">D6+J6</f>
        <v>705.491688565904</v>
      </c>
      <c r="D6" s="73">
        <f t="shared" ref="D6:D11" si="1">F6+H6+I6</f>
        <v>299.412561692127</v>
      </c>
      <c r="E6" s="73">
        <v>159.13</v>
      </c>
      <c r="F6" s="73">
        <f t="shared" ref="F6:F12" si="2">E6/1.15</f>
        <v>138.373913043478</v>
      </c>
      <c r="G6" s="73">
        <v>163.89</v>
      </c>
      <c r="H6" s="73">
        <f t="shared" ref="H6:H12" si="3">G6/1.11</f>
        <v>147.648648648649</v>
      </c>
      <c r="I6" s="73">
        <v>13.39</v>
      </c>
      <c r="J6" s="73">
        <f t="shared" ref="J6:J11" si="4">K6*L6+M6</f>
        <v>406.079126873778</v>
      </c>
      <c r="K6" s="73">
        <v>2</v>
      </c>
      <c r="L6" s="73">
        <f t="shared" ref="L6:L11" si="5">甲类工</f>
        <v>64.7995634368888</v>
      </c>
      <c r="M6" s="73">
        <f t="shared" ref="M6:M11" si="6">N6*O6+P6*Q6+R6*S6+T6*U6+V6*W6</f>
        <v>276.48</v>
      </c>
      <c r="N6" s="77"/>
      <c r="O6" s="73"/>
      <c r="P6" s="77">
        <v>72</v>
      </c>
      <c r="Q6" s="73">
        <f t="shared" ref="Q6:Q11" si="7">柴油限价</f>
        <v>3.84</v>
      </c>
      <c r="R6" s="77"/>
      <c r="S6" s="73"/>
      <c r="T6" s="77"/>
      <c r="U6" s="77"/>
      <c r="V6" s="77"/>
      <c r="W6" s="77"/>
    </row>
    <row r="7" ht="21.6" customHeight="1" spans="1:23">
      <c r="A7" s="71">
        <v>1006</v>
      </c>
      <c r="B7" s="72" t="s">
        <v>721</v>
      </c>
      <c r="C7" s="73">
        <f t="shared" si="0"/>
        <v>762.192295694772</v>
      </c>
      <c r="D7" s="73">
        <f t="shared" si="1"/>
        <v>356.113168820995</v>
      </c>
      <c r="E7" s="73">
        <v>226.17</v>
      </c>
      <c r="F7" s="73">
        <f t="shared" si="2"/>
        <v>196.669565217391</v>
      </c>
      <c r="G7" s="73">
        <v>161.62</v>
      </c>
      <c r="H7" s="73">
        <f t="shared" si="3"/>
        <v>145.603603603604</v>
      </c>
      <c r="I7" s="73">
        <v>13.84</v>
      </c>
      <c r="J7" s="73">
        <f t="shared" si="4"/>
        <v>406.079126873778</v>
      </c>
      <c r="K7" s="73">
        <v>2</v>
      </c>
      <c r="L7" s="73">
        <f t="shared" si="5"/>
        <v>64.7995634368888</v>
      </c>
      <c r="M7" s="73">
        <f t="shared" si="6"/>
        <v>276.48</v>
      </c>
      <c r="N7" s="77"/>
      <c r="O7" s="73"/>
      <c r="P7" s="77">
        <v>72</v>
      </c>
      <c r="Q7" s="73">
        <f t="shared" si="7"/>
        <v>3.84</v>
      </c>
      <c r="R7" s="77"/>
      <c r="S7" s="73"/>
      <c r="T7" s="77"/>
      <c r="U7" s="77"/>
      <c r="V7" s="77"/>
      <c r="W7" s="77"/>
    </row>
    <row r="8" ht="21.6" customHeight="1" spans="1:23">
      <c r="A8" s="71">
        <v>1013</v>
      </c>
      <c r="B8" s="72" t="s">
        <v>722</v>
      </c>
      <c r="C8" s="73">
        <f t="shared" si="0"/>
        <v>365.641367375149</v>
      </c>
      <c r="D8" s="73">
        <f t="shared" si="1"/>
        <v>67.0822405013709</v>
      </c>
      <c r="E8" s="73">
        <v>33.52</v>
      </c>
      <c r="F8" s="73">
        <f t="shared" si="2"/>
        <v>29.1478260869565</v>
      </c>
      <c r="G8" s="73">
        <v>40.42</v>
      </c>
      <c r="H8" s="73">
        <f t="shared" si="3"/>
        <v>36.4144144144144</v>
      </c>
      <c r="I8" s="73">
        <v>1.52</v>
      </c>
      <c r="J8" s="73">
        <f t="shared" si="4"/>
        <v>298.559126873778</v>
      </c>
      <c r="K8" s="73">
        <v>2</v>
      </c>
      <c r="L8" s="73">
        <f t="shared" si="5"/>
        <v>64.7995634368888</v>
      </c>
      <c r="M8" s="73">
        <f t="shared" si="6"/>
        <v>168.96</v>
      </c>
      <c r="N8" s="77"/>
      <c r="O8" s="73"/>
      <c r="P8" s="77">
        <v>44</v>
      </c>
      <c r="Q8" s="73">
        <f t="shared" si="7"/>
        <v>3.84</v>
      </c>
      <c r="R8" s="77"/>
      <c r="S8" s="73"/>
      <c r="T8" s="77"/>
      <c r="U8" s="77"/>
      <c r="V8" s="77"/>
      <c r="W8" s="77"/>
    </row>
    <row r="9" ht="21.6" customHeight="1" spans="1:23">
      <c r="A9" s="71">
        <v>1014</v>
      </c>
      <c r="B9" s="72" t="s">
        <v>723</v>
      </c>
      <c r="C9" s="73">
        <f t="shared" si="0"/>
        <v>525.246185236488</v>
      </c>
      <c r="D9" s="73">
        <f t="shared" si="1"/>
        <v>184.447058362711</v>
      </c>
      <c r="E9" s="73">
        <v>92.39</v>
      </c>
      <c r="F9" s="73">
        <f t="shared" si="2"/>
        <v>80.3391304347826</v>
      </c>
      <c r="G9" s="73">
        <v>110.92</v>
      </c>
      <c r="H9" s="73">
        <f t="shared" si="3"/>
        <v>99.9279279279279</v>
      </c>
      <c r="I9" s="73">
        <v>4.18</v>
      </c>
      <c r="J9" s="73">
        <f t="shared" si="4"/>
        <v>340.799126873778</v>
      </c>
      <c r="K9" s="73">
        <v>2</v>
      </c>
      <c r="L9" s="73">
        <f t="shared" si="5"/>
        <v>64.7995634368888</v>
      </c>
      <c r="M9" s="73">
        <f t="shared" si="6"/>
        <v>211.2</v>
      </c>
      <c r="N9" s="77"/>
      <c r="O9" s="73"/>
      <c r="P9" s="77">
        <v>55</v>
      </c>
      <c r="Q9" s="73">
        <f t="shared" si="7"/>
        <v>3.84</v>
      </c>
      <c r="R9" s="77"/>
      <c r="S9" s="73"/>
      <c r="T9" s="77"/>
      <c r="U9" s="77"/>
      <c r="V9" s="77"/>
      <c r="W9" s="77"/>
    </row>
    <row r="10" ht="21.6" customHeight="1" spans="1:23">
      <c r="A10" s="71">
        <v>1029</v>
      </c>
      <c r="B10" s="72" t="s">
        <v>724</v>
      </c>
      <c r="C10" s="73">
        <f t="shared" si="0"/>
        <v>428.365699533394</v>
      </c>
      <c r="D10" s="73">
        <f t="shared" si="1"/>
        <v>87.5665726596161</v>
      </c>
      <c r="E10" s="73">
        <v>43.45</v>
      </c>
      <c r="F10" s="73">
        <f t="shared" si="2"/>
        <v>37.7826086956522</v>
      </c>
      <c r="G10" s="73">
        <v>52.13</v>
      </c>
      <c r="H10" s="73">
        <f t="shared" si="3"/>
        <v>46.963963963964</v>
      </c>
      <c r="I10" s="73">
        <v>2.82</v>
      </c>
      <c r="J10" s="73">
        <f t="shared" si="4"/>
        <v>340.799126873778</v>
      </c>
      <c r="K10" s="73">
        <v>2</v>
      </c>
      <c r="L10" s="73">
        <f t="shared" si="5"/>
        <v>64.7995634368888</v>
      </c>
      <c r="M10" s="73">
        <f t="shared" si="6"/>
        <v>211.2</v>
      </c>
      <c r="N10" s="77"/>
      <c r="O10" s="73"/>
      <c r="P10" s="77">
        <v>55</v>
      </c>
      <c r="Q10" s="73">
        <f t="shared" si="7"/>
        <v>3.84</v>
      </c>
      <c r="R10" s="77"/>
      <c r="S10" s="73"/>
      <c r="T10" s="77"/>
      <c r="U10" s="77"/>
      <c r="V10" s="77"/>
      <c r="W10" s="77"/>
    </row>
    <row r="11" ht="21.6" customHeight="1" spans="1:23">
      <c r="A11" s="71">
        <v>1022</v>
      </c>
      <c r="B11" s="72" t="s">
        <v>725</v>
      </c>
      <c r="C11" s="73">
        <f t="shared" si="0"/>
        <v>357.094399102528</v>
      </c>
      <c r="D11" s="73">
        <f t="shared" si="1"/>
        <v>62.3752722287505</v>
      </c>
      <c r="E11" s="73">
        <v>31.06</v>
      </c>
      <c r="F11" s="73">
        <f t="shared" si="2"/>
        <v>27.0086956521739</v>
      </c>
      <c r="G11" s="73">
        <v>37.27</v>
      </c>
      <c r="H11" s="73">
        <f t="shared" si="3"/>
        <v>33.5765765765766</v>
      </c>
      <c r="I11" s="73">
        <v>1.79</v>
      </c>
      <c r="J11" s="73">
        <f t="shared" si="4"/>
        <v>294.719126873778</v>
      </c>
      <c r="K11" s="73">
        <v>2</v>
      </c>
      <c r="L11" s="73">
        <f t="shared" si="5"/>
        <v>64.7995634368888</v>
      </c>
      <c r="M11" s="73">
        <f t="shared" si="6"/>
        <v>165.12</v>
      </c>
      <c r="N11" s="77"/>
      <c r="O11" s="73"/>
      <c r="P11" s="77">
        <v>43</v>
      </c>
      <c r="Q11" s="73">
        <f t="shared" si="7"/>
        <v>3.84</v>
      </c>
      <c r="R11" s="77"/>
      <c r="S11" s="73"/>
      <c r="T11" s="77"/>
      <c r="U11" s="77"/>
      <c r="V11" s="77"/>
      <c r="W11" s="77"/>
    </row>
    <row r="12" ht="31.2" customHeight="1" spans="1:23">
      <c r="A12" s="71">
        <v>4011</v>
      </c>
      <c r="B12" s="72" t="s">
        <v>726</v>
      </c>
      <c r="C12" s="73">
        <f t="shared" si="0"/>
        <v>323.284978321317</v>
      </c>
      <c r="D12" s="73">
        <f t="shared" ref="D12" si="8">F12+H12+I12</f>
        <v>87.3415589502546</v>
      </c>
      <c r="E12" s="73">
        <v>66.15</v>
      </c>
      <c r="F12" s="73">
        <f t="shared" si="2"/>
        <v>57.5217391304348</v>
      </c>
      <c r="G12" s="73">
        <v>33.1</v>
      </c>
      <c r="H12" s="73">
        <f t="shared" si="3"/>
        <v>29.8198198198198</v>
      </c>
      <c r="I12" s="73"/>
      <c r="J12" s="73">
        <f t="shared" ref="J12" si="9">K12*L12+M12</f>
        <v>235.943419371062</v>
      </c>
      <c r="K12" s="73">
        <v>1.33</v>
      </c>
      <c r="L12" s="73">
        <f t="shared" ref="L12:L13" si="10">甲类工</f>
        <v>64.7995634368888</v>
      </c>
      <c r="M12" s="73">
        <f t="shared" ref="M12" si="11">N12*O12+P12*Q12+R12*S12+T12*U12+V12*W12</f>
        <v>149.76</v>
      </c>
      <c r="N12" s="77"/>
      <c r="O12" s="73"/>
      <c r="P12" s="77">
        <v>39</v>
      </c>
      <c r="Q12" s="73">
        <f>柴油限价</f>
        <v>3.84</v>
      </c>
      <c r="R12" s="77"/>
      <c r="S12" s="73"/>
      <c r="T12" s="77"/>
      <c r="U12" s="77"/>
      <c r="V12" s="77"/>
      <c r="W12" s="77"/>
    </row>
    <row r="13" ht="31.2" customHeight="1" spans="1:23">
      <c r="A13" s="71">
        <v>4012</v>
      </c>
      <c r="B13" s="72" t="s">
        <v>727</v>
      </c>
      <c r="C13" s="73">
        <f t="shared" ref="C13" si="12">D13+J13</f>
        <v>492.4846889576</v>
      </c>
      <c r="D13" s="73">
        <f t="shared" ref="D13" si="13">F13+H13+I13</f>
        <v>182.405562083823</v>
      </c>
      <c r="E13" s="73">
        <v>129.37</v>
      </c>
      <c r="F13" s="73">
        <f t="shared" ref="F13" si="14">E13/1.15</f>
        <v>112.495652173913</v>
      </c>
      <c r="G13" s="73">
        <v>77.6</v>
      </c>
      <c r="H13" s="73">
        <f t="shared" ref="H13" si="15">G13/1.11</f>
        <v>69.9099099099099</v>
      </c>
      <c r="I13" s="73"/>
      <c r="J13" s="73">
        <f t="shared" ref="J13" si="16">K13*L13+M13</f>
        <v>310.079126873778</v>
      </c>
      <c r="K13" s="73">
        <v>2</v>
      </c>
      <c r="L13" s="73">
        <f t="shared" si="10"/>
        <v>64.7995634368888</v>
      </c>
      <c r="M13" s="73">
        <f t="shared" ref="M13" si="17">N13*O13+P13*Q13+R13*S13+T13*U13+V13*W13</f>
        <v>180.48</v>
      </c>
      <c r="N13" s="77"/>
      <c r="O13" s="73"/>
      <c r="P13" s="77">
        <v>47</v>
      </c>
      <c r="Q13" s="73">
        <f>柴油限价</f>
        <v>3.84</v>
      </c>
      <c r="R13" s="77"/>
      <c r="S13" s="73"/>
      <c r="T13" s="77"/>
      <c r="U13" s="77"/>
      <c r="V13" s="77"/>
      <c r="W13" s="77"/>
    </row>
    <row r="14" customHeight="1" spans="1:23">
      <c r="A14" s="74" t="s">
        <v>728</v>
      </c>
      <c r="B14" s="74"/>
      <c r="C14" s="74"/>
      <c r="D14" s="74"/>
      <c r="E14" s="74"/>
      <c r="F14" s="74"/>
      <c r="G14" s="74"/>
      <c r="H14" s="74"/>
      <c r="I14" s="74"/>
      <c r="J14" s="74"/>
      <c r="K14" s="74"/>
      <c r="L14" s="74"/>
      <c r="M14" s="74"/>
      <c r="N14" s="74"/>
      <c r="O14" s="74"/>
      <c r="P14" s="74"/>
      <c r="Q14" s="74"/>
      <c r="R14" s="74"/>
      <c r="S14" s="74"/>
      <c r="T14" s="74"/>
      <c r="U14" s="74"/>
      <c r="V14" s="74"/>
      <c r="W14" s="74"/>
    </row>
  </sheetData>
  <mergeCells count="17">
    <mergeCell ref="A1:B1"/>
    <mergeCell ref="C1:W1"/>
    <mergeCell ref="D3:I3"/>
    <mergeCell ref="J3:W3"/>
    <mergeCell ref="K4:L4"/>
    <mergeCell ref="N4:O4"/>
    <mergeCell ref="P4:Q4"/>
    <mergeCell ref="R4:S4"/>
    <mergeCell ref="T4:U4"/>
    <mergeCell ref="V4:W4"/>
    <mergeCell ref="A14:W14"/>
    <mergeCell ref="A3:A5"/>
    <mergeCell ref="B3:B5"/>
    <mergeCell ref="C3:C5"/>
    <mergeCell ref="D4:D5"/>
    <mergeCell ref="J4:J5"/>
    <mergeCell ref="M4:M5"/>
  </mergeCells>
  <printOptions horizontalCentered="1"/>
  <pageMargins left="0.78740157480315" right="0.78740157480315" top="0.748031496062992" bottom="0.748031496062992" header="0.31496062992126" footer="0.31496062992126"/>
  <pageSetup paperSize="9"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16"/>
  <sheetViews>
    <sheetView view="pageBreakPreview" zoomScaleNormal="100" workbookViewId="0">
      <selection activeCell="E14" sqref="E14"/>
    </sheetView>
  </sheetViews>
  <sheetFormatPr defaultColWidth="8.6" defaultRowHeight="12.75"/>
  <cols>
    <col min="1" max="1" width="9.5" style="40" customWidth="1"/>
    <col min="2" max="2" width="10.6" style="40" customWidth="1"/>
    <col min="3" max="3" width="13.9" style="40" customWidth="1"/>
    <col min="4" max="4" width="7.9" style="40" customWidth="1"/>
    <col min="5" max="5" width="7.7" style="41" customWidth="1"/>
    <col min="6" max="6" width="10.9" style="41" customWidth="1"/>
    <col min="7" max="7" width="8.1" style="41" customWidth="1"/>
    <col min="8" max="8" width="8.6" style="41" customWidth="1"/>
    <col min="9" max="9" width="7.7" style="41" customWidth="1"/>
    <col min="10" max="10" width="9.6" style="42" customWidth="1"/>
    <col min="11" max="11" width="7.2" style="41" customWidth="1"/>
    <col min="12" max="12" width="8.2" style="41" customWidth="1"/>
    <col min="13" max="13" width="10.5" style="41" customWidth="1"/>
    <col min="14" max="14" width="5" style="40" customWidth="1"/>
    <col min="15" max="15" width="6.9" style="40" customWidth="1"/>
    <col min="16" max="16" width="5.1" style="40" customWidth="1"/>
    <col min="17" max="30" width="9" style="40" customWidth="1"/>
    <col min="31" max="16384" width="8.6" style="40"/>
  </cols>
  <sheetData>
    <row r="1" s="37" customFormat="1" ht="45.75" customHeight="1" spans="1:13">
      <c r="A1" s="43" t="s">
        <v>729</v>
      </c>
      <c r="B1" s="44" t="s">
        <v>730</v>
      </c>
      <c r="C1" s="44"/>
      <c r="D1" s="44"/>
      <c r="E1" s="44"/>
      <c r="F1" s="44"/>
      <c r="G1" s="44"/>
      <c r="H1" s="44"/>
      <c r="I1" s="44"/>
      <c r="J1" s="44"/>
      <c r="K1" s="44"/>
      <c r="L1" s="44"/>
      <c r="M1" s="44"/>
    </row>
    <row r="2" s="38" customFormat="1" ht="10.95" customHeight="1" spans="1:13">
      <c r="A2" s="45"/>
      <c r="B2" s="45"/>
      <c r="C2" s="45"/>
      <c r="D2" s="45"/>
      <c r="E2" s="46"/>
      <c r="F2" s="46"/>
      <c r="G2" s="46"/>
      <c r="H2" s="46"/>
      <c r="I2" s="46"/>
      <c r="J2" s="55"/>
      <c r="K2" s="46"/>
      <c r="M2" s="46"/>
    </row>
    <row r="3" s="39" customFormat="1" ht="24" customHeight="1" spans="1:13">
      <c r="A3" s="47" t="s">
        <v>731</v>
      </c>
      <c r="B3" s="47" t="s">
        <v>732</v>
      </c>
      <c r="C3" s="47" t="s">
        <v>733</v>
      </c>
      <c r="D3" s="47" t="s">
        <v>734</v>
      </c>
      <c r="E3" s="48" t="s">
        <v>735</v>
      </c>
      <c r="F3" s="49">
        <f>水泥限价</f>
        <v>255</v>
      </c>
      <c r="G3" s="48" t="s">
        <v>736</v>
      </c>
      <c r="H3" s="49">
        <f>粗砂限价</f>
        <v>50</v>
      </c>
      <c r="I3" s="48" t="s">
        <v>737</v>
      </c>
      <c r="J3" s="49">
        <f>碎石限价</f>
        <v>50</v>
      </c>
      <c r="K3" s="48" t="s">
        <v>738</v>
      </c>
      <c r="L3" s="49">
        <f>水</f>
        <v>3.7</v>
      </c>
      <c r="M3" s="56" t="s">
        <v>739</v>
      </c>
    </row>
    <row r="4" s="39" customFormat="1" ht="28.95" customHeight="1" spans="1:13">
      <c r="A4" s="47"/>
      <c r="B4" s="47"/>
      <c r="C4" s="47"/>
      <c r="D4" s="47"/>
      <c r="E4" s="48" t="s">
        <v>740</v>
      </c>
      <c r="F4" s="48" t="s">
        <v>627</v>
      </c>
      <c r="G4" s="48" t="s">
        <v>741</v>
      </c>
      <c r="H4" s="48" t="s">
        <v>627</v>
      </c>
      <c r="I4" s="48" t="s">
        <v>741</v>
      </c>
      <c r="J4" s="48" t="s">
        <v>627</v>
      </c>
      <c r="K4" s="48" t="s">
        <v>741</v>
      </c>
      <c r="L4" s="48" t="s">
        <v>627</v>
      </c>
      <c r="M4" s="57"/>
    </row>
    <row r="5" s="39" customFormat="1" ht="24" customHeight="1" spans="1:13">
      <c r="A5" s="50">
        <v>1</v>
      </c>
      <c r="B5" s="50" t="s">
        <v>742</v>
      </c>
      <c r="C5" s="50" t="s">
        <v>743</v>
      </c>
      <c r="D5" s="50">
        <v>2</v>
      </c>
      <c r="E5" s="51">
        <f>0.208*1.1*1.07</f>
        <v>0.244816</v>
      </c>
      <c r="F5" s="52">
        <f>E5*$F$3</f>
        <v>62.42808</v>
      </c>
      <c r="G5" s="53">
        <f>0.55*1.1*0.98</f>
        <v>0.5929</v>
      </c>
      <c r="H5" s="53">
        <f>$H$3*G5</f>
        <v>29.645</v>
      </c>
      <c r="I5" s="53">
        <f>0.79*1.06*0.98</f>
        <v>0.820652</v>
      </c>
      <c r="J5" s="53">
        <f>$J$3*I5</f>
        <v>41.0326</v>
      </c>
      <c r="K5" s="53">
        <f>0.15*1.07</f>
        <v>0.1605</v>
      </c>
      <c r="L5" s="53">
        <f>$L$3*K5</f>
        <v>0.59385</v>
      </c>
      <c r="M5" s="53">
        <f>L5+J5+H5+F5</f>
        <v>133.69953</v>
      </c>
    </row>
    <row r="6" s="39" customFormat="1" ht="24" customHeight="1" spans="1:13">
      <c r="A6" s="50">
        <v>2</v>
      </c>
      <c r="B6" s="50" t="s">
        <v>744</v>
      </c>
      <c r="C6" s="50" t="s">
        <v>743</v>
      </c>
      <c r="D6" s="50">
        <v>2</v>
      </c>
      <c r="E6" s="51">
        <f>0.242*1.1*1.07</f>
        <v>0.284834</v>
      </c>
      <c r="F6" s="52">
        <f t="shared" ref="F6:F11" si="0">E6*$F$3</f>
        <v>72.63267</v>
      </c>
      <c r="G6" s="53">
        <f>0.52*1.1*0.98</f>
        <v>0.56056</v>
      </c>
      <c r="H6" s="53">
        <f t="shared" ref="H6:H11" si="1">$H$3*G6</f>
        <v>28.028</v>
      </c>
      <c r="I6" s="53">
        <f>0.81*1.06*0.98</f>
        <v>0.841428</v>
      </c>
      <c r="J6" s="53">
        <f>$J$3*I6</f>
        <v>42.0714</v>
      </c>
      <c r="K6" s="53">
        <f>0.15*1.07</f>
        <v>0.1605</v>
      </c>
      <c r="L6" s="53">
        <f t="shared" ref="L6:L11" si="2">$L$3*K6</f>
        <v>0.59385</v>
      </c>
      <c r="M6" s="53">
        <f t="shared" ref="M6:M11" si="3">L6+J6+H6+F6</f>
        <v>143.32592</v>
      </c>
    </row>
    <row r="7" s="39" customFormat="1" ht="24" customHeight="1" spans="1:13">
      <c r="A7" s="50">
        <v>3</v>
      </c>
      <c r="B7" s="50" t="s">
        <v>745</v>
      </c>
      <c r="C7" s="50" t="s">
        <v>746</v>
      </c>
      <c r="D7" s="50">
        <v>2</v>
      </c>
      <c r="E7" s="51">
        <f>0.261*1.1*1.07</f>
        <v>0.307197</v>
      </c>
      <c r="F7" s="52">
        <f t="shared" si="0"/>
        <v>78.335235</v>
      </c>
      <c r="G7" s="54">
        <f>0.51*1.1*0.98</f>
        <v>0.54978</v>
      </c>
      <c r="H7" s="53">
        <f t="shared" si="1"/>
        <v>27.489</v>
      </c>
      <c r="I7" s="53">
        <f>0.81*1.06*0.98</f>
        <v>0.841428</v>
      </c>
      <c r="J7" s="53">
        <f>$J$3*I7</f>
        <v>42.0714</v>
      </c>
      <c r="K7" s="53">
        <f>0.15*1.07</f>
        <v>0.1605</v>
      </c>
      <c r="L7" s="53">
        <f t="shared" si="2"/>
        <v>0.59385</v>
      </c>
      <c r="M7" s="53">
        <f t="shared" si="3"/>
        <v>148.489485</v>
      </c>
    </row>
    <row r="8" s="39" customFormat="1" ht="24" customHeight="1" spans="1:13">
      <c r="A8" s="50">
        <v>4</v>
      </c>
      <c r="B8" s="50" t="s">
        <v>747</v>
      </c>
      <c r="C8" s="50" t="s">
        <v>746</v>
      </c>
      <c r="D8" s="50">
        <v>2</v>
      </c>
      <c r="E8" s="51">
        <f>0.289*1.1*1.07</f>
        <v>0.340153</v>
      </c>
      <c r="F8" s="52">
        <f t="shared" si="0"/>
        <v>86.739015</v>
      </c>
      <c r="G8" s="53">
        <f>0.49*1.1*0.98</f>
        <v>0.52822</v>
      </c>
      <c r="H8" s="53">
        <f t="shared" si="1"/>
        <v>26.411</v>
      </c>
      <c r="I8" s="53">
        <f>0.81*1.06*0.98</f>
        <v>0.841428</v>
      </c>
      <c r="J8" s="53">
        <f>$J$3*I8</f>
        <v>42.0714</v>
      </c>
      <c r="K8" s="53">
        <f>0.15*1.07</f>
        <v>0.1605</v>
      </c>
      <c r="L8" s="53">
        <f t="shared" si="2"/>
        <v>0.59385</v>
      </c>
      <c r="M8" s="53">
        <f t="shared" si="3"/>
        <v>155.815265</v>
      </c>
    </row>
    <row r="9" s="39" customFormat="1" ht="24" customHeight="1" spans="1:13">
      <c r="A9" s="50">
        <v>5</v>
      </c>
      <c r="B9" s="50" t="s">
        <v>748</v>
      </c>
      <c r="C9" s="50" t="s">
        <v>743</v>
      </c>
      <c r="D9" s="50">
        <v>2</v>
      </c>
      <c r="E9" s="51">
        <f>0.211</f>
        <v>0.211</v>
      </c>
      <c r="F9" s="52">
        <f t="shared" si="0"/>
        <v>53.805</v>
      </c>
      <c r="G9" s="53">
        <f>1.13</f>
        <v>1.13</v>
      </c>
      <c r="H9" s="53">
        <f t="shared" si="1"/>
        <v>56.5</v>
      </c>
      <c r="I9" s="50"/>
      <c r="J9" s="50"/>
      <c r="K9" s="51">
        <v>0.127</v>
      </c>
      <c r="L9" s="53">
        <f t="shared" si="2"/>
        <v>0.4699</v>
      </c>
      <c r="M9" s="53">
        <f t="shared" si="3"/>
        <v>110.7749</v>
      </c>
    </row>
    <row r="10" s="39" customFormat="1" ht="24" customHeight="1" spans="1:13">
      <c r="A10" s="50">
        <v>6</v>
      </c>
      <c r="B10" s="50" t="s">
        <v>749</v>
      </c>
      <c r="C10" s="50" t="s">
        <v>743</v>
      </c>
      <c r="D10" s="50">
        <v>2</v>
      </c>
      <c r="E10" s="51">
        <f>0.261</f>
        <v>0.261</v>
      </c>
      <c r="F10" s="52">
        <f t="shared" si="0"/>
        <v>66.555</v>
      </c>
      <c r="G10" s="53">
        <f>1.11</f>
        <v>1.11</v>
      </c>
      <c r="H10" s="53">
        <f t="shared" si="1"/>
        <v>55.5</v>
      </c>
      <c r="I10" s="50"/>
      <c r="J10" s="50"/>
      <c r="K10" s="51">
        <v>0.157</v>
      </c>
      <c r="L10" s="53">
        <f t="shared" si="2"/>
        <v>0.5809</v>
      </c>
      <c r="M10" s="53">
        <f t="shared" si="3"/>
        <v>122.6359</v>
      </c>
    </row>
    <row r="11" s="39" customFormat="1" ht="24" customHeight="1" spans="1:13">
      <c r="A11" s="50">
        <v>7</v>
      </c>
      <c r="B11" s="50" t="s">
        <v>750</v>
      </c>
      <c r="C11" s="50" t="s">
        <v>743</v>
      </c>
      <c r="D11" s="50">
        <v>2</v>
      </c>
      <c r="E11" s="51">
        <f>0.305</f>
        <v>0.305</v>
      </c>
      <c r="F11" s="52">
        <f t="shared" si="0"/>
        <v>77.775</v>
      </c>
      <c r="G11" s="53">
        <f>1.1</f>
        <v>1.1</v>
      </c>
      <c r="H11" s="53">
        <f t="shared" si="1"/>
        <v>55</v>
      </c>
      <c r="I11" s="50"/>
      <c r="J11" s="50"/>
      <c r="K11" s="51">
        <v>0.183</v>
      </c>
      <c r="L11" s="53">
        <f t="shared" si="2"/>
        <v>0.6771</v>
      </c>
      <c r="M11" s="53">
        <f t="shared" si="3"/>
        <v>133.4521</v>
      </c>
    </row>
    <row r="14" ht="15.75" spans="4:4">
      <c r="D14" s="38"/>
    </row>
    <row r="16" spans="10:10">
      <c r="J16" s="42" t="s">
        <v>751</v>
      </c>
    </row>
  </sheetData>
  <mergeCells count="6">
    <mergeCell ref="B1:M1"/>
    <mergeCell ref="A3:A4"/>
    <mergeCell ref="B3:B4"/>
    <mergeCell ref="C3:C4"/>
    <mergeCell ref="D3:D4"/>
    <mergeCell ref="M3:M4"/>
  </mergeCells>
  <printOptions horizontalCentered="1"/>
  <pageMargins left="0.78740157480315" right="0.78740157480315" top="0.748031496062992" bottom="0.748031496062992" header="0.31496062992126" footer="0.3149606299212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84"/>
  <sheetViews>
    <sheetView view="pageBreakPreview" zoomScaleNormal="100" workbookViewId="0">
      <pane xSplit="6" ySplit="1" topLeftCell="G80" activePane="bottomRight" state="frozen"/>
      <selection/>
      <selection pane="topRight"/>
      <selection pane="bottomLeft"/>
      <selection pane="bottomRight" activeCell="A85" sqref="$A85:$XFD107"/>
    </sheetView>
  </sheetViews>
  <sheetFormatPr defaultColWidth="8.6" defaultRowHeight="22.5" customHeight="1" outlineLevelCol="5"/>
  <cols>
    <col min="1" max="1" width="9.9" style="16" customWidth="1"/>
    <col min="2" max="2" width="26.1" style="17" customWidth="1"/>
    <col min="3" max="3" width="10.4" style="18" customWidth="1"/>
    <col min="4" max="4" width="11.6" style="18" customWidth="1"/>
    <col min="5" max="5" width="12.6" style="18" customWidth="1"/>
    <col min="6" max="6" width="13.7" style="18" customWidth="1"/>
    <col min="7" max="8" width="8.6" style="18"/>
    <col min="9" max="9" width="9.5" style="18" customWidth="1"/>
    <col min="10" max="16384" width="8.6" style="18"/>
  </cols>
  <sheetData>
    <row r="1" s="13" customFormat="1" ht="27" customHeight="1" spans="1:6">
      <c r="A1" s="19" t="s">
        <v>752</v>
      </c>
      <c r="B1" s="20" t="s">
        <v>753</v>
      </c>
      <c r="C1" s="20"/>
      <c r="D1" s="20"/>
      <c r="E1" s="20"/>
      <c r="F1" s="20"/>
    </row>
    <row r="2" s="14" customFormat="1" customHeight="1" spans="1:6">
      <c r="A2" s="21" t="s">
        <v>754</v>
      </c>
      <c r="B2" s="21"/>
      <c r="C2" s="21"/>
      <c r="D2" s="21"/>
      <c r="E2" s="21"/>
      <c r="F2" s="21"/>
    </row>
    <row r="3" s="15" customFormat="1" customHeight="1" spans="1:6">
      <c r="A3" s="22" t="s">
        <v>755</v>
      </c>
      <c r="B3" s="23"/>
      <c r="C3" s="24"/>
      <c r="D3" s="24"/>
      <c r="E3" s="24"/>
      <c r="F3" s="24" t="s">
        <v>756</v>
      </c>
    </row>
    <row r="4" customHeight="1" spans="1:6">
      <c r="A4" s="25" t="s">
        <v>757</v>
      </c>
      <c r="B4" s="26" t="s">
        <v>758</v>
      </c>
      <c r="C4" s="26" t="s">
        <v>71</v>
      </c>
      <c r="D4" s="26" t="s">
        <v>759</v>
      </c>
      <c r="E4" s="26" t="s">
        <v>760</v>
      </c>
      <c r="F4" s="26" t="s">
        <v>761</v>
      </c>
    </row>
    <row r="5" customHeight="1" spans="1:6">
      <c r="A5" s="326" t="s">
        <v>38</v>
      </c>
      <c r="B5" s="26" t="s">
        <v>344</v>
      </c>
      <c r="C5" s="26" t="s">
        <v>559</v>
      </c>
      <c r="D5" s="26" t="s">
        <v>559</v>
      </c>
      <c r="E5" s="26" t="s">
        <v>559</v>
      </c>
      <c r="F5" s="26">
        <f>SUM(F6:F8)</f>
        <v>50.4249274795427</v>
      </c>
    </row>
    <row r="6" customHeight="1" spans="1:6">
      <c r="A6" s="327" t="s">
        <v>471</v>
      </c>
      <c r="B6" s="28" t="s">
        <v>762</v>
      </c>
      <c r="C6" s="28" t="s">
        <v>763</v>
      </c>
      <c r="D6" s="28">
        <v>0.1</v>
      </c>
      <c r="E6" s="28">
        <f>甲类工</f>
        <v>64.7995634368888</v>
      </c>
      <c r="F6" s="28">
        <f>D6*E6</f>
        <v>6.47995634368888</v>
      </c>
    </row>
    <row r="7" customHeight="1" spans="1:6">
      <c r="A7" s="327" t="s">
        <v>478</v>
      </c>
      <c r="B7" s="28" t="s">
        <v>764</v>
      </c>
      <c r="C7" s="28" t="s">
        <v>763</v>
      </c>
      <c r="D7" s="28">
        <v>0.9</v>
      </c>
      <c r="E7" s="28">
        <f>乙类工</f>
        <v>46.159760125576</v>
      </c>
      <c r="F7" s="28">
        <f>D7*E7</f>
        <v>41.5437841130184</v>
      </c>
    </row>
    <row r="8" customHeight="1" spans="1:6">
      <c r="A8" s="327" t="s">
        <v>480</v>
      </c>
      <c r="B8" s="28" t="s">
        <v>765</v>
      </c>
      <c r="C8" s="28" t="s">
        <v>766</v>
      </c>
      <c r="D8" s="28">
        <v>5</v>
      </c>
      <c r="E8" s="28">
        <f>F6+F7</f>
        <v>48.0237404567073</v>
      </c>
      <c r="F8" s="28">
        <f>E8*D8%</f>
        <v>2.40118702283536</v>
      </c>
    </row>
    <row r="9" customHeight="1" spans="1:6">
      <c r="A9" s="326" t="s">
        <v>40</v>
      </c>
      <c r="B9" s="26" t="s">
        <v>767</v>
      </c>
      <c r="C9" s="26" t="s">
        <v>559</v>
      </c>
      <c r="D9" s="26" t="s">
        <v>559</v>
      </c>
      <c r="E9" s="26" t="s">
        <v>559</v>
      </c>
      <c r="F9" s="26">
        <f>SUM(F10:F13)</f>
        <v>539.066614289047</v>
      </c>
    </row>
    <row r="10" customHeight="1" spans="1:6">
      <c r="A10" s="327" t="s">
        <v>471</v>
      </c>
      <c r="B10" s="28" t="s">
        <v>768</v>
      </c>
      <c r="C10" s="28" t="s">
        <v>769</v>
      </c>
      <c r="D10" s="28">
        <v>0.153</v>
      </c>
      <c r="E10" s="28">
        <f>油动1</f>
        <v>705.491688565904</v>
      </c>
      <c r="F10" s="28">
        <f>D10*E10</f>
        <v>107.940228350583</v>
      </c>
    </row>
    <row r="11" customHeight="1" spans="1:6">
      <c r="A11" s="327" t="s">
        <v>478</v>
      </c>
      <c r="B11" s="28" t="s">
        <v>770</v>
      </c>
      <c r="C11" s="28" t="s">
        <v>769</v>
      </c>
      <c r="D11" s="28">
        <v>0.154</v>
      </c>
      <c r="E11" s="28">
        <f>推土机59</f>
        <v>365.641367375149</v>
      </c>
      <c r="F11" s="28">
        <f>D11*E11</f>
        <v>56.3087705757729</v>
      </c>
    </row>
    <row r="12" customHeight="1" spans="1:6">
      <c r="A12" s="327" t="s">
        <v>480</v>
      </c>
      <c r="B12" s="28" t="s">
        <v>771</v>
      </c>
      <c r="C12" s="28" t="s">
        <v>769</v>
      </c>
      <c r="D12" s="28">
        <v>1.08</v>
      </c>
      <c r="E12" s="28">
        <f>自卸汽车5</f>
        <v>323.284978321317</v>
      </c>
      <c r="F12" s="28">
        <f>D12*E12</f>
        <v>349.147776587022</v>
      </c>
    </row>
    <row r="13" customHeight="1" spans="1:6">
      <c r="A13" s="327" t="s">
        <v>482</v>
      </c>
      <c r="B13" s="28" t="s">
        <v>765</v>
      </c>
      <c r="C13" s="28" t="s">
        <v>168</v>
      </c>
      <c r="D13" s="28">
        <v>5</v>
      </c>
      <c r="E13" s="28">
        <f>SUM(F10,F11,F12)</f>
        <v>513.396775513378</v>
      </c>
      <c r="F13" s="28">
        <f>E13*D13/100</f>
        <v>25.6698387756689</v>
      </c>
    </row>
    <row r="14" customHeight="1" spans="1:6">
      <c r="A14" s="25" t="s">
        <v>772</v>
      </c>
      <c r="B14" s="26" t="s">
        <v>347</v>
      </c>
      <c r="C14" s="29"/>
      <c r="D14" s="29"/>
      <c r="E14" s="26"/>
      <c r="F14" s="30">
        <f>F5+F9</f>
        <v>589.49154176859</v>
      </c>
    </row>
    <row r="15" customHeight="1" spans="1:6">
      <c r="A15" s="25" t="s">
        <v>773</v>
      </c>
      <c r="B15" s="26" t="s">
        <v>348</v>
      </c>
      <c r="C15" s="26" t="s">
        <v>168</v>
      </c>
      <c r="D15" s="26">
        <f>土措</f>
        <v>3.6</v>
      </c>
      <c r="E15" s="26"/>
      <c r="F15" s="26">
        <f>F14*D15/100</f>
        <v>21.2216955036692</v>
      </c>
    </row>
    <row r="16" customHeight="1" spans="1:6">
      <c r="A16" s="25" t="s">
        <v>10</v>
      </c>
      <c r="B16" s="26" t="s">
        <v>774</v>
      </c>
      <c r="C16" s="26"/>
      <c r="D16" s="26"/>
      <c r="E16" s="26"/>
      <c r="F16" s="26">
        <f>F15+F14</f>
        <v>610.713237272259</v>
      </c>
    </row>
    <row r="17" customHeight="1" spans="1:6">
      <c r="A17" s="25" t="s">
        <v>11</v>
      </c>
      <c r="B17" s="26" t="s">
        <v>339</v>
      </c>
      <c r="C17" s="26" t="s">
        <v>168</v>
      </c>
      <c r="D17" s="26">
        <f>土间</f>
        <v>5</v>
      </c>
      <c r="E17" s="26"/>
      <c r="F17" s="26">
        <f>F16*D17/100</f>
        <v>30.535661863613</v>
      </c>
    </row>
    <row r="18" customHeight="1" spans="1:6">
      <c r="A18" s="25" t="s">
        <v>12</v>
      </c>
      <c r="B18" s="26" t="s">
        <v>340</v>
      </c>
      <c r="C18" s="26" t="s">
        <v>168</v>
      </c>
      <c r="D18" s="26">
        <f>利润</f>
        <v>3</v>
      </c>
      <c r="E18" s="26"/>
      <c r="F18" s="26">
        <f>D18*(F16+F17)/100</f>
        <v>19.2374669740762</v>
      </c>
    </row>
    <row r="19" customHeight="1" spans="1:6">
      <c r="A19" s="25" t="s">
        <v>13</v>
      </c>
      <c r="B19" s="26" t="s">
        <v>341</v>
      </c>
      <c r="C19" s="26"/>
      <c r="D19" s="26"/>
      <c r="E19" s="26"/>
      <c r="F19" s="26">
        <f>F20</f>
        <v>259.41896</v>
      </c>
    </row>
    <row r="20" customHeight="1" spans="1:6">
      <c r="A20" s="326" t="s">
        <v>38</v>
      </c>
      <c r="B20" s="28" t="s">
        <v>775</v>
      </c>
      <c r="C20" s="28" t="s">
        <v>608</v>
      </c>
      <c r="D20" s="28">
        <f>D10*附表4!$P$6+附表6!D11*附表4!$P$8+附表6!D12*附表4!$P$12</f>
        <v>59.912</v>
      </c>
      <c r="E20" s="28">
        <f>柴油-柴油限价</f>
        <v>4.33</v>
      </c>
      <c r="F20" s="28">
        <f>D20*E20</f>
        <v>259.41896</v>
      </c>
    </row>
    <row r="21" customHeight="1" spans="1:6">
      <c r="A21" s="25" t="s">
        <v>776</v>
      </c>
      <c r="B21" s="26" t="s">
        <v>343</v>
      </c>
      <c r="C21" s="26" t="s">
        <v>168</v>
      </c>
      <c r="D21" s="26">
        <f>税金</f>
        <v>9</v>
      </c>
      <c r="E21" s="26"/>
      <c r="F21" s="26">
        <f>(F16+F17+F18+F19)*D21/100</f>
        <v>82.7914793498954</v>
      </c>
    </row>
    <row r="22" customHeight="1" spans="1:6">
      <c r="A22" s="25" t="s">
        <v>75</v>
      </c>
      <c r="B22" s="26" t="s">
        <v>559</v>
      </c>
      <c r="C22" s="26" t="s">
        <v>559</v>
      </c>
      <c r="D22" s="26" t="s">
        <v>559</v>
      </c>
      <c r="E22" s="26" t="s">
        <v>559</v>
      </c>
      <c r="F22" s="26">
        <f>SUM(F16,F17,F18,F19,F21)</f>
        <v>1002.69680545984</v>
      </c>
    </row>
    <row r="23" s="14" customFormat="1" customHeight="1" spans="1:6">
      <c r="A23" s="31"/>
      <c r="B23" s="32"/>
      <c r="C23" s="32"/>
      <c r="D23" s="32"/>
      <c r="E23" s="32"/>
      <c r="F23" s="32"/>
    </row>
    <row r="24" s="14" customFormat="1" customHeight="1" spans="1:6">
      <c r="A24" s="21" t="s">
        <v>777</v>
      </c>
      <c r="B24" s="21"/>
      <c r="C24" s="21"/>
      <c r="D24" s="21"/>
      <c r="E24" s="21"/>
      <c r="F24" s="21"/>
    </row>
    <row r="25" s="15" customFormat="1" customHeight="1" spans="1:6">
      <c r="A25" s="23" t="s">
        <v>778</v>
      </c>
      <c r="B25" s="23"/>
      <c r="C25" s="24"/>
      <c r="D25" s="24"/>
      <c r="E25" s="24"/>
      <c r="F25" s="24" t="s">
        <v>756</v>
      </c>
    </row>
    <row r="26" customHeight="1" spans="1:6">
      <c r="A26" s="25" t="s">
        <v>757</v>
      </c>
      <c r="B26" s="26" t="s">
        <v>758</v>
      </c>
      <c r="C26" s="26" t="s">
        <v>71</v>
      </c>
      <c r="D26" s="26" t="s">
        <v>759</v>
      </c>
      <c r="E26" s="26" t="s">
        <v>760</v>
      </c>
      <c r="F26" s="26" t="s">
        <v>761</v>
      </c>
    </row>
    <row r="27" customHeight="1" spans="1:6">
      <c r="A27" s="326" t="s">
        <v>38</v>
      </c>
      <c r="B27" s="26" t="s">
        <v>344</v>
      </c>
      <c r="C27" s="26" t="s">
        <v>559</v>
      </c>
      <c r="D27" s="26" t="s">
        <v>559</v>
      </c>
      <c r="E27" s="26" t="s">
        <v>559</v>
      </c>
      <c r="F27" s="26">
        <f>SUM(F28:F30)</f>
        <v>49.9446900749756</v>
      </c>
    </row>
    <row r="28" customHeight="1" spans="1:6">
      <c r="A28" s="327" t="s">
        <v>471</v>
      </c>
      <c r="B28" s="28" t="s">
        <v>762</v>
      </c>
      <c r="C28" s="28" t="s">
        <v>763</v>
      </c>
      <c r="D28" s="28">
        <v>0.1</v>
      </c>
      <c r="E28" s="28">
        <f>甲类工</f>
        <v>64.7995634368888</v>
      </c>
      <c r="F28" s="28">
        <f>D28*E28</f>
        <v>6.47995634368888</v>
      </c>
    </row>
    <row r="29" customHeight="1" spans="1:6">
      <c r="A29" s="327" t="s">
        <v>478</v>
      </c>
      <c r="B29" s="28" t="s">
        <v>764</v>
      </c>
      <c r="C29" s="28" t="s">
        <v>763</v>
      </c>
      <c r="D29" s="28">
        <v>0.9</v>
      </c>
      <c r="E29" s="28">
        <f>乙类工</f>
        <v>46.159760125576</v>
      </c>
      <c r="F29" s="28">
        <f>D29*E29</f>
        <v>41.5437841130184</v>
      </c>
    </row>
    <row r="30" customHeight="1" spans="1:6">
      <c r="A30" s="327" t="s">
        <v>480</v>
      </c>
      <c r="B30" s="28" t="s">
        <v>765</v>
      </c>
      <c r="C30" s="28" t="s">
        <v>766</v>
      </c>
      <c r="D30" s="28">
        <v>4</v>
      </c>
      <c r="E30" s="28">
        <f>F28+F29</f>
        <v>48.0237404567073</v>
      </c>
      <c r="F30" s="28">
        <f>E30*D30%</f>
        <v>1.92094961826829</v>
      </c>
    </row>
    <row r="31" customHeight="1" spans="1:6">
      <c r="A31" s="326" t="s">
        <v>40</v>
      </c>
      <c r="B31" s="26" t="s">
        <v>767</v>
      </c>
      <c r="C31" s="26" t="s">
        <v>559</v>
      </c>
      <c r="D31" s="26" t="s">
        <v>559</v>
      </c>
      <c r="E31" s="26" t="s">
        <v>559</v>
      </c>
      <c r="F31" s="26">
        <f>SUM(F32:F35)</f>
        <v>953.231198348208</v>
      </c>
    </row>
    <row r="32" customHeight="1" spans="1:6">
      <c r="A32" s="327" t="s">
        <v>471</v>
      </c>
      <c r="B32" s="28" t="s">
        <v>768</v>
      </c>
      <c r="C32" s="28" t="s">
        <v>769</v>
      </c>
      <c r="D32" s="28">
        <v>0.22</v>
      </c>
      <c r="E32" s="28">
        <f>油动1</f>
        <v>705.491688565904</v>
      </c>
      <c r="F32" s="28">
        <f>D32*E32</f>
        <v>155.208171484499</v>
      </c>
    </row>
    <row r="33" customHeight="1" spans="1:6">
      <c r="A33" s="327" t="s">
        <v>478</v>
      </c>
      <c r="B33" s="28" t="s">
        <v>770</v>
      </c>
      <c r="C33" s="28" t="s">
        <v>769</v>
      </c>
      <c r="D33" s="28">
        <v>0.16</v>
      </c>
      <c r="E33" s="28">
        <f>推土机59</f>
        <v>365.641367375149</v>
      </c>
      <c r="F33" s="28">
        <f>D33*E33</f>
        <v>58.5026187800238</v>
      </c>
    </row>
    <row r="34" customHeight="1" spans="1:6">
      <c r="A34" s="327" t="s">
        <v>480</v>
      </c>
      <c r="B34" s="28" t="s">
        <v>771</v>
      </c>
      <c r="C34" s="28" t="s">
        <v>769</v>
      </c>
      <c r="D34" s="28">
        <v>2.21</v>
      </c>
      <c r="E34" s="28">
        <f>自卸汽车5</f>
        <v>323.284978321317</v>
      </c>
      <c r="F34" s="28">
        <f>D34*E34</f>
        <v>714.45980209011</v>
      </c>
    </row>
    <row r="35" customHeight="1" spans="1:6">
      <c r="A35" s="327" t="s">
        <v>482</v>
      </c>
      <c r="B35" s="28" t="s">
        <v>765</v>
      </c>
      <c r="C35" s="28" t="s">
        <v>168</v>
      </c>
      <c r="D35" s="28">
        <v>2.7</v>
      </c>
      <c r="E35" s="28">
        <f>SUM(F32,F33,F34)</f>
        <v>928.170592354633</v>
      </c>
      <c r="F35" s="28">
        <f>E35*D35/100</f>
        <v>25.0606059935751</v>
      </c>
    </row>
    <row r="36" customHeight="1" spans="1:6">
      <c r="A36" s="25" t="s">
        <v>772</v>
      </c>
      <c r="B36" s="26" t="s">
        <v>347</v>
      </c>
      <c r="C36" s="29"/>
      <c r="D36" s="29"/>
      <c r="E36" s="26"/>
      <c r="F36" s="30">
        <f>F27+F31</f>
        <v>1003.17588842318</v>
      </c>
    </row>
    <row r="37" customHeight="1" spans="1:6">
      <c r="A37" s="25" t="s">
        <v>773</v>
      </c>
      <c r="B37" s="26" t="s">
        <v>348</v>
      </c>
      <c r="C37" s="26" t="s">
        <v>168</v>
      </c>
      <c r="D37" s="26">
        <f>土措</f>
        <v>3.6</v>
      </c>
      <c r="E37" s="26"/>
      <c r="F37" s="26">
        <f>F36*D37/100</f>
        <v>36.1143319832346</v>
      </c>
    </row>
    <row r="38" customHeight="1" spans="1:6">
      <c r="A38" s="25" t="s">
        <v>10</v>
      </c>
      <c r="B38" s="26" t="s">
        <v>774</v>
      </c>
      <c r="C38" s="26"/>
      <c r="D38" s="26"/>
      <c r="E38" s="26"/>
      <c r="F38" s="26">
        <f>F37+F36</f>
        <v>1039.29022040642</v>
      </c>
    </row>
    <row r="39" customHeight="1" spans="1:6">
      <c r="A39" s="25" t="s">
        <v>11</v>
      </c>
      <c r="B39" s="26" t="s">
        <v>339</v>
      </c>
      <c r="C39" s="26" t="s">
        <v>168</v>
      </c>
      <c r="D39" s="26">
        <f>土间</f>
        <v>5</v>
      </c>
      <c r="E39" s="26"/>
      <c r="F39" s="26">
        <f>F38*D39/100</f>
        <v>51.9645110203209</v>
      </c>
    </row>
    <row r="40" customHeight="1" spans="1:6">
      <c r="A40" s="25" t="s">
        <v>12</v>
      </c>
      <c r="B40" s="26" t="s">
        <v>340</v>
      </c>
      <c r="C40" s="26" t="s">
        <v>168</v>
      </c>
      <c r="D40" s="26">
        <f>利润</f>
        <v>3</v>
      </c>
      <c r="E40" s="26"/>
      <c r="F40" s="26">
        <f>D40*(F38+F39)/100</f>
        <v>32.7376419428022</v>
      </c>
    </row>
    <row r="41" customHeight="1" spans="1:6">
      <c r="A41" s="25" t="s">
        <v>13</v>
      </c>
      <c r="B41" s="26" t="s">
        <v>341</v>
      </c>
      <c r="C41" s="26"/>
      <c r="D41" s="26"/>
      <c r="E41" s="26"/>
      <c r="F41" s="26">
        <f>F42</f>
        <v>472.2731</v>
      </c>
    </row>
    <row r="42" customHeight="1" spans="1:6">
      <c r="A42" s="326" t="s">
        <v>38</v>
      </c>
      <c r="B42" s="28" t="s">
        <v>775</v>
      </c>
      <c r="C42" s="28" t="s">
        <v>608</v>
      </c>
      <c r="D42" s="28">
        <f>D32*附表4!P6+附表6!D33*附表4!P8+附表6!D34*附表4!P12</f>
        <v>109.07</v>
      </c>
      <c r="E42" s="28">
        <f>柴油-柴油限价</f>
        <v>4.33</v>
      </c>
      <c r="F42" s="28">
        <f>D42*E42</f>
        <v>472.2731</v>
      </c>
    </row>
    <row r="43" customHeight="1" spans="1:6">
      <c r="A43" s="25" t="s">
        <v>776</v>
      </c>
      <c r="B43" s="26" t="s">
        <v>343</v>
      </c>
      <c r="C43" s="26" t="s">
        <v>168</v>
      </c>
      <c r="D43" s="26">
        <f>税金</f>
        <v>9</v>
      </c>
      <c r="E43" s="26"/>
      <c r="F43" s="26">
        <f>(F38+F39+F40+F41)*D43/100</f>
        <v>143.663892603259</v>
      </c>
    </row>
    <row r="44" customHeight="1" spans="1:6">
      <c r="A44" s="25" t="s">
        <v>75</v>
      </c>
      <c r="B44" s="26" t="s">
        <v>559</v>
      </c>
      <c r="C44" s="26" t="s">
        <v>559</v>
      </c>
      <c r="D44" s="26" t="s">
        <v>559</v>
      </c>
      <c r="E44" s="26" t="s">
        <v>559</v>
      </c>
      <c r="F44" s="26">
        <f>SUM(F38,F39,F40,F41,F43)</f>
        <v>1739.9293659728</v>
      </c>
    </row>
    <row r="45" customHeight="1" spans="1:6">
      <c r="A45" s="33"/>
      <c r="B45" s="34"/>
      <c r="C45" s="21"/>
      <c r="D45" s="21"/>
      <c r="E45" s="21"/>
      <c r="F45" s="21"/>
    </row>
    <row r="46" customHeight="1" spans="1:6">
      <c r="A46" s="33" t="s">
        <v>779</v>
      </c>
      <c r="B46" s="33"/>
      <c r="C46" s="33"/>
      <c r="D46" s="33"/>
      <c r="E46" s="33"/>
      <c r="F46" s="33"/>
    </row>
    <row r="47" customHeight="1" spans="1:6">
      <c r="A47" s="23" t="s">
        <v>780</v>
      </c>
      <c r="B47" s="23"/>
      <c r="C47" s="24"/>
      <c r="D47" s="24"/>
      <c r="E47" s="24"/>
      <c r="F47" s="24" t="s">
        <v>781</v>
      </c>
    </row>
    <row r="48" customHeight="1" spans="1:6">
      <c r="A48" s="25" t="s">
        <v>757</v>
      </c>
      <c r="B48" s="35" t="s">
        <v>758</v>
      </c>
      <c r="C48" s="26" t="s">
        <v>71</v>
      </c>
      <c r="D48" s="26" t="s">
        <v>759</v>
      </c>
      <c r="E48" s="26" t="s">
        <v>760</v>
      </c>
      <c r="F48" s="26" t="s">
        <v>761</v>
      </c>
    </row>
    <row r="49" customHeight="1" spans="1:6">
      <c r="A49" s="27">
        <v>1</v>
      </c>
      <c r="B49" s="35" t="s">
        <v>344</v>
      </c>
      <c r="C49" s="26" t="s">
        <v>559</v>
      </c>
      <c r="D49" s="26" t="s">
        <v>559</v>
      </c>
      <c r="E49" s="26" t="s">
        <v>559</v>
      </c>
      <c r="F49" s="26">
        <f>F51+F52</f>
        <v>13.6079083217466</v>
      </c>
    </row>
    <row r="50" customHeight="1" spans="1:6">
      <c r="A50" s="327" t="s">
        <v>471</v>
      </c>
      <c r="B50" s="35" t="s">
        <v>543</v>
      </c>
      <c r="C50" s="26" t="s">
        <v>782</v>
      </c>
      <c r="D50" s="26" t="s">
        <v>559</v>
      </c>
      <c r="E50" s="26" t="s">
        <v>559</v>
      </c>
      <c r="F50" s="26" t="s">
        <v>559</v>
      </c>
    </row>
    <row r="51" customHeight="1" spans="1:6">
      <c r="A51" s="327" t="s">
        <v>478</v>
      </c>
      <c r="B51" s="36" t="s">
        <v>764</v>
      </c>
      <c r="C51" s="28" t="s">
        <v>763</v>
      </c>
      <c r="D51" s="28">
        <v>0.2</v>
      </c>
      <c r="E51" s="28">
        <f>甲类工</f>
        <v>64.7995634368888</v>
      </c>
      <c r="F51" s="28">
        <f>D51*E51</f>
        <v>12.9599126873778</v>
      </c>
    </row>
    <row r="52" customHeight="1" spans="1:6">
      <c r="A52" s="327" t="s">
        <v>480</v>
      </c>
      <c r="B52" s="36" t="s">
        <v>765</v>
      </c>
      <c r="C52" s="28" t="s">
        <v>766</v>
      </c>
      <c r="D52" s="28">
        <v>5</v>
      </c>
      <c r="E52" s="28">
        <f>F51</f>
        <v>12.9599126873778</v>
      </c>
      <c r="F52" s="28">
        <f>E52*D52%</f>
        <v>0.647995634368888</v>
      </c>
    </row>
    <row r="53" customHeight="1" spans="1:6">
      <c r="A53" s="27">
        <v>2</v>
      </c>
      <c r="B53" s="35" t="s">
        <v>767</v>
      </c>
      <c r="C53" s="26" t="s">
        <v>559</v>
      </c>
      <c r="D53" s="26" t="s">
        <v>559</v>
      </c>
      <c r="E53" s="26" t="s">
        <v>559</v>
      </c>
      <c r="F53" s="26">
        <f>SUM(F54:F55)</f>
        <v>173.17366727247</v>
      </c>
    </row>
    <row r="54" customHeight="1" spans="1:6">
      <c r="A54" s="327" t="s">
        <v>471</v>
      </c>
      <c r="B54" s="36" t="s">
        <v>783</v>
      </c>
      <c r="C54" s="28" t="s">
        <v>769</v>
      </c>
      <c r="D54" s="28">
        <v>0.314</v>
      </c>
      <c r="E54" s="28">
        <f>推土机74</f>
        <v>525.246185236488</v>
      </c>
      <c r="F54" s="28">
        <f>D54*E54</f>
        <v>164.927302164257</v>
      </c>
    </row>
    <row r="55" customHeight="1" spans="1:6">
      <c r="A55" s="327" t="s">
        <v>478</v>
      </c>
      <c r="B55" s="36" t="s">
        <v>765</v>
      </c>
      <c r="C55" s="28" t="s">
        <v>766</v>
      </c>
      <c r="D55" s="28">
        <v>5</v>
      </c>
      <c r="E55" s="28">
        <f>F54</f>
        <v>164.927302164257</v>
      </c>
      <c r="F55" s="28">
        <f>E55*D55%</f>
        <v>8.24636510821286</v>
      </c>
    </row>
    <row r="56" customHeight="1" spans="1:6">
      <c r="A56" s="25" t="s">
        <v>86</v>
      </c>
      <c r="B56" s="35" t="s">
        <v>347</v>
      </c>
      <c r="C56" s="29"/>
      <c r="D56" s="29"/>
      <c r="E56" s="26"/>
      <c r="F56" s="30">
        <f>F49+F53</f>
        <v>186.781575594217</v>
      </c>
    </row>
    <row r="57" customHeight="1" spans="1:6">
      <c r="A57" s="25" t="s">
        <v>100</v>
      </c>
      <c r="B57" s="35" t="s">
        <v>348</v>
      </c>
      <c r="C57" s="26" t="s">
        <v>168</v>
      </c>
      <c r="D57" s="26">
        <f>土措</f>
        <v>3.6</v>
      </c>
      <c r="E57" s="26"/>
      <c r="F57" s="26">
        <f>F56*D57/100</f>
        <v>6.72413672139181</v>
      </c>
    </row>
    <row r="58" customHeight="1" spans="1:6">
      <c r="A58" s="25" t="s">
        <v>84</v>
      </c>
      <c r="B58" s="35" t="s">
        <v>774</v>
      </c>
      <c r="C58" s="26"/>
      <c r="D58" s="26"/>
      <c r="E58" s="26"/>
      <c r="F58" s="26">
        <f>F57+F56</f>
        <v>193.505712315609</v>
      </c>
    </row>
    <row r="59" customHeight="1" spans="1:6">
      <c r="A59" s="25" t="s">
        <v>133</v>
      </c>
      <c r="B59" s="35" t="s">
        <v>339</v>
      </c>
      <c r="C59" s="26" t="s">
        <v>168</v>
      </c>
      <c r="D59" s="26">
        <f>土间</f>
        <v>5</v>
      </c>
      <c r="E59" s="26"/>
      <c r="F59" s="26">
        <f>F58*D59/100</f>
        <v>9.67528561578043</v>
      </c>
    </row>
    <row r="60" customHeight="1" spans="1:6">
      <c r="A60" s="25" t="s">
        <v>225</v>
      </c>
      <c r="B60" s="35" t="s">
        <v>340</v>
      </c>
      <c r="C60" s="26" t="s">
        <v>168</v>
      </c>
      <c r="D60" s="26">
        <f>利润</f>
        <v>3</v>
      </c>
      <c r="E60" s="26"/>
      <c r="F60" s="26">
        <f>D60*(F58+F59)/100</f>
        <v>6.09542993794167</v>
      </c>
    </row>
    <row r="61" customHeight="1" spans="1:6">
      <c r="A61" s="25" t="s">
        <v>784</v>
      </c>
      <c r="B61" s="35" t="s">
        <v>341</v>
      </c>
      <c r="C61" s="26"/>
      <c r="D61" s="26"/>
      <c r="E61" s="26"/>
      <c r="F61" s="26">
        <f>F62</f>
        <v>74.7791</v>
      </c>
    </row>
    <row r="62" customHeight="1" spans="1:6">
      <c r="A62" s="27">
        <v>1</v>
      </c>
      <c r="B62" s="36" t="s">
        <v>775</v>
      </c>
      <c r="C62" s="28" t="s">
        <v>608</v>
      </c>
      <c r="D62" s="28">
        <f>D54*附表4!$P$9</f>
        <v>17.27</v>
      </c>
      <c r="E62" s="28">
        <f>柴油-柴油限价</f>
        <v>4.33</v>
      </c>
      <c r="F62" s="28">
        <f>D62*E62</f>
        <v>74.7791</v>
      </c>
    </row>
    <row r="63" customHeight="1" spans="1:6">
      <c r="A63" s="25" t="s">
        <v>776</v>
      </c>
      <c r="B63" s="35" t="s">
        <v>343</v>
      </c>
      <c r="C63" s="26" t="s">
        <v>168</v>
      </c>
      <c r="D63" s="26">
        <f>税金</f>
        <v>9</v>
      </c>
      <c r="E63" s="26"/>
      <c r="F63" s="26">
        <f>(F58+F59+F60+F61)*D63/100</f>
        <v>25.5649975082398</v>
      </c>
    </row>
    <row r="64" customHeight="1" spans="1:6">
      <c r="A64" s="25" t="s">
        <v>75</v>
      </c>
      <c r="B64" s="35" t="s">
        <v>559</v>
      </c>
      <c r="C64" s="26" t="s">
        <v>559</v>
      </c>
      <c r="D64" s="26" t="s">
        <v>559</v>
      </c>
      <c r="E64" s="26" t="s">
        <v>559</v>
      </c>
      <c r="F64" s="26">
        <f>F58+F59+F60+F63+F61</f>
        <v>309.620525377571</v>
      </c>
    </row>
    <row r="65" customHeight="1" spans="1:6">
      <c r="A65" s="33"/>
      <c r="B65" s="34"/>
      <c r="C65" s="21"/>
      <c r="D65" s="21"/>
      <c r="E65" s="21"/>
      <c r="F65" s="21"/>
    </row>
    <row r="66" customHeight="1" spans="1:6">
      <c r="A66" s="33" t="s">
        <v>785</v>
      </c>
      <c r="B66" s="33"/>
      <c r="C66" s="33"/>
      <c r="D66" s="33"/>
      <c r="E66" s="33"/>
      <c r="F66" s="33"/>
    </row>
    <row r="67" customHeight="1" spans="1:6">
      <c r="A67" s="23" t="s">
        <v>786</v>
      </c>
      <c r="B67" s="23"/>
      <c r="C67" s="24"/>
      <c r="D67" s="24"/>
      <c r="E67" s="24"/>
      <c r="F67" s="24" t="s">
        <v>781</v>
      </c>
    </row>
    <row r="68" customHeight="1" spans="1:6">
      <c r="A68" s="25" t="s">
        <v>757</v>
      </c>
      <c r="B68" s="35" t="s">
        <v>758</v>
      </c>
      <c r="C68" s="26" t="s">
        <v>71</v>
      </c>
      <c r="D68" s="26" t="s">
        <v>759</v>
      </c>
      <c r="E68" s="26" t="s">
        <v>760</v>
      </c>
      <c r="F68" s="26" t="s">
        <v>761</v>
      </c>
    </row>
    <row r="69" customHeight="1" spans="1:6">
      <c r="A69" s="27">
        <v>1</v>
      </c>
      <c r="B69" s="35" t="s">
        <v>344</v>
      </c>
      <c r="C69" s="26" t="s">
        <v>559</v>
      </c>
      <c r="D69" s="26" t="s">
        <v>559</v>
      </c>
      <c r="E69" s="26" t="s">
        <v>559</v>
      </c>
      <c r="F69" s="26">
        <f>F71+F72</f>
        <v>20.41186248262</v>
      </c>
    </row>
    <row r="70" customHeight="1" spans="1:6">
      <c r="A70" s="327" t="s">
        <v>471</v>
      </c>
      <c r="B70" s="35" t="s">
        <v>543</v>
      </c>
      <c r="C70" s="26" t="s">
        <v>782</v>
      </c>
      <c r="D70" s="26" t="s">
        <v>559</v>
      </c>
      <c r="E70" s="26" t="s">
        <v>559</v>
      </c>
      <c r="F70" s="26" t="s">
        <v>559</v>
      </c>
    </row>
    <row r="71" customHeight="1" spans="1:6">
      <c r="A71" s="327" t="s">
        <v>478</v>
      </c>
      <c r="B71" s="36" t="s">
        <v>764</v>
      </c>
      <c r="C71" s="28" t="s">
        <v>763</v>
      </c>
      <c r="D71" s="28">
        <v>0.3</v>
      </c>
      <c r="E71" s="28">
        <f>甲类工</f>
        <v>64.7995634368888</v>
      </c>
      <c r="F71" s="28">
        <f>D71*E71</f>
        <v>19.4398690310666</v>
      </c>
    </row>
    <row r="72" customHeight="1" spans="1:6">
      <c r="A72" s="327" t="s">
        <v>480</v>
      </c>
      <c r="B72" s="36" t="s">
        <v>765</v>
      </c>
      <c r="C72" s="28" t="s">
        <v>766</v>
      </c>
      <c r="D72" s="28">
        <v>5</v>
      </c>
      <c r="E72" s="28">
        <f>F71</f>
        <v>19.4398690310666</v>
      </c>
      <c r="F72" s="28">
        <f>E72*D72%</f>
        <v>0.971993451553332</v>
      </c>
    </row>
    <row r="73" customHeight="1" spans="1:6">
      <c r="A73" s="27">
        <v>2</v>
      </c>
      <c r="B73" s="35" t="s">
        <v>767</v>
      </c>
      <c r="C73" s="26" t="s">
        <v>559</v>
      </c>
      <c r="D73" s="26" t="s">
        <v>559</v>
      </c>
      <c r="E73" s="26" t="s">
        <v>559</v>
      </c>
      <c r="F73" s="26">
        <f>SUM(F74:F75)</f>
        <v>264.72407735919</v>
      </c>
    </row>
    <row r="74" customHeight="1" spans="1:6">
      <c r="A74" s="327" t="s">
        <v>471</v>
      </c>
      <c r="B74" s="36" t="s">
        <v>783</v>
      </c>
      <c r="C74" s="28" t="s">
        <v>769</v>
      </c>
      <c r="D74" s="28">
        <v>0.48</v>
      </c>
      <c r="E74" s="28">
        <f>推土机74</f>
        <v>525.246185236488</v>
      </c>
      <c r="F74" s="28">
        <f>D74*E74</f>
        <v>252.118168913514</v>
      </c>
    </row>
    <row r="75" customHeight="1" spans="1:6">
      <c r="A75" s="327" t="s">
        <v>478</v>
      </c>
      <c r="B75" s="36" t="s">
        <v>765</v>
      </c>
      <c r="C75" s="28" t="s">
        <v>766</v>
      </c>
      <c r="D75" s="28">
        <v>5</v>
      </c>
      <c r="E75" s="28">
        <f>F74</f>
        <v>252.118168913514</v>
      </c>
      <c r="F75" s="28">
        <f>E75*D75%</f>
        <v>12.6059084456757</v>
      </c>
    </row>
    <row r="76" customHeight="1" spans="1:6">
      <c r="A76" s="25" t="s">
        <v>86</v>
      </c>
      <c r="B76" s="35" t="s">
        <v>347</v>
      </c>
      <c r="C76" s="29"/>
      <c r="D76" s="29"/>
      <c r="E76" s="26"/>
      <c r="F76" s="30">
        <f>F69+F73</f>
        <v>285.13593984181</v>
      </c>
    </row>
    <row r="77" customHeight="1" spans="1:6">
      <c r="A77" s="25" t="s">
        <v>100</v>
      </c>
      <c r="B77" s="35" t="s">
        <v>348</v>
      </c>
      <c r="C77" s="26" t="s">
        <v>168</v>
      </c>
      <c r="D77" s="26">
        <f>土措</f>
        <v>3.6</v>
      </c>
      <c r="E77" s="26"/>
      <c r="F77" s="26">
        <f>F76*D77/100</f>
        <v>10.2648938343052</v>
      </c>
    </row>
    <row r="78" customHeight="1" spans="1:6">
      <c r="A78" s="25" t="s">
        <v>84</v>
      </c>
      <c r="B78" s="35" t="s">
        <v>774</v>
      </c>
      <c r="C78" s="26"/>
      <c r="D78" s="26"/>
      <c r="E78" s="26"/>
      <c r="F78" s="26">
        <f>F77+F76</f>
        <v>295.400833676115</v>
      </c>
    </row>
    <row r="79" customHeight="1" spans="1:6">
      <c r="A79" s="25" t="s">
        <v>133</v>
      </c>
      <c r="B79" s="35" t="s">
        <v>339</v>
      </c>
      <c r="C79" s="26" t="s">
        <v>168</v>
      </c>
      <c r="D79" s="26">
        <f>土间</f>
        <v>5</v>
      </c>
      <c r="E79" s="26"/>
      <c r="F79" s="26">
        <f>F78*D79/100</f>
        <v>14.7700416838058</v>
      </c>
    </row>
    <row r="80" customHeight="1" spans="1:6">
      <c r="A80" s="25" t="s">
        <v>225</v>
      </c>
      <c r="B80" s="35" t="s">
        <v>340</v>
      </c>
      <c r="C80" s="26" t="s">
        <v>168</v>
      </c>
      <c r="D80" s="26">
        <f>利润</f>
        <v>3</v>
      </c>
      <c r="E80" s="26"/>
      <c r="F80" s="26">
        <f>D80*(F78+F79)/100</f>
        <v>9.30512626079763</v>
      </c>
    </row>
    <row r="81" customHeight="1" spans="1:6">
      <c r="A81" s="25" t="s">
        <v>784</v>
      </c>
      <c r="B81" s="35" t="s">
        <v>341</v>
      </c>
      <c r="C81" s="26"/>
      <c r="D81" s="26"/>
      <c r="E81" s="26"/>
      <c r="F81" s="26">
        <f>F82</f>
        <v>114.312</v>
      </c>
    </row>
    <row r="82" customHeight="1" spans="1:6">
      <c r="A82" s="27">
        <v>1</v>
      </c>
      <c r="B82" s="36" t="s">
        <v>775</v>
      </c>
      <c r="C82" s="28" t="s">
        <v>608</v>
      </c>
      <c r="D82" s="28">
        <f>D74*附表4!$P$9</f>
        <v>26.4</v>
      </c>
      <c r="E82" s="28">
        <f>柴油-柴油限价</f>
        <v>4.33</v>
      </c>
      <c r="F82" s="28">
        <f>D82*E82</f>
        <v>114.312</v>
      </c>
    </row>
    <row r="83" customHeight="1" spans="1:6">
      <c r="A83" s="25" t="s">
        <v>776</v>
      </c>
      <c r="B83" s="35" t="s">
        <v>343</v>
      </c>
      <c r="C83" s="26" t="s">
        <v>168</v>
      </c>
      <c r="D83" s="26">
        <f>税金</f>
        <v>9</v>
      </c>
      <c r="E83" s="26"/>
      <c r="F83" s="26">
        <f>(F78+F79+F80+F81)*D83/100</f>
        <v>39.0409201458647</v>
      </c>
    </row>
    <row r="84" customHeight="1" spans="1:6">
      <c r="A84" s="25" t="s">
        <v>75</v>
      </c>
      <c r="B84" s="35" t="s">
        <v>559</v>
      </c>
      <c r="C84" s="26" t="s">
        <v>559</v>
      </c>
      <c r="D84" s="26" t="s">
        <v>559</v>
      </c>
      <c r="E84" s="26" t="s">
        <v>559</v>
      </c>
      <c r="F84" s="26">
        <f>F78+F79+F80+F83+F81</f>
        <v>472.828921766583</v>
      </c>
    </row>
  </sheetData>
  <mergeCells count="9">
    <mergeCell ref="B1:F1"/>
    <mergeCell ref="A2:F2"/>
    <mergeCell ref="A3:B3"/>
    <mergeCell ref="A24:F24"/>
    <mergeCell ref="A25:B25"/>
    <mergeCell ref="A46:F46"/>
    <mergeCell ref="A47:B47"/>
    <mergeCell ref="A66:F66"/>
    <mergeCell ref="A67:B67"/>
  </mergeCells>
  <printOptions horizontalCentered="1"/>
  <pageMargins left="0.590551181102362" right="0.590551181102362" top="0.748031496062992" bottom="0.748031496062992" header="0.31496062992126" footer="0.31496062992126"/>
  <pageSetup paperSize="9" orientation="portrait"/>
  <headerFooter/>
  <rowBreaks count="3" manualBreakCount="3">
    <brk id="23" max="5" man="1"/>
    <brk id="45" max="5" man="1"/>
    <brk id="65" max="5"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A1" sqref="A1:H1"/>
    </sheetView>
  </sheetViews>
  <sheetFormatPr defaultColWidth="9" defaultRowHeight="14.25"/>
  <cols>
    <col min="1" max="1" width="6.4" customWidth="1"/>
    <col min="2" max="3" width="9.9" customWidth="1"/>
    <col min="4" max="4" width="10.4" customWidth="1"/>
    <col min="5" max="5" width="16.2" customWidth="1"/>
    <col min="6" max="6" width="14.4" customWidth="1"/>
    <col min="7" max="7" width="10.4" customWidth="1"/>
    <col min="8" max="8" width="14.4" customWidth="1"/>
    <col min="9" max="9" width="8.6" customWidth="1"/>
  </cols>
  <sheetData>
    <row r="1" ht="18.75" spans="1:8">
      <c r="A1" s="1" t="s">
        <v>787</v>
      </c>
      <c r="B1" s="1"/>
      <c r="C1" s="1"/>
      <c r="D1" s="1"/>
      <c r="E1" s="1"/>
      <c r="F1" s="1"/>
      <c r="G1" s="1"/>
      <c r="H1" s="1"/>
    </row>
    <row r="3" spans="1:8">
      <c r="A3" s="2" t="s">
        <v>788</v>
      </c>
      <c r="B3" s="2"/>
      <c r="C3" s="2"/>
      <c r="D3" s="2"/>
      <c r="E3" s="2"/>
      <c r="F3" s="2"/>
      <c r="G3" s="2"/>
      <c r="H3" s="2"/>
    </row>
    <row r="5" spans="1:9">
      <c r="A5" s="3" t="s">
        <v>23</v>
      </c>
      <c r="B5" s="3" t="s">
        <v>789</v>
      </c>
      <c r="C5" s="3" t="s">
        <v>790</v>
      </c>
      <c r="D5" s="3" t="s">
        <v>791</v>
      </c>
      <c r="E5" s="3" t="s">
        <v>792</v>
      </c>
      <c r="F5" s="3" t="s">
        <v>793</v>
      </c>
      <c r="G5" s="3" t="s">
        <v>794</v>
      </c>
      <c r="H5" s="3" t="s">
        <v>795</v>
      </c>
      <c r="I5" s="3" t="s">
        <v>796</v>
      </c>
    </row>
    <row r="6" spans="1:9">
      <c r="A6" s="4">
        <v>1</v>
      </c>
      <c r="B6" s="5" t="s">
        <v>797</v>
      </c>
      <c r="C6" s="5" t="s">
        <v>798</v>
      </c>
      <c r="D6" s="6">
        <v>2</v>
      </c>
      <c r="E6" s="6">
        <v>0.7</v>
      </c>
      <c r="F6" s="7"/>
      <c r="G6" s="6">
        <v>0.7</v>
      </c>
      <c r="H6" s="6">
        <v>0.2</v>
      </c>
      <c r="I6" s="6">
        <f>SUM(D6:H6)</f>
        <v>3.6</v>
      </c>
    </row>
    <row r="7" spans="1:9">
      <c r="A7" s="4">
        <v>2</v>
      </c>
      <c r="B7" s="5" t="s">
        <v>799</v>
      </c>
      <c r="C7" s="5" t="s">
        <v>798</v>
      </c>
      <c r="D7" s="6">
        <v>2</v>
      </c>
      <c r="E7" s="6">
        <v>0.7</v>
      </c>
      <c r="F7" s="7"/>
      <c r="G7" s="6">
        <v>0.7</v>
      </c>
      <c r="H7" s="6">
        <v>0.2</v>
      </c>
      <c r="I7" s="6">
        <f t="shared" ref="I7:I12" si="0">SUM(D7:H7)</f>
        <v>3.6</v>
      </c>
    </row>
    <row r="8" spans="1:9">
      <c r="A8" s="4">
        <v>3</v>
      </c>
      <c r="B8" s="5" t="s">
        <v>800</v>
      </c>
      <c r="C8" s="5" t="s">
        <v>798</v>
      </c>
      <c r="D8" s="6">
        <v>2</v>
      </c>
      <c r="E8" s="6">
        <v>0.7</v>
      </c>
      <c r="F8" s="7"/>
      <c r="G8" s="6">
        <v>0.7</v>
      </c>
      <c r="H8" s="6">
        <v>0.2</v>
      </c>
      <c r="I8" s="6">
        <f t="shared" si="0"/>
        <v>3.6</v>
      </c>
    </row>
    <row r="9" spans="1:9">
      <c r="A9" s="4">
        <v>4</v>
      </c>
      <c r="B9" s="5" t="s">
        <v>801</v>
      </c>
      <c r="C9" s="5" t="s">
        <v>798</v>
      </c>
      <c r="D9" s="6">
        <v>3</v>
      </c>
      <c r="E9" s="6">
        <v>0.7</v>
      </c>
      <c r="F9" s="7"/>
      <c r="G9" s="6">
        <v>0.7</v>
      </c>
      <c r="H9" s="6">
        <v>0.2</v>
      </c>
      <c r="I9" s="6">
        <f t="shared" si="0"/>
        <v>4.6</v>
      </c>
    </row>
    <row r="10" spans="1:9">
      <c r="A10" s="4">
        <v>5</v>
      </c>
      <c r="B10" s="5" t="s">
        <v>802</v>
      </c>
      <c r="C10" s="5" t="s">
        <v>798</v>
      </c>
      <c r="D10" s="6">
        <v>3</v>
      </c>
      <c r="E10" s="6">
        <v>0.7</v>
      </c>
      <c r="F10" s="7"/>
      <c r="G10" s="6">
        <v>0.7</v>
      </c>
      <c r="H10" s="6">
        <v>0.2</v>
      </c>
      <c r="I10" s="6">
        <f t="shared" si="0"/>
        <v>4.6</v>
      </c>
    </row>
    <row r="11" spans="1:9">
      <c r="A11" s="4">
        <v>6</v>
      </c>
      <c r="B11" s="5" t="s">
        <v>803</v>
      </c>
      <c r="C11" s="5" t="s">
        <v>798</v>
      </c>
      <c r="D11" s="6">
        <v>2</v>
      </c>
      <c r="E11" s="6">
        <v>0.7</v>
      </c>
      <c r="F11" s="7"/>
      <c r="G11" s="6">
        <v>0.7</v>
      </c>
      <c r="H11" s="6">
        <v>0.2</v>
      </c>
      <c r="I11" s="6">
        <f t="shared" si="0"/>
        <v>3.6</v>
      </c>
    </row>
    <row r="12" spans="1:9">
      <c r="A12" s="3">
        <v>7</v>
      </c>
      <c r="B12" s="5" t="s">
        <v>804</v>
      </c>
      <c r="C12" s="5" t="s">
        <v>798</v>
      </c>
      <c r="D12" s="6">
        <v>3</v>
      </c>
      <c r="E12" s="6">
        <v>0.7</v>
      </c>
      <c r="F12" s="7"/>
      <c r="G12" s="6">
        <v>1</v>
      </c>
      <c r="H12" s="6">
        <v>0.3</v>
      </c>
      <c r="I12" s="6">
        <f t="shared" si="0"/>
        <v>5</v>
      </c>
    </row>
    <row r="14" spans="1:8">
      <c r="A14" s="2" t="s">
        <v>805</v>
      </c>
      <c r="B14" s="2"/>
      <c r="C14" s="2"/>
      <c r="D14" s="2"/>
      <c r="E14" s="2"/>
      <c r="F14" s="2"/>
      <c r="G14" s="2"/>
      <c r="H14" s="2"/>
    </row>
    <row r="15" spans="1:8">
      <c r="A15" s="8"/>
      <c r="B15" s="8"/>
      <c r="C15" s="8"/>
      <c r="D15" s="8"/>
      <c r="E15" s="8"/>
      <c r="F15" s="8"/>
      <c r="G15" s="8"/>
      <c r="H15" s="8"/>
    </row>
    <row r="16" spans="1:8">
      <c r="A16" s="3" t="s">
        <v>23</v>
      </c>
      <c r="B16" s="3" t="s">
        <v>789</v>
      </c>
      <c r="C16" s="3"/>
      <c r="D16" s="3" t="s">
        <v>790</v>
      </c>
      <c r="E16" s="3"/>
      <c r="F16" s="3" t="s">
        <v>806</v>
      </c>
      <c r="G16" s="3"/>
      <c r="H16" s="3"/>
    </row>
    <row r="17" spans="1:8">
      <c r="A17" s="4">
        <v>1</v>
      </c>
      <c r="B17" s="5" t="s">
        <v>797</v>
      </c>
      <c r="C17" s="5"/>
      <c r="D17" s="5" t="s">
        <v>807</v>
      </c>
      <c r="E17" s="5"/>
      <c r="F17" s="6">
        <v>5</v>
      </c>
      <c r="G17" s="6"/>
      <c r="H17" s="6"/>
    </row>
    <row r="18" spans="1:8">
      <c r="A18" s="4">
        <v>2</v>
      </c>
      <c r="B18" s="5" t="s">
        <v>799</v>
      </c>
      <c r="C18" s="5"/>
      <c r="D18" s="5" t="s">
        <v>807</v>
      </c>
      <c r="E18" s="5"/>
      <c r="F18" s="6">
        <v>6</v>
      </c>
      <c r="G18" s="6"/>
      <c r="H18" s="6"/>
    </row>
    <row r="19" spans="1:8">
      <c r="A19" s="4">
        <v>3</v>
      </c>
      <c r="B19" s="5" t="s">
        <v>800</v>
      </c>
      <c r="C19" s="5"/>
      <c r="D19" s="5" t="s">
        <v>807</v>
      </c>
      <c r="E19" s="5"/>
      <c r="F19" s="6">
        <v>5</v>
      </c>
      <c r="G19" s="6"/>
      <c r="H19" s="6"/>
    </row>
    <row r="20" spans="1:8">
      <c r="A20" s="4">
        <v>4</v>
      </c>
      <c r="B20" s="5" t="s">
        <v>801</v>
      </c>
      <c r="C20" s="5"/>
      <c r="D20" s="5" t="s">
        <v>807</v>
      </c>
      <c r="E20" s="5"/>
      <c r="F20" s="6">
        <v>6</v>
      </c>
      <c r="G20" s="6"/>
      <c r="H20" s="6"/>
    </row>
    <row r="21" spans="1:8">
      <c r="A21" s="4">
        <v>5</v>
      </c>
      <c r="B21" s="5" t="s">
        <v>802</v>
      </c>
      <c r="C21" s="5"/>
      <c r="D21" s="5" t="s">
        <v>807</v>
      </c>
      <c r="E21" s="5"/>
      <c r="F21" s="6">
        <v>8</v>
      </c>
      <c r="G21" s="6"/>
      <c r="H21" s="6"/>
    </row>
    <row r="22" spans="1:8">
      <c r="A22" s="4">
        <v>6</v>
      </c>
      <c r="B22" s="5" t="s">
        <v>803</v>
      </c>
      <c r="C22" s="5"/>
      <c r="D22" s="5" t="s">
        <v>807</v>
      </c>
      <c r="E22" s="5"/>
      <c r="F22" s="6">
        <v>5</v>
      </c>
      <c r="G22" s="6"/>
      <c r="H22" s="6"/>
    </row>
    <row r="23" spans="1:8">
      <c r="A23" s="3">
        <v>7</v>
      </c>
      <c r="B23" s="5" t="s">
        <v>804</v>
      </c>
      <c r="C23" s="5"/>
      <c r="D23" s="5" t="s">
        <v>808</v>
      </c>
      <c r="E23" s="5"/>
      <c r="F23" s="6">
        <v>65</v>
      </c>
      <c r="G23" s="6"/>
      <c r="H23" s="6"/>
    </row>
    <row r="26" ht="18.75" spans="1:2">
      <c r="A26" s="9" t="s">
        <v>809</v>
      </c>
      <c r="B26" s="10">
        <v>3</v>
      </c>
    </row>
    <row r="29" ht="18.75" spans="1:1">
      <c r="A29" s="9" t="s">
        <v>810</v>
      </c>
    </row>
    <row r="30" spans="1:4">
      <c r="A30" s="11"/>
      <c r="B30" s="10" t="s">
        <v>811</v>
      </c>
      <c r="C30" s="10" t="s">
        <v>812</v>
      </c>
      <c r="D30" s="10" t="s">
        <v>813</v>
      </c>
    </row>
    <row r="31" spans="1:4">
      <c r="A31" s="11"/>
      <c r="B31" s="12">
        <v>9</v>
      </c>
      <c r="C31" s="10">
        <v>3.35</v>
      </c>
      <c r="D31" s="10">
        <v>3.41</v>
      </c>
    </row>
  </sheetData>
  <mergeCells count="27">
    <mergeCell ref="A1:H1"/>
    <mergeCell ref="A3:H3"/>
    <mergeCell ref="A14:H14"/>
    <mergeCell ref="B16:C16"/>
    <mergeCell ref="D16:E16"/>
    <mergeCell ref="F16:H16"/>
    <mergeCell ref="B17:C17"/>
    <mergeCell ref="D17:E17"/>
    <mergeCell ref="F17:H17"/>
    <mergeCell ref="B18:C18"/>
    <mergeCell ref="D18:E18"/>
    <mergeCell ref="F18:H18"/>
    <mergeCell ref="B19:C19"/>
    <mergeCell ref="D19:E19"/>
    <mergeCell ref="F19:H19"/>
    <mergeCell ref="B20:C20"/>
    <mergeCell ref="D20:E20"/>
    <mergeCell ref="F20:H20"/>
    <mergeCell ref="B21:C21"/>
    <mergeCell ref="D21:E21"/>
    <mergeCell ref="F21:H21"/>
    <mergeCell ref="B22:C22"/>
    <mergeCell ref="D22:E22"/>
    <mergeCell ref="F22:H22"/>
    <mergeCell ref="B23:C23"/>
    <mergeCell ref="D23:E23"/>
    <mergeCell ref="F23:H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view="pageBreakPreview" zoomScale="115" zoomScaleNormal="100" workbookViewId="0">
      <selection activeCell="F7" sqref="F7"/>
    </sheetView>
  </sheetViews>
  <sheetFormatPr defaultColWidth="9" defaultRowHeight="14.25"/>
  <cols>
    <col min="1" max="1" width="9.2" customWidth="1"/>
    <col min="2" max="2" width="29" customWidth="1"/>
    <col min="3" max="3" width="11.5" customWidth="1"/>
    <col min="4" max="4" width="9.7" customWidth="1"/>
    <col min="5" max="5" width="9.9" customWidth="1"/>
    <col min="6" max="6" width="11.5" style="275" customWidth="1"/>
    <col min="8" max="10" width="10.1" customWidth="1"/>
  </cols>
  <sheetData>
    <row r="1" ht="39.6" customHeight="1" spans="1:6">
      <c r="A1" s="276" t="s">
        <v>20</v>
      </c>
      <c r="B1" s="277"/>
      <c r="C1" s="277"/>
      <c r="D1" s="277"/>
      <c r="E1" s="277"/>
      <c r="F1" s="277"/>
    </row>
    <row r="2" s="274" customFormat="1" ht="27" customHeight="1" spans="1:6">
      <c r="A2" s="278" t="s">
        <v>21</v>
      </c>
      <c r="B2" s="278"/>
      <c r="C2" s="278"/>
      <c r="D2" s="278"/>
      <c r="E2" s="278"/>
      <c r="F2" s="279" t="s">
        <v>22</v>
      </c>
    </row>
    <row r="3" ht="33.6" customHeight="1" spans="1:6">
      <c r="A3" s="280" t="s">
        <v>23</v>
      </c>
      <c r="B3" s="184" t="s">
        <v>24</v>
      </c>
      <c r="C3" s="281" t="s">
        <v>25</v>
      </c>
      <c r="D3" s="281" t="s">
        <v>26</v>
      </c>
      <c r="E3" s="281" t="s">
        <v>27</v>
      </c>
      <c r="F3" s="184" t="s">
        <v>28</v>
      </c>
    </row>
    <row r="4" ht="22.2" customHeight="1" spans="1:6">
      <c r="A4" s="184" t="s">
        <v>29</v>
      </c>
      <c r="B4" s="184"/>
      <c r="C4" s="184">
        <f>工程施工费!G4/10000</f>
        <v>217.251</v>
      </c>
      <c r="D4" s="184"/>
      <c r="E4" s="184"/>
      <c r="F4" s="184">
        <f>SUM(C4:E4)</f>
        <v>217.251</v>
      </c>
    </row>
    <row r="5" ht="22.2" customHeight="1" spans="1:6">
      <c r="A5" s="272" t="s">
        <v>10</v>
      </c>
      <c r="B5" s="282" t="str">
        <f>工程施工费!B5</f>
        <v>土地平整工程</v>
      </c>
      <c r="C5" s="283">
        <f>工程施工费!G5/10000</f>
        <v>60.1993</v>
      </c>
      <c r="D5" s="283"/>
      <c r="E5" s="283"/>
      <c r="F5" s="283">
        <f t="shared" ref="F5:F12" si="0">SUM(C5:E5)</f>
        <v>60.1993</v>
      </c>
    </row>
    <row r="6" ht="22.2" customHeight="1" spans="1:6">
      <c r="A6" s="272" t="s">
        <v>11</v>
      </c>
      <c r="B6" s="282" t="str">
        <f>工程施工费!B7</f>
        <v>防风防尘工程</v>
      </c>
      <c r="C6" s="283">
        <f>工程施工费!G7/10000</f>
        <v>157.0517</v>
      </c>
      <c r="D6" s="283"/>
      <c r="E6" s="283"/>
      <c r="F6" s="283">
        <f t="shared" si="0"/>
        <v>157.0517</v>
      </c>
    </row>
    <row r="7" ht="22.2" customHeight="1" spans="1:6">
      <c r="A7" s="280" t="s">
        <v>30</v>
      </c>
      <c r="B7" s="280"/>
      <c r="C7" s="184">
        <f>C4*1.5%</f>
        <v>3.258765</v>
      </c>
      <c r="D7" s="184"/>
      <c r="E7" s="183"/>
      <c r="F7" s="184">
        <f t="shared" si="0"/>
        <v>3.258765</v>
      </c>
    </row>
    <row r="8" ht="22.2" customHeight="1" spans="1:6">
      <c r="A8" s="195" t="s">
        <v>31</v>
      </c>
      <c r="B8" s="195"/>
      <c r="C8" s="184">
        <f>C4+C7</f>
        <v>220.509765</v>
      </c>
      <c r="D8" s="184"/>
      <c r="E8" s="184"/>
      <c r="F8" s="184">
        <f>F4+F7</f>
        <v>220.509765</v>
      </c>
    </row>
    <row r="9" ht="22.2" customHeight="1" spans="1:6">
      <c r="A9" s="284" t="s">
        <v>32</v>
      </c>
      <c r="B9" s="284"/>
      <c r="C9" s="285"/>
      <c r="D9" s="285"/>
      <c r="E9" s="286">
        <f>E10+E11+E12+E13</f>
        <v>13.2305859</v>
      </c>
      <c r="F9" s="184">
        <f>SUM(C9:E9)</f>
        <v>13.2305859</v>
      </c>
    </row>
    <row r="10" ht="22.2" customHeight="1" spans="1:9">
      <c r="A10" s="287" t="s">
        <v>10</v>
      </c>
      <c r="B10" s="288" t="s">
        <v>33</v>
      </c>
      <c r="C10" s="289"/>
      <c r="D10" s="289"/>
      <c r="E10" s="290">
        <f>C8*0.015</f>
        <v>3.307646475</v>
      </c>
      <c r="F10" s="283">
        <f>SUM(C10:E10)</f>
        <v>3.307646475</v>
      </c>
      <c r="I10" s="292"/>
    </row>
    <row r="11" ht="22.2" customHeight="1" spans="1:9">
      <c r="A11" s="287" t="s">
        <v>11</v>
      </c>
      <c r="B11" s="288" t="s">
        <v>34</v>
      </c>
      <c r="C11" s="289"/>
      <c r="D11" s="289"/>
      <c r="E11" s="290">
        <f>C8*0.012</f>
        <v>2.64611718</v>
      </c>
      <c r="F11" s="283">
        <f t="shared" si="0"/>
        <v>2.64611718</v>
      </c>
      <c r="I11" s="293"/>
    </row>
    <row r="12" ht="22.2" customHeight="1" spans="1:10">
      <c r="A12" s="287" t="s">
        <v>12</v>
      </c>
      <c r="B12" s="288" t="s">
        <v>35</v>
      </c>
      <c r="C12" s="289"/>
      <c r="D12" s="289"/>
      <c r="E12" s="290">
        <f>C8*0.015</f>
        <v>3.307646475</v>
      </c>
      <c r="F12" s="283">
        <f t="shared" si="0"/>
        <v>3.307646475</v>
      </c>
      <c r="J12" s="294" t="s">
        <v>36</v>
      </c>
    </row>
    <row r="13" ht="22.2" customHeight="1" spans="1:6">
      <c r="A13" s="287" t="s">
        <v>13</v>
      </c>
      <c r="B13" s="288" t="s">
        <v>37</v>
      </c>
      <c r="C13" s="289"/>
      <c r="D13" s="289"/>
      <c r="E13" s="283">
        <f>SUM(E14:E16)</f>
        <v>3.96917577</v>
      </c>
      <c r="F13" s="283">
        <f>SUM(F14:F16)</f>
        <v>3.96917577</v>
      </c>
    </row>
    <row r="14" ht="22.2" customHeight="1" spans="1:6">
      <c r="A14" s="287" t="s">
        <v>38</v>
      </c>
      <c r="B14" s="288" t="s">
        <v>39</v>
      </c>
      <c r="C14" s="289"/>
      <c r="D14" s="289"/>
      <c r="E14" s="290">
        <f>$C$8*0.008</f>
        <v>1.76407812</v>
      </c>
      <c r="F14" s="283">
        <f>E14</f>
        <v>1.76407812</v>
      </c>
    </row>
    <row r="15" ht="22.2" customHeight="1" spans="1:6">
      <c r="A15" s="287" t="s">
        <v>40</v>
      </c>
      <c r="B15" s="288" t="s">
        <v>41</v>
      </c>
      <c r="C15" s="289"/>
      <c r="D15" s="289"/>
      <c r="E15" s="290">
        <f t="shared" ref="E15:E16" si="1">$C$8*0.005</f>
        <v>1.102548825</v>
      </c>
      <c r="F15" s="283">
        <f>E15</f>
        <v>1.102548825</v>
      </c>
    </row>
    <row r="16" ht="22.2" customHeight="1" spans="1:6">
      <c r="A16" s="287" t="s">
        <v>42</v>
      </c>
      <c r="B16" s="288" t="s">
        <v>43</v>
      </c>
      <c r="C16" s="289"/>
      <c r="D16" s="289"/>
      <c r="E16" s="290">
        <f t="shared" si="1"/>
        <v>1.102548825</v>
      </c>
      <c r="F16" s="283">
        <f>E16</f>
        <v>1.102548825</v>
      </c>
    </row>
    <row r="17" ht="22.2" customHeight="1" spans="1:6">
      <c r="A17" s="195" t="s">
        <v>44</v>
      </c>
      <c r="B17" s="195"/>
      <c r="C17" s="184">
        <f>C8+C9</f>
        <v>220.509765</v>
      </c>
      <c r="D17" s="184">
        <f t="shared" ref="D17:F17" si="2">D8+D9</f>
        <v>0</v>
      </c>
      <c r="E17" s="184">
        <f t="shared" si="2"/>
        <v>13.2305859</v>
      </c>
      <c r="F17" s="184">
        <f t="shared" si="2"/>
        <v>233.7403509</v>
      </c>
    </row>
    <row r="18" ht="22.2" customHeight="1" spans="1:10">
      <c r="A18" s="284" t="s">
        <v>45</v>
      </c>
      <c r="B18" s="284"/>
      <c r="C18" s="291"/>
      <c r="D18" s="291"/>
      <c r="E18" s="286"/>
      <c r="F18" s="286">
        <f>F17</f>
        <v>233.7403509</v>
      </c>
      <c r="J18" s="292"/>
    </row>
    <row r="19" ht="22.2" customHeight="1"/>
    <row r="21" spans="9:9">
      <c r="I21" s="292"/>
    </row>
    <row r="22" spans="8:8">
      <c r="H22" s="292"/>
    </row>
  </sheetData>
  <mergeCells count="8">
    <mergeCell ref="A1:F1"/>
    <mergeCell ref="A2:E2"/>
    <mergeCell ref="A4:B4"/>
    <mergeCell ref="A7:B7"/>
    <mergeCell ref="A8:B8"/>
    <mergeCell ref="A9:B9"/>
    <mergeCell ref="A17:B17"/>
    <mergeCell ref="A18:B1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6:N29"/>
  <sheetViews>
    <sheetView topLeftCell="A13" workbookViewId="0">
      <selection activeCell="K28" sqref="K28"/>
    </sheetView>
  </sheetViews>
  <sheetFormatPr defaultColWidth="9" defaultRowHeight="14.25"/>
  <cols>
    <col min="4" max="4" width="12.6" customWidth="1"/>
    <col min="5" max="10" width="8.7" hidden="1" customWidth="1"/>
  </cols>
  <sheetData>
    <row r="6" spans="4:11">
      <c r="D6" s="173" t="s">
        <v>46</v>
      </c>
      <c r="E6" s="173" t="s">
        <v>47</v>
      </c>
      <c r="F6" s="173" t="s">
        <v>48</v>
      </c>
      <c r="G6" s="173" t="s">
        <v>49</v>
      </c>
      <c r="H6" s="173" t="s">
        <v>50</v>
      </c>
      <c r="I6" s="173" t="s">
        <v>51</v>
      </c>
      <c r="J6" s="173" t="s">
        <v>52</v>
      </c>
      <c r="K6" s="173" t="s">
        <v>28</v>
      </c>
    </row>
    <row r="7" spans="4:11">
      <c r="D7" s="173" t="s">
        <v>53</v>
      </c>
      <c r="E7" t="e">
        <f>#REF!</f>
        <v>#REF!</v>
      </c>
      <c r="F7" t="e">
        <f>#REF!</f>
        <v>#REF!</v>
      </c>
      <c r="G7" t="e">
        <f>#REF!</f>
        <v>#REF!</v>
      </c>
      <c r="H7" t="e">
        <f>#REF!</f>
        <v>#REF!</v>
      </c>
      <c r="I7" t="e">
        <f>#REF!</f>
        <v>#REF!</v>
      </c>
      <c r="J7">
        <f>工程施工费!E4</f>
        <v>0</v>
      </c>
      <c r="K7" t="e">
        <f>SUM(E7:J7)</f>
        <v>#REF!</v>
      </c>
    </row>
    <row r="8" spans="4:11">
      <c r="D8" s="173" t="s">
        <v>54</v>
      </c>
      <c r="E8" t="e">
        <f>#REF!</f>
        <v>#REF!</v>
      </c>
      <c r="F8" t="e">
        <f>#REF!</f>
        <v>#REF!</v>
      </c>
      <c r="G8" t="e">
        <f>#REF!</f>
        <v>#REF!</v>
      </c>
      <c r="H8" t="e">
        <f>#REF!</f>
        <v>#REF!</v>
      </c>
      <c r="I8" t="e">
        <f>#REF!</f>
        <v>#REF!</v>
      </c>
      <c r="J8" t="e">
        <f>工程施工费!#REF!</f>
        <v>#REF!</v>
      </c>
      <c r="K8" t="e">
        <f t="shared" ref="K8:K29" si="0">SUM(E8:J8)</f>
        <v>#REF!</v>
      </c>
    </row>
    <row r="9" spans="4:14">
      <c r="D9" s="173" t="e">
        <f>#REF!</f>
        <v>#REF!</v>
      </c>
      <c r="E9" t="e">
        <f>#REF!</f>
        <v>#REF!</v>
      </c>
      <c r="F9" t="e">
        <f>#REF!</f>
        <v>#REF!</v>
      </c>
      <c r="G9" t="e">
        <f>#REF!</f>
        <v>#REF!</v>
      </c>
      <c r="H9" t="e">
        <f>#REF!</f>
        <v>#REF!</v>
      </c>
      <c r="I9" t="e">
        <f>#REF!</f>
        <v>#REF!</v>
      </c>
      <c r="J9" t="e">
        <f>工程施工费!#REF!</f>
        <v>#REF!</v>
      </c>
      <c r="K9" t="e">
        <f t="shared" si="0"/>
        <v>#REF!</v>
      </c>
      <c r="N9" t="e">
        <f>K9/0.25</f>
        <v>#REF!</v>
      </c>
    </row>
    <row r="10" spans="4:11">
      <c r="D10" s="173" t="s">
        <v>55</v>
      </c>
      <c r="E10" t="e">
        <f>#REF!+#REF!</f>
        <v>#REF!</v>
      </c>
      <c r="F10" t="e">
        <f>#REF!+#REF!</f>
        <v>#REF!</v>
      </c>
      <c r="G10" t="e">
        <f>#REF!+#REF!</f>
        <v>#REF!</v>
      </c>
      <c r="H10" t="e">
        <f>#REF!+#REF!</f>
        <v>#REF!</v>
      </c>
      <c r="I10" t="e">
        <f>#REF!+#REF!</f>
        <v>#REF!</v>
      </c>
      <c r="J10" t="e">
        <f>工程施工费!#REF!+工程施工费!#REF!</f>
        <v>#REF!</v>
      </c>
      <c r="K10" t="e">
        <f t="shared" si="0"/>
        <v>#REF!</v>
      </c>
    </row>
    <row r="11" spans="4:11">
      <c r="D11" s="173" t="s">
        <v>56</v>
      </c>
      <c r="E11" s="273" t="e">
        <f>#REF!</f>
        <v>#REF!</v>
      </c>
      <c r="F11" s="273" t="e">
        <f>#REF!</f>
        <v>#REF!</v>
      </c>
      <c r="G11" s="273" t="e">
        <f>#REF!</f>
        <v>#REF!</v>
      </c>
      <c r="H11" s="273" t="e">
        <f>#REF!</f>
        <v>#REF!</v>
      </c>
      <c r="I11" s="273" t="e">
        <f>#REF!</f>
        <v>#REF!</v>
      </c>
      <c r="J11" s="273" t="e">
        <f>工程施工费!#REF!</f>
        <v>#REF!</v>
      </c>
      <c r="K11" t="e">
        <f t="shared" si="0"/>
        <v>#REF!</v>
      </c>
    </row>
    <row r="12" spans="4:11">
      <c r="D12" s="173" t="s">
        <v>57</v>
      </c>
      <c r="E12" s="273" t="e">
        <f>E11</f>
        <v>#REF!</v>
      </c>
      <c r="F12" s="273" t="e">
        <f t="shared" ref="F12:J12" si="1">F11</f>
        <v>#REF!</v>
      </c>
      <c r="G12" s="273" t="e">
        <f t="shared" si="1"/>
        <v>#REF!</v>
      </c>
      <c r="H12" s="273" t="e">
        <f t="shared" si="1"/>
        <v>#REF!</v>
      </c>
      <c r="I12" s="273" t="e">
        <f t="shared" si="1"/>
        <v>#REF!</v>
      </c>
      <c r="J12" s="273" t="e">
        <f t="shared" si="1"/>
        <v>#REF!</v>
      </c>
      <c r="K12" t="e">
        <f t="shared" si="0"/>
        <v>#REF!</v>
      </c>
    </row>
    <row r="13" spans="4:11">
      <c r="D13" s="173" t="s">
        <v>58</v>
      </c>
      <c r="E13" t="e">
        <f>E11*0.7</f>
        <v>#REF!</v>
      </c>
      <c r="F13" t="e">
        <f t="shared" ref="F13:J13" si="2">F11*0.7</f>
        <v>#REF!</v>
      </c>
      <c r="G13" t="e">
        <f t="shared" si="2"/>
        <v>#REF!</v>
      </c>
      <c r="H13" t="e">
        <f t="shared" si="2"/>
        <v>#REF!</v>
      </c>
      <c r="I13" t="e">
        <f t="shared" si="2"/>
        <v>#REF!</v>
      </c>
      <c r="J13" t="e">
        <f t="shared" si="2"/>
        <v>#REF!</v>
      </c>
      <c r="K13" t="e">
        <f t="shared" si="0"/>
        <v>#REF!</v>
      </c>
    </row>
    <row r="14" spans="4:11">
      <c r="D14" s="173" t="s">
        <v>59</v>
      </c>
      <c r="E14" t="e">
        <f>#REF!</f>
        <v>#REF!</v>
      </c>
      <c r="F14" t="e">
        <f>#REF!</f>
        <v>#REF!</v>
      </c>
      <c r="G14" t="e">
        <f>#REF!</f>
        <v>#REF!</v>
      </c>
      <c r="H14" t="e">
        <f>#REF!</f>
        <v>#REF!</v>
      </c>
      <c r="I14" t="e">
        <f>#REF!</f>
        <v>#REF!</v>
      </c>
      <c r="J14" t="e">
        <f>工程施工费!#REF!</f>
        <v>#REF!</v>
      </c>
      <c r="K14" t="e">
        <f t="shared" si="0"/>
        <v>#REF!</v>
      </c>
    </row>
    <row r="15" spans="4:11">
      <c r="D15" s="173" t="s">
        <v>60</v>
      </c>
      <c r="E15" t="e">
        <f>#REF!</f>
        <v>#REF!</v>
      </c>
      <c r="F15" t="e">
        <f>#REF!</f>
        <v>#REF!</v>
      </c>
      <c r="G15" t="e">
        <f>#REF!</f>
        <v>#REF!</v>
      </c>
      <c r="H15" t="e">
        <f>#REF!</f>
        <v>#REF!</v>
      </c>
      <c r="I15" t="e">
        <f>#REF!</f>
        <v>#REF!</v>
      </c>
      <c r="J15" t="e">
        <f>工程施工费!#REF!</f>
        <v>#REF!</v>
      </c>
      <c r="K15" t="e">
        <f t="shared" si="0"/>
        <v>#REF!</v>
      </c>
    </row>
    <row r="16" spans="4:11">
      <c r="D16" s="173" t="s">
        <v>61</v>
      </c>
      <c r="E16" t="e">
        <f>#REF!</f>
        <v>#REF!</v>
      </c>
      <c r="F16" t="e">
        <f>#REF!</f>
        <v>#REF!</v>
      </c>
      <c r="G16" t="e">
        <f>#REF!</f>
        <v>#REF!</v>
      </c>
      <c r="H16" t="e">
        <f>#REF!</f>
        <v>#REF!</v>
      </c>
      <c r="I16" t="e">
        <f>#REF!</f>
        <v>#REF!</v>
      </c>
      <c r="J16" t="e">
        <f>工程施工费!#REF!</f>
        <v>#REF!</v>
      </c>
      <c r="K16" t="e">
        <f t="shared" si="0"/>
        <v>#REF!</v>
      </c>
    </row>
    <row r="17" spans="4:11">
      <c r="D17" s="173" t="s">
        <v>62</v>
      </c>
      <c r="E17" t="e">
        <f>#REF!</f>
        <v>#REF!</v>
      </c>
      <c r="F17" t="e">
        <f>#REF!</f>
        <v>#REF!</v>
      </c>
      <c r="G17" t="e">
        <f>#REF!</f>
        <v>#REF!</v>
      </c>
      <c r="H17" t="e">
        <f>#REF!</f>
        <v>#REF!</v>
      </c>
      <c r="I17" t="e">
        <f>#REF!</f>
        <v>#REF!</v>
      </c>
      <c r="J17" t="e">
        <f>工程施工费!#REF!</f>
        <v>#REF!</v>
      </c>
      <c r="K17" t="e">
        <f t="shared" si="0"/>
        <v>#REF!</v>
      </c>
    </row>
    <row r="18" spans="4:11">
      <c r="D18" s="173" t="s">
        <v>63</v>
      </c>
      <c r="E18" t="e">
        <f>#REF!</f>
        <v>#REF!</v>
      </c>
      <c r="F18" t="e">
        <f>#REF!</f>
        <v>#REF!</v>
      </c>
      <c r="G18" t="e">
        <f>#REF!</f>
        <v>#REF!</v>
      </c>
      <c r="H18" t="e">
        <f>#REF!</f>
        <v>#REF!</v>
      </c>
      <c r="I18" t="e">
        <f>#REF!</f>
        <v>#REF!</v>
      </c>
      <c r="J18" t="e">
        <f>工程施工费!#REF!</f>
        <v>#REF!</v>
      </c>
      <c r="K18" t="e">
        <f t="shared" si="0"/>
        <v>#REF!</v>
      </c>
    </row>
    <row r="19" spans="4:11">
      <c r="D19" s="173" t="s">
        <v>64</v>
      </c>
      <c r="E19" t="e">
        <f>#REF!</f>
        <v>#REF!</v>
      </c>
      <c r="F19" t="e">
        <f>#REF!</f>
        <v>#REF!</v>
      </c>
      <c r="G19" t="e">
        <f>#REF!</f>
        <v>#REF!</v>
      </c>
      <c r="H19" t="e">
        <f>#REF!</f>
        <v>#REF!</v>
      </c>
      <c r="I19" t="e">
        <f>#REF!</f>
        <v>#REF!</v>
      </c>
      <c r="J19" t="e">
        <f>工程施工费!#REF!</f>
        <v>#REF!</v>
      </c>
      <c r="K19" t="e">
        <f t="shared" si="0"/>
        <v>#REF!</v>
      </c>
    </row>
    <row r="20" spans="4:11">
      <c r="D20" t="e">
        <f>#REF!</f>
        <v>#REF!</v>
      </c>
      <c r="E20" t="e">
        <f>#REF!</f>
        <v>#REF!</v>
      </c>
      <c r="F20" t="e">
        <f>#REF!</f>
        <v>#REF!</v>
      </c>
      <c r="G20" t="e">
        <f>#REF!</f>
        <v>#REF!</v>
      </c>
      <c r="H20" t="e">
        <f>#REF!</f>
        <v>#REF!</v>
      </c>
      <c r="I20" t="e">
        <f>#REF!</f>
        <v>#REF!</v>
      </c>
      <c r="J20" t="e">
        <f>工程施工费!#REF!</f>
        <v>#REF!</v>
      </c>
      <c r="K20" t="e">
        <f t="shared" si="0"/>
        <v>#REF!</v>
      </c>
    </row>
    <row r="21" spans="4:11">
      <c r="D21" t="e">
        <f>#REF!</f>
        <v>#REF!</v>
      </c>
      <c r="E21" t="e">
        <f>#REF!</f>
        <v>#REF!</v>
      </c>
      <c r="F21" t="e">
        <f>#REF!</f>
        <v>#REF!</v>
      </c>
      <c r="G21" t="e">
        <f>#REF!</f>
        <v>#REF!</v>
      </c>
      <c r="H21" t="e">
        <f>#REF!</f>
        <v>#REF!</v>
      </c>
      <c r="I21" t="e">
        <f>#REF!</f>
        <v>#REF!</v>
      </c>
      <c r="J21" t="e">
        <f>工程施工费!#REF!</f>
        <v>#REF!</v>
      </c>
      <c r="K21" t="e">
        <f t="shared" si="0"/>
        <v>#REF!</v>
      </c>
    </row>
    <row r="22" spans="4:11">
      <c r="D22" t="e">
        <f>#REF!</f>
        <v>#REF!</v>
      </c>
      <c r="E22" t="e">
        <f>#REF!</f>
        <v>#REF!</v>
      </c>
      <c r="F22" t="e">
        <f>#REF!</f>
        <v>#REF!</v>
      </c>
      <c r="G22" t="e">
        <f>#REF!</f>
        <v>#REF!</v>
      </c>
      <c r="H22" t="e">
        <f>#REF!</f>
        <v>#REF!</v>
      </c>
      <c r="I22" t="e">
        <f>#REF!</f>
        <v>#REF!</v>
      </c>
      <c r="J22" t="e">
        <f>工程施工费!#REF!</f>
        <v>#REF!</v>
      </c>
      <c r="K22" t="e">
        <f t="shared" si="0"/>
        <v>#REF!</v>
      </c>
    </row>
    <row r="23" spans="4:11">
      <c r="D23" t="e">
        <f>#REF!</f>
        <v>#REF!</v>
      </c>
      <c r="E23" t="e">
        <f>#REF!</f>
        <v>#REF!</v>
      </c>
      <c r="F23" t="e">
        <f>#REF!</f>
        <v>#REF!</v>
      </c>
      <c r="G23" t="e">
        <f>#REF!</f>
        <v>#REF!</v>
      </c>
      <c r="H23" t="e">
        <f>#REF!</f>
        <v>#REF!</v>
      </c>
      <c r="I23" t="e">
        <f>#REF!</f>
        <v>#REF!</v>
      </c>
      <c r="J23" t="e">
        <f>工程施工费!#REF!</f>
        <v>#REF!</v>
      </c>
      <c r="K23" t="e">
        <f t="shared" si="0"/>
        <v>#REF!</v>
      </c>
    </row>
    <row r="24" spans="4:11">
      <c r="D24" t="e">
        <f>#REF!</f>
        <v>#REF!</v>
      </c>
      <c r="E24" t="e">
        <f>#REF!</f>
        <v>#REF!</v>
      </c>
      <c r="F24" t="e">
        <f>#REF!</f>
        <v>#REF!</v>
      </c>
      <c r="G24" t="e">
        <f>#REF!</f>
        <v>#REF!</v>
      </c>
      <c r="H24" t="e">
        <f>#REF!</f>
        <v>#REF!</v>
      </c>
      <c r="I24" t="e">
        <f>#REF!</f>
        <v>#REF!</v>
      </c>
      <c r="J24" t="e">
        <f>工程施工费!#REF!</f>
        <v>#REF!</v>
      </c>
      <c r="K24" t="e">
        <f t="shared" si="0"/>
        <v>#REF!</v>
      </c>
    </row>
    <row r="25" spans="4:11">
      <c r="D25" t="e">
        <f>#REF!</f>
        <v>#REF!</v>
      </c>
      <c r="E25" t="e">
        <f>#REF!</f>
        <v>#REF!</v>
      </c>
      <c r="F25" t="e">
        <f>#REF!</f>
        <v>#REF!</v>
      </c>
      <c r="G25" t="e">
        <f>#REF!</f>
        <v>#REF!</v>
      </c>
      <c r="H25" t="e">
        <f>#REF!</f>
        <v>#REF!</v>
      </c>
      <c r="I25" t="e">
        <f>#REF!</f>
        <v>#REF!</v>
      </c>
      <c r="J25" t="e">
        <f>工程施工费!#REF!</f>
        <v>#REF!</v>
      </c>
      <c r="K25" t="e">
        <f t="shared" si="0"/>
        <v>#REF!</v>
      </c>
    </row>
    <row r="26" spans="4:11">
      <c r="D26" t="e">
        <f>#REF!</f>
        <v>#REF!</v>
      </c>
      <c r="E26" t="e">
        <f>#REF!</f>
        <v>#REF!</v>
      </c>
      <c r="F26" t="e">
        <f>#REF!</f>
        <v>#REF!</v>
      </c>
      <c r="G26" t="e">
        <f>#REF!</f>
        <v>#REF!</v>
      </c>
      <c r="H26" t="e">
        <f>#REF!</f>
        <v>#REF!</v>
      </c>
      <c r="I26" t="e">
        <f>#REF!</f>
        <v>#REF!</v>
      </c>
      <c r="J26" t="e">
        <f>工程施工费!#REF!</f>
        <v>#REF!</v>
      </c>
      <c r="K26" t="e">
        <f t="shared" si="0"/>
        <v>#REF!</v>
      </c>
    </row>
    <row r="27" spans="4:11">
      <c r="D27" t="e">
        <f>#REF!</f>
        <v>#REF!</v>
      </c>
      <c r="E27" t="e">
        <f>#REF!</f>
        <v>#REF!</v>
      </c>
      <c r="F27" t="e">
        <f>#REF!</f>
        <v>#REF!</v>
      </c>
      <c r="G27" t="e">
        <f>#REF!</f>
        <v>#REF!</v>
      </c>
      <c r="H27" t="e">
        <f>#REF!</f>
        <v>#REF!</v>
      </c>
      <c r="I27" t="e">
        <f>#REF!</f>
        <v>#REF!</v>
      </c>
      <c r="J27" t="e">
        <f>工程施工费!#REF!</f>
        <v>#REF!</v>
      </c>
      <c r="K27" t="e">
        <f t="shared" si="0"/>
        <v>#REF!</v>
      </c>
    </row>
    <row r="28" spans="4:11">
      <c r="D28" t="e">
        <f>#REF!</f>
        <v>#REF!</v>
      </c>
      <c r="E28" t="e">
        <f>#REF!</f>
        <v>#REF!</v>
      </c>
      <c r="F28" t="e">
        <f>#REF!</f>
        <v>#REF!</v>
      </c>
      <c r="G28" t="e">
        <f>#REF!</f>
        <v>#REF!</v>
      </c>
      <c r="H28" t="e">
        <f>#REF!</f>
        <v>#REF!</v>
      </c>
      <c r="I28" t="e">
        <f>#REF!</f>
        <v>#REF!</v>
      </c>
      <c r="J28" t="e">
        <f>工程施工费!#REF!</f>
        <v>#REF!</v>
      </c>
      <c r="K28" t="e">
        <f t="shared" si="0"/>
        <v>#REF!</v>
      </c>
    </row>
    <row r="29" spans="4:11">
      <c r="D29" t="e">
        <f>#REF!</f>
        <v>#REF!</v>
      </c>
      <c r="E29" t="e">
        <f>#REF!</f>
        <v>#REF!</v>
      </c>
      <c r="F29" t="e">
        <f>#REF!</f>
        <v>#REF!</v>
      </c>
      <c r="G29" t="e">
        <f>#REF!</f>
        <v>#REF!</v>
      </c>
      <c r="H29" t="e">
        <f>#REF!</f>
        <v>#REF!</v>
      </c>
      <c r="I29" t="e">
        <f>#REF!</f>
        <v>#REF!</v>
      </c>
      <c r="J29" t="e">
        <f>工程施工费!#REF!</f>
        <v>#REF!</v>
      </c>
      <c r="K29" t="e">
        <f t="shared" si="0"/>
        <v>#REF!</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508"/>
  <sheetViews>
    <sheetView view="pageBreakPreview" zoomScale="85" zoomScaleNormal="100" workbookViewId="0">
      <selection activeCell="Q21" sqref="Q21"/>
    </sheetView>
  </sheetViews>
  <sheetFormatPr defaultColWidth="8.9" defaultRowHeight="25.2" customHeight="1"/>
  <cols>
    <col min="1" max="1" width="6.1" style="80" customWidth="1"/>
    <col min="2" max="2" width="8.9" style="80" customWidth="1"/>
    <col min="3" max="3" width="34.6" style="248" customWidth="1"/>
    <col min="4" max="4" width="6.5" style="80" customWidth="1"/>
    <col min="5" max="5" width="11" style="80" customWidth="1"/>
    <col min="6" max="6" width="8.7" style="80" customWidth="1"/>
    <col min="7" max="7" width="9.2" style="80" customWidth="1"/>
    <col min="8" max="8" width="10.7" style="80" customWidth="1"/>
    <col min="9" max="10" width="9" style="80" customWidth="1"/>
    <col min="11" max="11" width="9.6" style="80" customWidth="1"/>
    <col min="12" max="12" width="9" style="80" customWidth="1"/>
    <col min="13" max="16384" width="8.9" style="80"/>
  </cols>
  <sheetData>
    <row r="1" s="78" customFormat="1" ht="30.6" customHeight="1" spans="1:8">
      <c r="A1" s="249" t="s">
        <v>65</v>
      </c>
      <c r="B1" s="249"/>
      <c r="C1" s="250" t="s">
        <v>66</v>
      </c>
      <c r="D1" s="251"/>
      <c r="E1" s="251"/>
      <c r="F1" s="251"/>
      <c r="G1" s="251"/>
      <c r="H1" s="251"/>
    </row>
    <row r="2" s="96" customFormat="1" ht="23.4" customHeight="1" spans="1:8">
      <c r="A2" s="118" t="e">
        <f>#REF!</f>
        <v>#REF!</v>
      </c>
      <c r="B2" s="118"/>
      <c r="C2" s="118"/>
      <c r="D2" s="118"/>
      <c r="E2" s="118"/>
      <c r="F2" s="118"/>
      <c r="G2" s="252" t="s">
        <v>67</v>
      </c>
      <c r="H2" s="252"/>
    </row>
    <row r="3" s="96" customFormat="1" ht="22.2" customHeight="1" spans="1:8">
      <c r="A3" s="190" t="s">
        <v>68</v>
      </c>
      <c r="B3" s="193" t="s">
        <v>69</v>
      </c>
      <c r="C3" s="128" t="s">
        <v>70</v>
      </c>
      <c r="D3" s="191" t="s">
        <v>71</v>
      </c>
      <c r="E3" s="191" t="s">
        <v>72</v>
      </c>
      <c r="F3" s="191" t="s">
        <v>73</v>
      </c>
      <c r="G3" s="191" t="s">
        <v>74</v>
      </c>
      <c r="H3" s="191" t="s">
        <v>75</v>
      </c>
    </row>
    <row r="4" s="96" customFormat="1" ht="22.2" customHeight="1" spans="1:8">
      <c r="A4" s="190"/>
      <c r="B4" s="312" t="s">
        <v>76</v>
      </c>
      <c r="C4" s="312" t="s">
        <v>77</v>
      </c>
      <c r="D4" s="312" t="s">
        <v>78</v>
      </c>
      <c r="E4" s="312" t="s">
        <v>79</v>
      </c>
      <c r="F4" s="312" t="s">
        <v>80</v>
      </c>
      <c r="G4" s="312" t="s">
        <v>81</v>
      </c>
      <c r="H4" s="312" t="s">
        <v>82</v>
      </c>
    </row>
    <row r="5" s="247" customFormat="1" ht="22.2" customHeight="1" spans="1:8">
      <c r="A5" s="253"/>
      <c r="B5" s="313" t="s">
        <v>83</v>
      </c>
      <c r="C5" s="255"/>
      <c r="D5" s="256"/>
      <c r="E5" s="257"/>
      <c r="F5" s="257"/>
      <c r="G5" s="257"/>
      <c r="H5" s="257">
        <v>5621100</v>
      </c>
    </row>
    <row r="6" s="79" customFormat="1" ht="20.4" customHeight="1" spans="1:8">
      <c r="A6" s="314" t="s">
        <v>84</v>
      </c>
      <c r="B6" s="258"/>
      <c r="C6" s="315" t="s">
        <v>85</v>
      </c>
      <c r="D6" s="260"/>
      <c r="E6" s="193"/>
      <c r="F6" s="193"/>
      <c r="G6" s="193"/>
      <c r="H6" s="193" t="e">
        <f>H7+H12+H24</f>
        <v>#REF!</v>
      </c>
    </row>
    <row r="7" s="96" customFormat="1" ht="20.4" customHeight="1" spans="1:8">
      <c r="A7" s="314" t="s">
        <v>86</v>
      </c>
      <c r="B7" s="193"/>
      <c r="C7" s="312" t="s">
        <v>87</v>
      </c>
      <c r="D7" s="193"/>
      <c r="E7" s="193"/>
      <c r="F7" s="193"/>
      <c r="G7" s="193"/>
      <c r="H7" s="193" t="e">
        <f>H8</f>
        <v>#REF!</v>
      </c>
    </row>
    <row r="8" s="96" customFormat="1" ht="20.4" customHeight="1" spans="1:8">
      <c r="A8" s="314" t="s">
        <v>38</v>
      </c>
      <c r="B8" s="193"/>
      <c r="C8" s="312" t="s">
        <v>88</v>
      </c>
      <c r="D8" s="312" t="s">
        <v>89</v>
      </c>
      <c r="E8" s="193"/>
      <c r="F8" s="191">
        <v>2.92</v>
      </c>
      <c r="G8" s="193"/>
      <c r="H8" s="193" t="e">
        <f>SUM(H9:H11)</f>
        <v>#REF!</v>
      </c>
    </row>
    <row r="9" s="96" customFormat="1" ht="20.4" customHeight="1" spans="1:15">
      <c r="A9" s="316" t="s">
        <v>90</v>
      </c>
      <c r="B9" s="317" t="s">
        <v>91</v>
      </c>
      <c r="C9" s="261" t="s">
        <v>92</v>
      </c>
      <c r="D9" s="100" t="s">
        <v>93</v>
      </c>
      <c r="E9" s="193"/>
      <c r="F9" s="101">
        <v>61.32</v>
      </c>
      <c r="G9" s="101" t="e">
        <f>工10304</f>
        <v>#REF!</v>
      </c>
      <c r="H9" s="120" t="e">
        <f>G9*F9</f>
        <v>#REF!</v>
      </c>
      <c r="O9" s="265"/>
    </row>
    <row r="10" s="96" customFormat="1" ht="20.4" customHeight="1" spans="1:8">
      <c r="A10" s="316" t="s">
        <v>94</v>
      </c>
      <c r="B10" s="317" t="s">
        <v>95</v>
      </c>
      <c r="C10" s="261" t="s">
        <v>96</v>
      </c>
      <c r="D10" s="100" t="s">
        <v>93</v>
      </c>
      <c r="E10" s="193"/>
      <c r="F10" s="101">
        <v>36.79</v>
      </c>
      <c r="G10" s="101" t="e">
        <f>工10305</f>
        <v>#REF!</v>
      </c>
      <c r="H10" s="120" t="e">
        <f>G10*F10</f>
        <v>#REF!</v>
      </c>
    </row>
    <row r="11" s="96" customFormat="1" ht="20.4" customHeight="1" spans="1:8">
      <c r="A11" s="316" t="s">
        <v>97</v>
      </c>
      <c r="B11" s="317" t="s">
        <v>98</v>
      </c>
      <c r="C11" s="261" t="s">
        <v>99</v>
      </c>
      <c r="D11" s="100" t="s">
        <v>93</v>
      </c>
      <c r="E11" s="193"/>
      <c r="F11" s="101">
        <v>24.52</v>
      </c>
      <c r="G11" s="101">
        <f>工10306</f>
        <v>309.620525377571</v>
      </c>
      <c r="H11" s="120">
        <f>G11*F11</f>
        <v>7591.89528225803</v>
      </c>
    </row>
    <row r="12" s="96" customFormat="1" ht="20.4" customHeight="1" spans="1:8">
      <c r="A12" s="314" t="s">
        <v>100</v>
      </c>
      <c r="B12" s="193"/>
      <c r="C12" s="312" t="s">
        <v>101</v>
      </c>
      <c r="D12" s="193"/>
      <c r="E12" s="193"/>
      <c r="F12" s="193"/>
      <c r="G12" s="193"/>
      <c r="H12" s="193" t="e">
        <f>H13+H20</f>
        <v>#NAME?</v>
      </c>
    </row>
    <row r="13" s="79" customFormat="1" ht="20.4" customHeight="1" spans="1:8">
      <c r="A13" s="314" t="s">
        <v>38</v>
      </c>
      <c r="B13" s="193"/>
      <c r="C13" s="312" t="s">
        <v>102</v>
      </c>
      <c r="D13" s="193"/>
      <c r="E13" s="193"/>
      <c r="F13" s="193"/>
      <c r="G13" s="193"/>
      <c r="H13" s="193" t="e">
        <f>SUM(H14:H19)</f>
        <v>#NAME?</v>
      </c>
    </row>
    <row r="14" ht="20.4" customHeight="1" spans="1:8">
      <c r="A14" s="316" t="s">
        <v>90</v>
      </c>
      <c r="B14" s="317" t="s">
        <v>103</v>
      </c>
      <c r="C14" s="317" t="s">
        <v>104</v>
      </c>
      <c r="D14" s="317" t="s">
        <v>105</v>
      </c>
      <c r="E14" s="120"/>
      <c r="F14" s="101">
        <v>811</v>
      </c>
      <c r="G14" s="129">
        <v>35</v>
      </c>
      <c r="H14" s="120">
        <f t="shared" ref="H14:H19" si="0">G14*F14</f>
        <v>28385</v>
      </c>
    </row>
    <row r="15" ht="20.4" customHeight="1" spans="1:8">
      <c r="A15" s="316" t="s">
        <v>94</v>
      </c>
      <c r="B15" s="317" t="s">
        <v>106</v>
      </c>
      <c r="C15" s="317" t="s">
        <v>107</v>
      </c>
      <c r="D15" s="317" t="s">
        <v>105</v>
      </c>
      <c r="E15" s="120"/>
      <c r="F15" s="101">
        <v>811</v>
      </c>
      <c r="G15" s="129">
        <v>28</v>
      </c>
      <c r="H15" s="120">
        <f t="shared" si="0"/>
        <v>22708</v>
      </c>
    </row>
    <row r="16" ht="20.4" customHeight="1" spans="1:8">
      <c r="A16" s="316" t="s">
        <v>97</v>
      </c>
      <c r="B16" s="317" t="s">
        <v>103</v>
      </c>
      <c r="C16" s="317" t="s">
        <v>108</v>
      </c>
      <c r="D16" s="317" t="s">
        <v>105</v>
      </c>
      <c r="E16" s="120"/>
      <c r="F16" s="101">
        <v>811</v>
      </c>
      <c r="G16" s="129">
        <v>31</v>
      </c>
      <c r="H16" s="120">
        <f t="shared" si="0"/>
        <v>25141</v>
      </c>
    </row>
    <row r="17" ht="20.4" customHeight="1" spans="1:8">
      <c r="A17" s="316" t="s">
        <v>109</v>
      </c>
      <c r="B17" s="317" t="s">
        <v>110</v>
      </c>
      <c r="C17" s="317" t="s">
        <v>111</v>
      </c>
      <c r="D17" s="317" t="s">
        <v>105</v>
      </c>
      <c r="E17" s="120"/>
      <c r="F17" s="101">
        <v>2920</v>
      </c>
      <c r="G17" s="101">
        <v>2.5</v>
      </c>
      <c r="H17" s="120">
        <f t="shared" si="0"/>
        <v>7300</v>
      </c>
    </row>
    <row r="18" ht="20.4" customHeight="1" spans="1:8">
      <c r="A18" s="316" t="s">
        <v>112</v>
      </c>
      <c r="B18" s="317" t="s">
        <v>113</v>
      </c>
      <c r="C18" s="317" t="s">
        <v>114</v>
      </c>
      <c r="D18" s="100" t="s">
        <v>115</v>
      </c>
      <c r="E18" s="120"/>
      <c r="F18" s="101">
        <f>F8*0.8</f>
        <v>2.336</v>
      </c>
      <c r="G18" s="101" t="e">
        <f>工90030</f>
        <v>#NAME?</v>
      </c>
      <c r="H18" s="120" t="e">
        <f t="shared" si="0"/>
        <v>#NAME?</v>
      </c>
    </row>
    <row r="19" ht="20.4" customHeight="1" spans="1:8">
      <c r="A19" s="316" t="s">
        <v>116</v>
      </c>
      <c r="B19" s="317" t="s">
        <v>117</v>
      </c>
      <c r="C19" s="317" t="s">
        <v>118</v>
      </c>
      <c r="D19" s="100" t="s">
        <v>115</v>
      </c>
      <c r="E19" s="120"/>
      <c r="F19" s="101">
        <f>F18</f>
        <v>2.336</v>
      </c>
      <c r="G19" s="101">
        <v>13000</v>
      </c>
      <c r="H19" s="120">
        <f t="shared" si="0"/>
        <v>30368</v>
      </c>
    </row>
    <row r="20" s="79" customFormat="1" ht="20.4" customHeight="1" spans="1:8">
      <c r="A20" s="314" t="s">
        <v>40</v>
      </c>
      <c r="B20" s="193"/>
      <c r="C20" s="312" t="s">
        <v>119</v>
      </c>
      <c r="D20" s="193"/>
      <c r="E20" s="193"/>
      <c r="F20" s="193"/>
      <c r="G20" s="193"/>
      <c r="H20" s="193" t="e">
        <f>SUM(H21:H23)</f>
        <v>#NAME?</v>
      </c>
    </row>
    <row r="21" ht="21.45" customHeight="1" spans="1:8">
      <c r="A21" s="316" t="s">
        <v>90</v>
      </c>
      <c r="B21" s="317" t="s">
        <v>120</v>
      </c>
      <c r="C21" s="112" t="s">
        <v>121</v>
      </c>
      <c r="D21" s="100" t="s">
        <v>93</v>
      </c>
      <c r="E21" s="101"/>
      <c r="F21" s="101">
        <v>511.23</v>
      </c>
      <c r="G21" s="101" t="e">
        <f>工补1</f>
        <v>#NAME?</v>
      </c>
      <c r="H21" s="120" t="e">
        <f>G21*F21</f>
        <v>#NAME?</v>
      </c>
    </row>
    <row r="22" ht="21.45" customHeight="1" spans="1:8">
      <c r="A22" s="316" t="s">
        <v>94</v>
      </c>
      <c r="B22" s="317" t="s">
        <v>122</v>
      </c>
      <c r="C22" s="112" t="s">
        <v>123</v>
      </c>
      <c r="D22" s="100" t="s">
        <v>115</v>
      </c>
      <c r="E22" s="101"/>
      <c r="F22" s="101">
        <v>2.12</v>
      </c>
      <c r="G22" s="101" t="e">
        <f>工90029</f>
        <v>#NAME?</v>
      </c>
      <c r="H22" s="120" t="e">
        <f>G22*F22</f>
        <v>#NAME?</v>
      </c>
    </row>
    <row r="23" ht="21.45" customHeight="1" spans="1:8">
      <c r="A23" s="316" t="s">
        <v>97</v>
      </c>
      <c r="B23" s="317" t="s">
        <v>117</v>
      </c>
      <c r="C23" s="262" t="s">
        <v>124</v>
      </c>
      <c r="D23" s="100" t="s">
        <v>115</v>
      </c>
      <c r="E23" s="101"/>
      <c r="F23" s="101">
        <v>2.12</v>
      </c>
      <c r="G23" s="101">
        <v>15000</v>
      </c>
      <c r="H23" s="120">
        <f>G23*F23</f>
        <v>31800</v>
      </c>
    </row>
    <row r="24" s="79" customFormat="1" ht="21.45" customHeight="1" spans="1:8">
      <c r="A24" s="190" t="s">
        <v>125</v>
      </c>
      <c r="B24" s="193"/>
      <c r="C24" s="128" t="s">
        <v>126</v>
      </c>
      <c r="D24" s="141"/>
      <c r="E24" s="191"/>
      <c r="F24" s="193">
        <v>1</v>
      </c>
      <c r="G24" s="191"/>
      <c r="H24" s="193" t="e">
        <f>SUM(H25:H27)</f>
        <v>#REF!</v>
      </c>
    </row>
    <row r="25" s="79" customFormat="1" ht="21.45" customHeight="1" spans="1:8">
      <c r="A25" s="316" t="s">
        <v>90</v>
      </c>
      <c r="B25" s="120">
        <v>10203</v>
      </c>
      <c r="C25" s="121" t="s">
        <v>127</v>
      </c>
      <c r="D25" s="199" t="s">
        <v>128</v>
      </c>
      <c r="E25" s="101">
        <v>16.45</v>
      </c>
      <c r="F25" s="101">
        <f>E25</f>
        <v>16.45</v>
      </c>
      <c r="G25" s="101" t="e">
        <f>工10203/100</f>
        <v>#REF!</v>
      </c>
      <c r="H25" s="120" t="e">
        <f>G25*F25</f>
        <v>#REF!</v>
      </c>
    </row>
    <row r="26" ht="21.45" customHeight="1" spans="1:8">
      <c r="A26" s="316" t="s">
        <v>94</v>
      </c>
      <c r="B26" s="120">
        <v>10345</v>
      </c>
      <c r="C26" s="121" t="s">
        <v>129</v>
      </c>
      <c r="D26" s="199" t="s">
        <v>128</v>
      </c>
      <c r="E26" s="101">
        <v>12.3</v>
      </c>
      <c r="F26" s="101">
        <f>E26</f>
        <v>12.3</v>
      </c>
      <c r="G26" s="101" t="e">
        <f>工10345/100</f>
        <v>#REF!</v>
      </c>
      <c r="H26" s="120" t="e">
        <f>G26*F26</f>
        <v>#REF!</v>
      </c>
    </row>
    <row r="27" ht="21.45" customHeight="1" spans="1:8">
      <c r="A27" s="316" t="s">
        <v>97</v>
      </c>
      <c r="B27" s="120" t="s">
        <v>130</v>
      </c>
      <c r="C27" s="121" t="s">
        <v>131</v>
      </c>
      <c r="D27" s="199" t="s">
        <v>132</v>
      </c>
      <c r="E27" s="101">
        <v>1</v>
      </c>
      <c r="F27" s="101">
        <f>E27</f>
        <v>1</v>
      </c>
      <c r="G27" s="101">
        <v>15000</v>
      </c>
      <c r="H27" s="120">
        <f>G27*F27</f>
        <v>15000</v>
      </c>
    </row>
    <row r="28" s="79" customFormat="1" ht="20.4" customHeight="1" spans="1:8">
      <c r="A28" s="314" t="s">
        <v>133</v>
      </c>
      <c r="B28" s="258"/>
      <c r="C28" s="315" t="s">
        <v>134</v>
      </c>
      <c r="D28" s="260"/>
      <c r="E28" s="193"/>
      <c r="F28" s="193"/>
      <c r="G28" s="193"/>
      <c r="H28" s="193" t="e">
        <f>H29+H34+H46</f>
        <v>#REF!</v>
      </c>
    </row>
    <row r="29" s="96" customFormat="1" ht="20.4" customHeight="1" spans="1:8">
      <c r="A29" s="314" t="s">
        <v>86</v>
      </c>
      <c r="B29" s="193"/>
      <c r="C29" s="312" t="s">
        <v>87</v>
      </c>
      <c r="D29" s="193"/>
      <c r="E29" s="193"/>
      <c r="F29" s="193"/>
      <c r="G29" s="193"/>
      <c r="H29" s="193" t="e">
        <f>H30</f>
        <v>#REF!</v>
      </c>
    </row>
    <row r="30" s="96" customFormat="1" ht="20.4" customHeight="1" spans="1:8">
      <c r="A30" s="314" t="s">
        <v>38</v>
      </c>
      <c r="B30" s="193"/>
      <c r="C30" s="312" t="s">
        <v>88</v>
      </c>
      <c r="D30" s="312" t="s">
        <v>89</v>
      </c>
      <c r="E30" s="193"/>
      <c r="F30" s="191">
        <v>6.62</v>
      </c>
      <c r="G30" s="193"/>
      <c r="H30" s="193" t="e">
        <f>SUM(H31:H33)</f>
        <v>#REF!</v>
      </c>
    </row>
    <row r="31" s="96" customFormat="1" ht="20.4" customHeight="1" spans="1:8">
      <c r="A31" s="316" t="s">
        <v>90</v>
      </c>
      <c r="B31" s="317" t="s">
        <v>91</v>
      </c>
      <c r="C31" s="261" t="s">
        <v>92</v>
      </c>
      <c r="D31" s="100" t="s">
        <v>93</v>
      </c>
      <c r="E31" s="193"/>
      <c r="F31" s="101">
        <v>139.02</v>
      </c>
      <c r="G31" s="101" t="e">
        <f>工10304</f>
        <v>#REF!</v>
      </c>
      <c r="H31" s="120" t="e">
        <f>G31*F31</f>
        <v>#REF!</v>
      </c>
    </row>
    <row r="32" s="96" customFormat="1" ht="20.4" customHeight="1" spans="1:8">
      <c r="A32" s="316" t="s">
        <v>94</v>
      </c>
      <c r="B32" s="317" t="s">
        <v>95</v>
      </c>
      <c r="C32" s="261" t="s">
        <v>96</v>
      </c>
      <c r="D32" s="100" t="s">
        <v>93</v>
      </c>
      <c r="E32" s="193"/>
      <c r="F32" s="101">
        <v>83.41</v>
      </c>
      <c r="G32" s="101" t="e">
        <f>工10305</f>
        <v>#REF!</v>
      </c>
      <c r="H32" s="120" t="e">
        <f>G32*F32</f>
        <v>#REF!</v>
      </c>
    </row>
    <row r="33" s="96" customFormat="1" ht="20.4" customHeight="1" spans="1:8">
      <c r="A33" s="316" t="s">
        <v>97</v>
      </c>
      <c r="B33" s="317" t="s">
        <v>98</v>
      </c>
      <c r="C33" s="261" t="s">
        <v>99</v>
      </c>
      <c r="D33" s="100" t="s">
        <v>93</v>
      </c>
      <c r="E33" s="193"/>
      <c r="F33" s="101">
        <v>55.6</v>
      </c>
      <c r="G33" s="101">
        <f>工10306</f>
        <v>309.620525377571</v>
      </c>
      <c r="H33" s="120">
        <f>G33*F33</f>
        <v>17214.9012109929</v>
      </c>
    </row>
    <row r="34" s="96" customFormat="1" ht="20.4" customHeight="1" spans="1:8">
      <c r="A34" s="314" t="s">
        <v>100</v>
      </c>
      <c r="B34" s="193"/>
      <c r="C34" s="312" t="s">
        <v>101</v>
      </c>
      <c r="D34" s="193"/>
      <c r="E34" s="193"/>
      <c r="F34" s="193"/>
      <c r="G34" s="193"/>
      <c r="H34" s="193" t="e">
        <f>H35+H42</f>
        <v>#NAME?</v>
      </c>
    </row>
    <row r="35" s="79" customFormat="1" ht="20.4" customHeight="1" spans="1:8">
      <c r="A35" s="314" t="s">
        <v>38</v>
      </c>
      <c r="B35" s="193"/>
      <c r="C35" s="312" t="s">
        <v>135</v>
      </c>
      <c r="D35" s="193"/>
      <c r="E35" s="193"/>
      <c r="F35" s="193"/>
      <c r="G35" s="193"/>
      <c r="H35" s="193" t="e">
        <f>SUM(H36:H41)</f>
        <v>#NAME?</v>
      </c>
    </row>
    <row r="36" ht="20.4" customHeight="1" spans="1:8">
      <c r="A36" s="316" t="s">
        <v>90</v>
      </c>
      <c r="B36" s="317" t="s">
        <v>103</v>
      </c>
      <c r="C36" s="317" t="s">
        <v>104</v>
      </c>
      <c r="D36" s="317" t="s">
        <v>105</v>
      </c>
      <c r="E36" s="120"/>
      <c r="F36" s="101">
        <v>1838</v>
      </c>
      <c r="G36" s="129">
        <v>35</v>
      </c>
      <c r="H36" s="120">
        <f t="shared" ref="H36:H41" si="1">G36*F36</f>
        <v>64330</v>
      </c>
    </row>
    <row r="37" ht="20.4" customHeight="1" spans="1:8">
      <c r="A37" s="316" t="s">
        <v>94</v>
      </c>
      <c r="B37" s="317" t="s">
        <v>106</v>
      </c>
      <c r="C37" s="317" t="s">
        <v>107</v>
      </c>
      <c r="D37" s="317" t="s">
        <v>105</v>
      </c>
      <c r="E37" s="120"/>
      <c r="F37" s="101">
        <v>1838</v>
      </c>
      <c r="G37" s="129">
        <v>28</v>
      </c>
      <c r="H37" s="120">
        <f t="shared" si="1"/>
        <v>51464</v>
      </c>
    </row>
    <row r="38" ht="20.4" customHeight="1" spans="1:8">
      <c r="A38" s="316" t="s">
        <v>97</v>
      </c>
      <c r="B38" s="317" t="s">
        <v>103</v>
      </c>
      <c r="C38" s="317" t="s">
        <v>108</v>
      </c>
      <c r="D38" s="317" t="s">
        <v>105</v>
      </c>
      <c r="E38" s="120"/>
      <c r="F38" s="101">
        <v>1838</v>
      </c>
      <c r="G38" s="129">
        <v>31</v>
      </c>
      <c r="H38" s="120">
        <f t="shared" si="1"/>
        <v>56978</v>
      </c>
    </row>
    <row r="39" ht="20.4" customHeight="1" spans="1:8">
      <c r="A39" s="316" t="s">
        <v>109</v>
      </c>
      <c r="B39" s="317" t="s">
        <v>110</v>
      </c>
      <c r="C39" s="317" t="s">
        <v>111</v>
      </c>
      <c r="D39" s="317" t="s">
        <v>105</v>
      </c>
      <c r="E39" s="120"/>
      <c r="F39" s="120">
        <v>6620</v>
      </c>
      <c r="G39" s="101">
        <v>2.5</v>
      </c>
      <c r="H39" s="120">
        <f t="shared" si="1"/>
        <v>16550</v>
      </c>
    </row>
    <row r="40" ht="20.4" customHeight="1" spans="1:8">
      <c r="A40" s="316" t="s">
        <v>112</v>
      </c>
      <c r="B40" s="317" t="s">
        <v>113</v>
      </c>
      <c r="C40" s="317" t="s">
        <v>114</v>
      </c>
      <c r="D40" s="100" t="s">
        <v>115</v>
      </c>
      <c r="E40" s="120"/>
      <c r="F40" s="101">
        <f>F30*0.8</f>
        <v>5.296</v>
      </c>
      <c r="G40" s="101" t="e">
        <f>工90030</f>
        <v>#NAME?</v>
      </c>
      <c r="H40" s="120" t="e">
        <f t="shared" si="1"/>
        <v>#NAME?</v>
      </c>
    </row>
    <row r="41" ht="20.4" customHeight="1" spans="1:8">
      <c r="A41" s="316" t="s">
        <v>116</v>
      </c>
      <c r="B41" s="317" t="s">
        <v>117</v>
      </c>
      <c r="C41" s="317" t="s">
        <v>118</v>
      </c>
      <c r="D41" s="100" t="s">
        <v>115</v>
      </c>
      <c r="E41" s="120"/>
      <c r="F41" s="101">
        <f>F40</f>
        <v>5.296</v>
      </c>
      <c r="G41" s="101">
        <v>13000</v>
      </c>
      <c r="H41" s="120">
        <f t="shared" si="1"/>
        <v>68848</v>
      </c>
    </row>
    <row r="42" s="79" customFormat="1" ht="20.4" customHeight="1" spans="1:8">
      <c r="A42" s="314" t="s">
        <v>40</v>
      </c>
      <c r="B42" s="193"/>
      <c r="C42" s="312" t="s">
        <v>119</v>
      </c>
      <c r="D42" s="135"/>
      <c r="E42" s="193"/>
      <c r="F42" s="191"/>
      <c r="G42" s="193"/>
      <c r="H42" s="193" t="e">
        <f>SUM(H43:H45)</f>
        <v>#NAME?</v>
      </c>
    </row>
    <row r="43" ht="21.45" customHeight="1" spans="1:8">
      <c r="A43" s="316" t="s">
        <v>90</v>
      </c>
      <c r="B43" s="317" t="s">
        <v>120</v>
      </c>
      <c r="C43" s="112" t="s">
        <v>121</v>
      </c>
      <c r="D43" s="100" t="s">
        <v>93</v>
      </c>
      <c r="E43" s="101">
        <v>527.311874036609</v>
      </c>
      <c r="F43" s="101">
        <v>579.6</v>
      </c>
      <c r="G43" s="101" t="e">
        <f>工补1</f>
        <v>#NAME?</v>
      </c>
      <c r="H43" s="120" t="e">
        <f>G43*F43</f>
        <v>#NAME?</v>
      </c>
    </row>
    <row r="44" ht="21.45" customHeight="1" spans="1:8">
      <c r="A44" s="316" t="s">
        <v>94</v>
      </c>
      <c r="B44" s="317" t="s">
        <v>122</v>
      </c>
      <c r="C44" s="112" t="s">
        <v>123</v>
      </c>
      <c r="D44" s="100" t="s">
        <v>115</v>
      </c>
      <c r="E44" s="101">
        <v>1</v>
      </c>
      <c r="F44" s="101">
        <v>2.208</v>
      </c>
      <c r="G44" s="101" t="e">
        <f>工90029</f>
        <v>#NAME?</v>
      </c>
      <c r="H44" s="120" t="e">
        <f>G44*F44</f>
        <v>#NAME?</v>
      </c>
    </row>
    <row r="45" ht="21.45" customHeight="1" spans="1:8">
      <c r="A45" s="316" t="s">
        <v>97</v>
      </c>
      <c r="B45" s="112" t="s">
        <v>117</v>
      </c>
      <c r="C45" s="112" t="s">
        <v>124</v>
      </c>
      <c r="D45" s="100" t="s">
        <v>136</v>
      </c>
      <c r="E45" s="101">
        <v>1</v>
      </c>
      <c r="F45" s="101">
        <v>2.208</v>
      </c>
      <c r="G45" s="101">
        <v>15000</v>
      </c>
      <c r="H45" s="120">
        <f>G45*F45</f>
        <v>33120</v>
      </c>
    </row>
    <row r="46" s="79" customFormat="1" ht="21.45" customHeight="1" spans="1:8">
      <c r="A46" s="190" t="s">
        <v>125</v>
      </c>
      <c r="B46" s="193"/>
      <c r="C46" s="128" t="s">
        <v>126</v>
      </c>
      <c r="D46" s="141"/>
      <c r="E46" s="191"/>
      <c r="F46" s="193">
        <v>1</v>
      </c>
      <c r="G46" s="191"/>
      <c r="H46" s="193" t="e">
        <f>SUM(H47:H49)</f>
        <v>#REF!</v>
      </c>
    </row>
    <row r="47" s="79" customFormat="1" ht="21.45" customHeight="1" spans="1:8">
      <c r="A47" s="316" t="s">
        <v>90</v>
      </c>
      <c r="B47" s="120">
        <v>10203</v>
      </c>
      <c r="C47" s="121" t="s">
        <v>127</v>
      </c>
      <c r="D47" s="199" t="s">
        <v>128</v>
      </c>
      <c r="E47" s="101">
        <v>16.45</v>
      </c>
      <c r="F47" s="101">
        <f>E47</f>
        <v>16.45</v>
      </c>
      <c r="G47" s="101" t="e">
        <f>工10203/100</f>
        <v>#REF!</v>
      </c>
      <c r="H47" s="120" t="e">
        <f>G47*F47</f>
        <v>#REF!</v>
      </c>
    </row>
    <row r="48" ht="21.45" customHeight="1" spans="1:8">
      <c r="A48" s="316" t="s">
        <v>94</v>
      </c>
      <c r="B48" s="120">
        <v>10345</v>
      </c>
      <c r="C48" s="121" t="s">
        <v>129</v>
      </c>
      <c r="D48" s="199" t="s">
        <v>128</v>
      </c>
      <c r="E48" s="101">
        <v>12.3</v>
      </c>
      <c r="F48" s="101">
        <f>E48</f>
        <v>12.3</v>
      </c>
      <c r="G48" s="101" t="e">
        <f>工10345/100</f>
        <v>#REF!</v>
      </c>
      <c r="H48" s="120" t="e">
        <f>G48*F48</f>
        <v>#REF!</v>
      </c>
    </row>
    <row r="49" ht="21.45" customHeight="1" spans="1:8">
      <c r="A49" s="316" t="s">
        <v>97</v>
      </c>
      <c r="B49" s="120" t="s">
        <v>130</v>
      </c>
      <c r="C49" s="121" t="s">
        <v>131</v>
      </c>
      <c r="D49" s="199" t="s">
        <v>132</v>
      </c>
      <c r="E49" s="101">
        <v>1</v>
      </c>
      <c r="F49" s="101">
        <f>E49</f>
        <v>1</v>
      </c>
      <c r="G49" s="101">
        <v>15000</v>
      </c>
      <c r="H49" s="120">
        <f>G49*F49</f>
        <v>15000</v>
      </c>
    </row>
    <row r="50" s="96" customFormat="1" ht="22.2" customHeight="1" spans="1:8">
      <c r="A50" s="190"/>
      <c r="B50" s="315" t="s">
        <v>137</v>
      </c>
      <c r="C50" s="263"/>
      <c r="D50" s="264"/>
      <c r="E50" s="193"/>
      <c r="F50" s="193"/>
      <c r="G50" s="193"/>
      <c r="H50" s="193" t="e">
        <f>H51+H68</f>
        <v>#REF!</v>
      </c>
    </row>
    <row r="51" s="79" customFormat="1" ht="20.4" customHeight="1" spans="1:8">
      <c r="A51" s="314" t="s">
        <v>84</v>
      </c>
      <c r="C51" s="315" t="s">
        <v>138</v>
      </c>
      <c r="D51" s="260"/>
      <c r="E51" s="193"/>
      <c r="F51" s="193"/>
      <c r="G51" s="193"/>
      <c r="H51" s="193" t="e">
        <f>H52+H62</f>
        <v>#REF!</v>
      </c>
    </row>
    <row r="52" s="96" customFormat="1" ht="20.4" customHeight="1" spans="1:8">
      <c r="A52" s="314" t="s">
        <v>86</v>
      </c>
      <c r="B52" s="193"/>
      <c r="C52" s="312" t="s">
        <v>88</v>
      </c>
      <c r="D52" s="193"/>
      <c r="E52" s="193"/>
      <c r="F52" s="193"/>
      <c r="G52" s="193"/>
      <c r="H52" s="193" t="e">
        <f>H53+H56+H59</f>
        <v>#REF!</v>
      </c>
    </row>
    <row r="53" s="96" customFormat="1" ht="20.4" customHeight="1" spans="1:8">
      <c r="A53" s="314" t="s">
        <v>38</v>
      </c>
      <c r="B53" s="193"/>
      <c r="C53" s="312" t="s">
        <v>139</v>
      </c>
      <c r="D53" s="193"/>
      <c r="E53" s="193"/>
      <c r="F53" s="193"/>
      <c r="G53" s="193"/>
      <c r="H53" s="193" t="e">
        <f>SUM(H54:H55)</f>
        <v>#REF!</v>
      </c>
    </row>
    <row r="54" s="96" customFormat="1" ht="20.4" customHeight="1" spans="1:8">
      <c r="A54" s="316" t="s">
        <v>90</v>
      </c>
      <c r="B54" s="317" t="s">
        <v>91</v>
      </c>
      <c r="C54" s="261" t="s">
        <v>92</v>
      </c>
      <c r="D54" s="100" t="s">
        <v>93</v>
      </c>
      <c r="E54" s="120"/>
      <c r="F54" s="101">
        <v>3.75</v>
      </c>
      <c r="G54" s="101" t="e">
        <f>工10304</f>
        <v>#REF!</v>
      </c>
      <c r="H54" s="120" t="e">
        <f>G54*F54</f>
        <v>#REF!</v>
      </c>
    </row>
    <row r="55" s="96" customFormat="1" ht="20.4" customHeight="1" spans="1:8">
      <c r="A55" s="316" t="s">
        <v>94</v>
      </c>
      <c r="B55" s="317" t="s">
        <v>95</v>
      </c>
      <c r="C55" s="261" t="s">
        <v>96</v>
      </c>
      <c r="D55" s="100" t="s">
        <v>93</v>
      </c>
      <c r="E55" s="120"/>
      <c r="F55" s="101">
        <v>1.5</v>
      </c>
      <c r="G55" s="101" t="e">
        <f>工10305</f>
        <v>#REF!</v>
      </c>
      <c r="H55" s="120" t="e">
        <f>G55*F55</f>
        <v>#REF!</v>
      </c>
    </row>
    <row r="56" s="132" customFormat="1" ht="20.4" customHeight="1" spans="1:8">
      <c r="A56" s="314" t="s">
        <v>40</v>
      </c>
      <c r="B56" s="193"/>
      <c r="C56" s="196" t="s">
        <v>140</v>
      </c>
      <c r="D56" s="193"/>
      <c r="E56" s="193"/>
      <c r="F56" s="193"/>
      <c r="G56" s="191"/>
      <c r="H56" s="193" t="e">
        <f>SUM(H57:H58)</f>
        <v>#NAME?</v>
      </c>
    </row>
    <row r="57" s="96" customFormat="1" ht="20.4" customHeight="1" spans="1:8">
      <c r="A57" s="316" t="s">
        <v>90</v>
      </c>
      <c r="B57" s="317" t="s">
        <v>141</v>
      </c>
      <c r="C57" s="261" t="s">
        <v>142</v>
      </c>
      <c r="D57" s="317" t="s">
        <v>143</v>
      </c>
      <c r="E57" s="120"/>
      <c r="F57" s="101">
        <v>0.97</v>
      </c>
      <c r="G57" s="101" t="e">
        <f>工10356</f>
        <v>#NAME?</v>
      </c>
      <c r="H57" s="120" t="e">
        <f>F57*G57</f>
        <v>#NAME?</v>
      </c>
    </row>
    <row r="58" s="96" customFormat="1" ht="20.4" customHeight="1" spans="1:8">
      <c r="A58" s="316" t="s">
        <v>94</v>
      </c>
      <c r="B58" s="317" t="s">
        <v>144</v>
      </c>
      <c r="C58" s="261" t="s">
        <v>145</v>
      </c>
      <c r="D58" s="317" t="s">
        <v>143</v>
      </c>
      <c r="E58" s="120"/>
      <c r="F58" s="101">
        <v>0.97</v>
      </c>
      <c r="G58" s="101" t="e">
        <f>工10363</f>
        <v>#NAME?</v>
      </c>
      <c r="H58" s="120" t="e">
        <f>F58*G58</f>
        <v>#NAME?</v>
      </c>
    </row>
    <row r="59" s="79" customFormat="1" ht="20.4" customHeight="1" spans="1:8">
      <c r="A59" s="314" t="s">
        <v>42</v>
      </c>
      <c r="B59" s="193"/>
      <c r="C59" s="312" t="s">
        <v>146</v>
      </c>
      <c r="D59" s="193"/>
      <c r="E59" s="193"/>
      <c r="F59" s="193"/>
      <c r="G59" s="191"/>
      <c r="H59" s="193" t="e">
        <f>SUM(H60:H61)</f>
        <v>#NAME?</v>
      </c>
    </row>
    <row r="60" s="96" customFormat="1" ht="20.4" customHeight="1" spans="1:8">
      <c r="A60" s="316" t="s">
        <v>90</v>
      </c>
      <c r="B60" s="317" t="s">
        <v>147</v>
      </c>
      <c r="C60" s="261" t="s">
        <v>148</v>
      </c>
      <c r="D60" s="100" t="s">
        <v>93</v>
      </c>
      <c r="E60" s="120"/>
      <c r="F60" s="101">
        <v>2.45</v>
      </c>
      <c r="G60" s="101">
        <f>工10218</f>
        <v>1002.69680545984</v>
      </c>
      <c r="H60" s="120">
        <f>G60*F60</f>
        <v>2456.60717337662</v>
      </c>
    </row>
    <row r="61" s="96" customFormat="1" ht="20.4" customHeight="1" spans="1:8">
      <c r="A61" s="316" t="s">
        <v>94</v>
      </c>
      <c r="B61" s="317" t="s">
        <v>149</v>
      </c>
      <c r="C61" s="261" t="s">
        <v>150</v>
      </c>
      <c r="D61" s="100" t="s">
        <v>93</v>
      </c>
      <c r="E61" s="120"/>
      <c r="F61" s="101">
        <v>2.45</v>
      </c>
      <c r="G61" s="101" t="e">
        <f>工10328</f>
        <v>#NAME?</v>
      </c>
      <c r="H61" s="120" t="e">
        <f>G61*F61</f>
        <v>#NAME?</v>
      </c>
    </row>
    <row r="62" s="96" customFormat="1" ht="20.4" customHeight="1" spans="1:8">
      <c r="A62" s="314" t="s">
        <v>100</v>
      </c>
      <c r="B62" s="193"/>
      <c r="C62" s="312" t="s">
        <v>151</v>
      </c>
      <c r="D62" s="193"/>
      <c r="E62" s="193"/>
      <c r="F62" s="193"/>
      <c r="G62" s="191"/>
      <c r="H62" s="193">
        <f>SUM(H63:H67)</f>
        <v>60036</v>
      </c>
    </row>
    <row r="63" ht="20.4" customHeight="1" spans="1:8">
      <c r="A63" s="316" t="s">
        <v>90</v>
      </c>
      <c r="B63" s="317" t="s">
        <v>117</v>
      </c>
      <c r="C63" s="317" t="s">
        <v>152</v>
      </c>
      <c r="D63" s="317" t="s">
        <v>105</v>
      </c>
      <c r="E63" s="120"/>
      <c r="F63" s="120">
        <v>261</v>
      </c>
      <c r="G63" s="101">
        <v>73</v>
      </c>
      <c r="H63" s="120">
        <f>G63*F63</f>
        <v>19053</v>
      </c>
    </row>
    <row r="64" ht="20.4" customHeight="1" spans="1:8">
      <c r="A64" s="316" t="s">
        <v>94</v>
      </c>
      <c r="B64" s="317" t="s">
        <v>117</v>
      </c>
      <c r="C64" s="317" t="s">
        <v>153</v>
      </c>
      <c r="D64" s="317" t="s">
        <v>105</v>
      </c>
      <c r="E64" s="120"/>
      <c r="F64" s="120">
        <v>196</v>
      </c>
      <c r="G64" s="101">
        <v>73</v>
      </c>
      <c r="H64" s="120">
        <f>G64*F64</f>
        <v>14308</v>
      </c>
    </row>
    <row r="65" ht="20.4" customHeight="1" spans="1:8">
      <c r="A65" s="316" t="s">
        <v>97</v>
      </c>
      <c r="B65" s="317" t="s">
        <v>117</v>
      </c>
      <c r="C65" s="317" t="s">
        <v>154</v>
      </c>
      <c r="D65" s="317" t="s">
        <v>105</v>
      </c>
      <c r="E65" s="120"/>
      <c r="F65" s="120">
        <v>175</v>
      </c>
      <c r="G65" s="101">
        <v>73</v>
      </c>
      <c r="H65" s="120">
        <f>G65*F65</f>
        <v>12775</v>
      </c>
    </row>
    <row r="66" ht="20.4" customHeight="1" spans="1:8">
      <c r="A66" s="316" t="s">
        <v>109</v>
      </c>
      <c r="B66" s="317" t="s">
        <v>117</v>
      </c>
      <c r="C66" s="317" t="s">
        <v>155</v>
      </c>
      <c r="D66" s="317" t="s">
        <v>105</v>
      </c>
      <c r="E66" s="120"/>
      <c r="F66" s="120">
        <v>450</v>
      </c>
      <c r="G66" s="101">
        <v>22</v>
      </c>
      <c r="H66" s="120">
        <f>G66*F66</f>
        <v>9900</v>
      </c>
    </row>
    <row r="67" ht="20.4" customHeight="1" spans="1:8">
      <c r="A67" s="316" t="s">
        <v>112</v>
      </c>
      <c r="B67" s="317" t="s">
        <v>117</v>
      </c>
      <c r="C67" s="317" t="s">
        <v>118</v>
      </c>
      <c r="D67" s="120"/>
      <c r="E67" s="120"/>
      <c r="F67" s="120">
        <v>2</v>
      </c>
      <c r="G67" s="101">
        <v>2000</v>
      </c>
      <c r="H67" s="120">
        <f>G67*F67</f>
        <v>4000</v>
      </c>
    </row>
    <row r="68" s="79" customFormat="1" ht="20.4" customHeight="1" spans="1:8">
      <c r="A68" s="314" t="s">
        <v>133</v>
      </c>
      <c r="C68" s="315" t="s">
        <v>156</v>
      </c>
      <c r="D68" s="266"/>
      <c r="E68" s="266"/>
      <c r="F68" s="260"/>
      <c r="G68" s="193"/>
      <c r="H68" s="193" t="e">
        <f>H69+H79</f>
        <v>#REF!</v>
      </c>
    </row>
    <row r="69" s="96" customFormat="1" ht="20.4" customHeight="1" spans="1:8">
      <c r="A69" s="314" t="s">
        <v>86</v>
      </c>
      <c r="B69" s="193"/>
      <c r="C69" s="312" t="s">
        <v>88</v>
      </c>
      <c r="D69" s="193"/>
      <c r="E69" s="193"/>
      <c r="F69" s="193"/>
      <c r="G69" s="193"/>
      <c r="H69" s="193" t="e">
        <f>H70+H73+H76</f>
        <v>#REF!</v>
      </c>
    </row>
    <row r="70" s="96" customFormat="1" ht="20.4" customHeight="1" spans="1:8">
      <c r="A70" s="314" t="s">
        <v>38</v>
      </c>
      <c r="B70" s="193"/>
      <c r="C70" s="312" t="s">
        <v>139</v>
      </c>
      <c r="D70" s="193"/>
      <c r="E70" s="193"/>
      <c r="F70" s="193"/>
      <c r="G70" s="193"/>
      <c r="H70" s="193" t="e">
        <f>SUM(H71:H72)</f>
        <v>#REF!</v>
      </c>
    </row>
    <row r="71" s="96" customFormat="1" ht="20.4" customHeight="1" spans="1:8">
      <c r="A71" s="316" t="s">
        <v>90</v>
      </c>
      <c r="B71" s="317" t="s">
        <v>91</v>
      </c>
      <c r="C71" s="261" t="s">
        <v>92</v>
      </c>
      <c r="D71" s="100" t="s">
        <v>93</v>
      </c>
      <c r="E71" s="120"/>
      <c r="F71" s="101">
        <v>99</v>
      </c>
      <c r="G71" s="101" t="e">
        <f>工10304</f>
        <v>#REF!</v>
      </c>
      <c r="H71" s="120" t="e">
        <f>G71*F71</f>
        <v>#REF!</v>
      </c>
    </row>
    <row r="72" s="96" customFormat="1" ht="20.4" customHeight="1" spans="1:8">
      <c r="A72" s="316" t="s">
        <v>94</v>
      </c>
      <c r="B72" s="317" t="s">
        <v>95</v>
      </c>
      <c r="C72" s="261" t="s">
        <v>96</v>
      </c>
      <c r="D72" s="100" t="s">
        <v>93</v>
      </c>
      <c r="E72" s="120"/>
      <c r="F72" s="101">
        <v>49.5</v>
      </c>
      <c r="G72" s="101" t="e">
        <f>工10305</f>
        <v>#REF!</v>
      </c>
      <c r="H72" s="120" t="e">
        <f>G72*F72</f>
        <v>#REF!</v>
      </c>
    </row>
    <row r="73" s="132" customFormat="1" ht="20.4" customHeight="1" spans="1:8">
      <c r="A73" s="314" t="s">
        <v>40</v>
      </c>
      <c r="B73" s="193"/>
      <c r="C73" s="196" t="s">
        <v>140</v>
      </c>
      <c r="D73" s="193"/>
      <c r="E73" s="193"/>
      <c r="F73" s="193"/>
      <c r="G73" s="193"/>
      <c r="H73" s="193" t="e">
        <f>SUM(H74:H75)</f>
        <v>#NAME?</v>
      </c>
    </row>
    <row r="74" s="96" customFormat="1" ht="20.4" customHeight="1" spans="1:8">
      <c r="A74" s="316" t="s">
        <v>90</v>
      </c>
      <c r="B74" s="317" t="s">
        <v>141</v>
      </c>
      <c r="C74" s="261" t="s">
        <v>142</v>
      </c>
      <c r="D74" s="317" t="s">
        <v>143</v>
      </c>
      <c r="E74" s="120"/>
      <c r="F74" s="101">
        <v>1.15</v>
      </c>
      <c r="G74" s="101" t="e">
        <f>工10356</f>
        <v>#NAME?</v>
      </c>
      <c r="H74" s="120" t="e">
        <f>G74*F74</f>
        <v>#NAME?</v>
      </c>
    </row>
    <row r="75" s="96" customFormat="1" ht="20.4" customHeight="1" spans="1:8">
      <c r="A75" s="316" t="s">
        <v>94</v>
      </c>
      <c r="B75" s="317" t="s">
        <v>144</v>
      </c>
      <c r="C75" s="261" t="s">
        <v>145</v>
      </c>
      <c r="D75" s="317" t="s">
        <v>143</v>
      </c>
      <c r="E75" s="120"/>
      <c r="F75" s="101">
        <v>1.15</v>
      </c>
      <c r="G75" s="101" t="e">
        <f>工10363</f>
        <v>#NAME?</v>
      </c>
      <c r="H75" s="120" t="e">
        <f>G75*F75</f>
        <v>#NAME?</v>
      </c>
    </row>
    <row r="76" s="79" customFormat="1" ht="20.4" customHeight="1" spans="1:8">
      <c r="A76" s="314" t="s">
        <v>42</v>
      </c>
      <c r="B76" s="193"/>
      <c r="C76" s="312" t="s">
        <v>146</v>
      </c>
      <c r="D76" s="193"/>
      <c r="E76" s="193"/>
      <c r="F76" s="193"/>
      <c r="G76" s="191"/>
      <c r="H76" s="193" t="e">
        <f>SUM(H77:H78)</f>
        <v>#NAME?</v>
      </c>
    </row>
    <row r="77" s="96" customFormat="1" ht="20.4" customHeight="1" spans="1:8">
      <c r="A77" s="316" t="s">
        <v>90</v>
      </c>
      <c r="B77" s="317" t="s">
        <v>147</v>
      </c>
      <c r="C77" s="261" t="s">
        <v>148</v>
      </c>
      <c r="D77" s="100" t="s">
        <v>93</v>
      </c>
      <c r="E77" s="120"/>
      <c r="F77" s="101">
        <v>17.65</v>
      </c>
      <c r="G77" s="101">
        <f>工10218</f>
        <v>1002.69680545984</v>
      </c>
      <c r="H77" s="120">
        <f>G77*F77</f>
        <v>17697.5986163662</v>
      </c>
    </row>
    <row r="78" s="96" customFormat="1" ht="20.4" customHeight="1" spans="1:8">
      <c r="A78" s="316" t="s">
        <v>94</v>
      </c>
      <c r="B78" s="317" t="s">
        <v>149</v>
      </c>
      <c r="C78" s="261" t="s">
        <v>150</v>
      </c>
      <c r="D78" s="100" t="s">
        <v>93</v>
      </c>
      <c r="E78" s="120"/>
      <c r="F78" s="101">
        <f>F77</f>
        <v>17.65</v>
      </c>
      <c r="G78" s="101" t="e">
        <f>工10328</f>
        <v>#NAME?</v>
      </c>
      <c r="H78" s="120" t="e">
        <f>G78*F78</f>
        <v>#NAME?</v>
      </c>
    </row>
    <row r="79" s="96" customFormat="1" ht="20.4" customHeight="1" spans="1:8">
      <c r="A79" s="314" t="s">
        <v>100</v>
      </c>
      <c r="B79" s="193"/>
      <c r="C79" s="312" t="s">
        <v>151</v>
      </c>
      <c r="D79" s="193"/>
      <c r="E79" s="193"/>
      <c r="F79" s="193"/>
      <c r="G79" s="191"/>
      <c r="H79" s="193" t="e">
        <f>SUM(H80:H84)</f>
        <v>#REF!</v>
      </c>
    </row>
    <row r="80" ht="20.4" customHeight="1" spans="1:8">
      <c r="A80" s="316" t="s">
        <v>90</v>
      </c>
      <c r="B80" s="317" t="s">
        <v>117</v>
      </c>
      <c r="C80" s="317" t="s">
        <v>152</v>
      </c>
      <c r="D80" s="317" t="s">
        <v>105</v>
      </c>
      <c r="E80" s="120"/>
      <c r="F80" s="120" t="e">
        <f>#REF!</f>
        <v>#REF!</v>
      </c>
      <c r="G80" s="101">
        <v>73</v>
      </c>
      <c r="H80" s="120" t="e">
        <f>G80*F80</f>
        <v>#REF!</v>
      </c>
    </row>
    <row r="81" ht="20.4" customHeight="1" spans="1:8">
      <c r="A81" s="316" t="s">
        <v>94</v>
      </c>
      <c r="B81" s="317" t="s">
        <v>117</v>
      </c>
      <c r="C81" s="317" t="s">
        <v>153</v>
      </c>
      <c r="D81" s="317" t="s">
        <v>105</v>
      </c>
      <c r="E81" s="120"/>
      <c r="F81" s="120" t="e">
        <f>#REF!</f>
        <v>#REF!</v>
      </c>
      <c r="G81" s="101">
        <v>73</v>
      </c>
      <c r="H81" s="120" t="e">
        <f>G81*F81</f>
        <v>#REF!</v>
      </c>
    </row>
    <row r="82" ht="20.4" customHeight="1" spans="1:8">
      <c r="A82" s="316" t="s">
        <v>97</v>
      </c>
      <c r="B82" s="317" t="s">
        <v>117</v>
      </c>
      <c r="C82" s="317" t="s">
        <v>154</v>
      </c>
      <c r="D82" s="317" t="s">
        <v>105</v>
      </c>
      <c r="E82" s="120"/>
      <c r="F82" s="120" t="e">
        <f>#REF!</f>
        <v>#REF!</v>
      </c>
      <c r="G82" s="101">
        <v>73</v>
      </c>
      <c r="H82" s="120" t="e">
        <f>G82*F82</f>
        <v>#REF!</v>
      </c>
    </row>
    <row r="83" ht="20.4" customHeight="1" spans="1:8">
      <c r="A83" s="316" t="s">
        <v>109</v>
      </c>
      <c r="B83" s="317" t="s">
        <v>117</v>
      </c>
      <c r="C83" s="317" t="s">
        <v>155</v>
      </c>
      <c r="D83" s="317" t="s">
        <v>105</v>
      </c>
      <c r="E83" s="120"/>
      <c r="F83" s="120">
        <v>15067</v>
      </c>
      <c r="G83" s="101">
        <v>22</v>
      </c>
      <c r="H83" s="120">
        <f>G83*F83</f>
        <v>331474</v>
      </c>
    </row>
    <row r="84" ht="20.4" customHeight="1" spans="1:8">
      <c r="A84" s="316" t="s">
        <v>112</v>
      </c>
      <c r="B84" s="317" t="s">
        <v>117</v>
      </c>
      <c r="C84" s="317" t="s">
        <v>118</v>
      </c>
      <c r="D84" s="317" t="s">
        <v>117</v>
      </c>
      <c r="E84" s="120"/>
      <c r="F84" s="120">
        <v>2</v>
      </c>
      <c r="G84" s="120">
        <v>2000</v>
      </c>
      <c r="H84" s="120">
        <f>G84*F84</f>
        <v>4000</v>
      </c>
    </row>
    <row r="85" s="96" customFormat="1" ht="22.2" customHeight="1" spans="1:8">
      <c r="A85" s="190"/>
      <c r="B85" s="315" t="s">
        <v>157</v>
      </c>
      <c r="C85" s="263"/>
      <c r="D85" s="264"/>
      <c r="E85" s="193"/>
      <c r="F85" s="193"/>
      <c r="G85" s="193"/>
      <c r="H85" s="193" t="e">
        <f>H86+H113+H121</f>
        <v>#REF!</v>
      </c>
    </row>
    <row r="86" s="79" customFormat="1" ht="20.4" customHeight="1" spans="1:8">
      <c r="A86" s="314" t="s">
        <v>84</v>
      </c>
      <c r="B86" s="193"/>
      <c r="C86" s="196" t="s">
        <v>158</v>
      </c>
      <c r="D86" s="193"/>
      <c r="E86" s="193"/>
      <c r="F86" s="193"/>
      <c r="G86" s="193"/>
      <c r="H86" s="193" t="e">
        <f>H87+H88+H96+H101</f>
        <v>#REF!</v>
      </c>
    </row>
    <row r="87" s="79" customFormat="1" ht="20.4" customHeight="1" spans="1:8">
      <c r="A87" s="314" t="s">
        <v>38</v>
      </c>
      <c r="B87" s="193"/>
      <c r="C87" s="312" t="s">
        <v>159</v>
      </c>
      <c r="D87" s="312" t="s">
        <v>160</v>
      </c>
      <c r="E87" s="193"/>
      <c r="F87" s="193">
        <v>1</v>
      </c>
      <c r="G87" s="193">
        <v>35000</v>
      </c>
      <c r="H87" s="193">
        <f>G87*F87</f>
        <v>35000</v>
      </c>
    </row>
    <row r="88" s="79" customFormat="1" ht="20.4" customHeight="1" spans="1:8">
      <c r="A88" s="314" t="s">
        <v>40</v>
      </c>
      <c r="B88" s="193"/>
      <c r="C88" s="312" t="s">
        <v>161</v>
      </c>
      <c r="D88" s="193"/>
      <c r="E88" s="193"/>
      <c r="F88" s="193"/>
      <c r="G88" s="193"/>
      <c r="H88" s="193" t="e">
        <f>H89+H93</f>
        <v>#REF!</v>
      </c>
    </row>
    <row r="89" s="79" customFormat="1" ht="20.4" customHeight="1" spans="1:8">
      <c r="A89" s="314" t="s">
        <v>162</v>
      </c>
      <c r="B89" s="193"/>
      <c r="C89" s="312" t="s">
        <v>163</v>
      </c>
      <c r="D89" s="193"/>
      <c r="E89" s="193"/>
      <c r="F89" s="193"/>
      <c r="G89" s="193"/>
      <c r="H89" s="193">
        <f>SUM(H90:H92)</f>
        <v>256095.686</v>
      </c>
    </row>
    <row r="90" ht="20.4" customHeight="1" spans="1:8">
      <c r="A90" s="316" t="s">
        <v>90</v>
      </c>
      <c r="B90" s="317" t="s">
        <v>117</v>
      </c>
      <c r="C90" s="317" t="s">
        <v>164</v>
      </c>
      <c r="D90" s="317" t="s">
        <v>165</v>
      </c>
      <c r="E90" s="120"/>
      <c r="F90" s="120">
        <v>2976</v>
      </c>
      <c r="G90" s="101">
        <v>39.25</v>
      </c>
      <c r="H90" s="120">
        <f>G90*F90</f>
        <v>116808</v>
      </c>
    </row>
    <row r="91" ht="20.4" customHeight="1" spans="1:8">
      <c r="A91" s="316" t="s">
        <v>94</v>
      </c>
      <c r="B91" s="317" t="s">
        <v>117</v>
      </c>
      <c r="C91" s="317" t="s">
        <v>166</v>
      </c>
      <c r="D91" s="317" t="s">
        <v>165</v>
      </c>
      <c r="E91" s="120"/>
      <c r="F91" s="120">
        <v>6274</v>
      </c>
      <c r="G91" s="101">
        <v>18.49</v>
      </c>
      <c r="H91" s="120">
        <f>G91*F91</f>
        <v>116006.26</v>
      </c>
    </row>
    <row r="92" ht="20.4" customHeight="1" spans="1:8">
      <c r="A92" s="316" t="s">
        <v>97</v>
      </c>
      <c r="B92" s="317" t="s">
        <v>117</v>
      </c>
      <c r="C92" s="317" t="s">
        <v>167</v>
      </c>
      <c r="D92" s="317" t="s">
        <v>168</v>
      </c>
      <c r="E92" s="120"/>
      <c r="F92" s="120">
        <v>10</v>
      </c>
      <c r="G92" s="120">
        <f>SUM(H90:H91)</f>
        <v>232814.26</v>
      </c>
      <c r="H92" s="120">
        <f>G92*F92/100</f>
        <v>23281.426</v>
      </c>
    </row>
    <row r="93" s="79" customFormat="1" ht="20.4" customHeight="1" spans="1:8">
      <c r="A93" s="314" t="s">
        <v>169</v>
      </c>
      <c r="B93" s="193"/>
      <c r="C93" s="312" t="s">
        <v>170</v>
      </c>
      <c r="D93" s="193"/>
      <c r="E93" s="193"/>
      <c r="F93" s="193"/>
      <c r="G93" s="193"/>
      <c r="H93" s="193" t="e">
        <f>SUM(H94:H95)</f>
        <v>#REF!</v>
      </c>
    </row>
    <row r="94" ht="20.4" customHeight="1" spans="1:8">
      <c r="A94" s="316" t="s">
        <v>90</v>
      </c>
      <c r="B94" s="99" t="s">
        <v>171</v>
      </c>
      <c r="C94" s="317" t="s">
        <v>172</v>
      </c>
      <c r="D94" s="317" t="s">
        <v>128</v>
      </c>
      <c r="E94" s="120"/>
      <c r="F94" s="120">
        <f>(F90+F91)*2.63</f>
        <v>24327.5</v>
      </c>
      <c r="G94" s="101" t="e">
        <f>工10203/100</f>
        <v>#REF!</v>
      </c>
      <c r="H94" s="120" t="e">
        <f>G94*F94</f>
        <v>#REF!</v>
      </c>
    </row>
    <row r="95" ht="20.4" customHeight="1" spans="1:8">
      <c r="A95" s="316" t="s">
        <v>94</v>
      </c>
      <c r="B95" s="120">
        <v>10345</v>
      </c>
      <c r="C95" s="317" t="s">
        <v>129</v>
      </c>
      <c r="D95" s="317" t="s">
        <v>128</v>
      </c>
      <c r="E95" s="120"/>
      <c r="F95" s="120">
        <f>(F90+F91)*2.63</f>
        <v>24327.5</v>
      </c>
      <c r="G95" s="101" t="e">
        <f>工10345/100</f>
        <v>#REF!</v>
      </c>
      <c r="H95" s="120" t="e">
        <f>G95*F95</f>
        <v>#REF!</v>
      </c>
    </row>
    <row r="96" s="79" customFormat="1" ht="20.4" customHeight="1" spans="1:8">
      <c r="A96" s="314" t="s">
        <v>42</v>
      </c>
      <c r="B96" s="193"/>
      <c r="C96" s="312" t="s">
        <v>173</v>
      </c>
      <c r="D96" s="193"/>
      <c r="E96" s="193"/>
      <c r="F96" s="193"/>
      <c r="G96" s="193"/>
      <c r="H96" s="193">
        <f>H97</f>
        <v>83783.7</v>
      </c>
    </row>
    <row r="97" s="79" customFormat="1" ht="20.4" customHeight="1" spans="1:8">
      <c r="A97" s="314" t="s">
        <v>174</v>
      </c>
      <c r="B97" s="193"/>
      <c r="C97" s="312" t="s">
        <v>175</v>
      </c>
      <c r="D97" s="193"/>
      <c r="E97" s="193"/>
      <c r="F97" s="193"/>
      <c r="G97" s="193"/>
      <c r="H97" s="193">
        <f>SUM(H98:H100)</f>
        <v>83783.7</v>
      </c>
    </row>
    <row r="98" ht="20.4" customHeight="1" spans="1:8">
      <c r="A98" s="316" t="s">
        <v>90</v>
      </c>
      <c r="B98" s="317" t="s">
        <v>117</v>
      </c>
      <c r="C98" s="317" t="s">
        <v>176</v>
      </c>
      <c r="D98" s="317" t="s">
        <v>165</v>
      </c>
      <c r="E98" s="120"/>
      <c r="F98" s="120">
        <v>120900</v>
      </c>
      <c r="G98" s="101">
        <v>0.53</v>
      </c>
      <c r="H98" s="120">
        <f>G98*F98</f>
        <v>64077</v>
      </c>
    </row>
    <row r="99" ht="20.4" customHeight="1" spans="1:8">
      <c r="A99" s="316" t="s">
        <v>94</v>
      </c>
      <c r="B99" s="317" t="s">
        <v>117</v>
      </c>
      <c r="C99" s="317" t="s">
        <v>177</v>
      </c>
      <c r="D99" s="317" t="s">
        <v>178</v>
      </c>
      <c r="E99" s="120"/>
      <c r="F99" s="120">
        <v>80600</v>
      </c>
      <c r="G99" s="101">
        <v>0.15</v>
      </c>
      <c r="H99" s="120">
        <f>G99*F99</f>
        <v>12090</v>
      </c>
    </row>
    <row r="100" ht="20.4" customHeight="1" spans="1:8">
      <c r="A100" s="316" t="s">
        <v>97</v>
      </c>
      <c r="B100" s="120"/>
      <c r="C100" s="317" t="s">
        <v>167</v>
      </c>
      <c r="D100" s="317" t="s">
        <v>168</v>
      </c>
      <c r="E100" s="120"/>
      <c r="F100" s="120">
        <v>10</v>
      </c>
      <c r="G100" s="120">
        <f>SUM(H98:H99)</f>
        <v>76167</v>
      </c>
      <c r="H100" s="120">
        <f>G100*F100/100</f>
        <v>7616.7</v>
      </c>
    </row>
    <row r="101" s="79" customFormat="1" ht="20.4" customHeight="1" spans="1:8">
      <c r="A101" s="314" t="s">
        <v>179</v>
      </c>
      <c r="B101" s="193"/>
      <c r="C101" s="312" t="s">
        <v>180</v>
      </c>
      <c r="D101" s="193"/>
      <c r="E101" s="193"/>
      <c r="F101" s="193"/>
      <c r="G101" s="193"/>
      <c r="H101" s="193">
        <f>H102+H104+H109</f>
        <v>468500</v>
      </c>
    </row>
    <row r="102" s="79" customFormat="1" ht="20.4" customHeight="1" spans="1:8">
      <c r="A102" s="314" t="s">
        <v>181</v>
      </c>
      <c r="B102" s="193"/>
      <c r="C102" s="312" t="s">
        <v>182</v>
      </c>
      <c r="D102" s="193"/>
      <c r="E102" s="193"/>
      <c r="F102" s="193"/>
      <c r="G102" s="193"/>
      <c r="H102" s="193">
        <f>H103</f>
        <v>151200</v>
      </c>
    </row>
    <row r="103" ht="20.4" customHeight="1" spans="1:8">
      <c r="A103" s="316" t="s">
        <v>90</v>
      </c>
      <c r="B103" s="317" t="s">
        <v>130</v>
      </c>
      <c r="C103" s="317" t="s">
        <v>183</v>
      </c>
      <c r="D103" s="317" t="s">
        <v>184</v>
      </c>
      <c r="E103" s="120"/>
      <c r="F103" s="120">
        <v>54</v>
      </c>
      <c r="G103" s="120">
        <v>2800</v>
      </c>
      <c r="H103" s="120">
        <f>F103*G103</f>
        <v>151200</v>
      </c>
    </row>
    <row r="104" s="79" customFormat="1" ht="20.4" customHeight="1" spans="1:8">
      <c r="A104" s="314" t="s">
        <v>185</v>
      </c>
      <c r="B104" s="193"/>
      <c r="C104" s="312" t="s">
        <v>186</v>
      </c>
      <c r="D104" s="193"/>
      <c r="E104" s="193"/>
      <c r="F104" s="193"/>
      <c r="G104" s="193"/>
      <c r="H104" s="193">
        <f>SUM(H105:H108)</f>
        <v>210500</v>
      </c>
    </row>
    <row r="105" s="79" customFormat="1" ht="20.4" customHeight="1" spans="1:8">
      <c r="A105" s="316" t="s">
        <v>90</v>
      </c>
      <c r="B105" s="317" t="s">
        <v>130</v>
      </c>
      <c r="C105" s="317" t="s">
        <v>187</v>
      </c>
      <c r="D105" s="317" t="s">
        <v>188</v>
      </c>
      <c r="E105" s="120"/>
      <c r="F105" s="129">
        <v>1</v>
      </c>
      <c r="G105" s="120">
        <v>35000</v>
      </c>
      <c r="H105" s="120">
        <f>F105*G105</f>
        <v>35000</v>
      </c>
    </row>
    <row r="106" s="79" customFormat="1" ht="20.4" customHeight="1" spans="1:8">
      <c r="A106" s="316" t="s">
        <v>94</v>
      </c>
      <c r="B106" s="317" t="s">
        <v>130</v>
      </c>
      <c r="C106" s="317" t="s">
        <v>189</v>
      </c>
      <c r="D106" s="317" t="s">
        <v>190</v>
      </c>
      <c r="E106" s="120"/>
      <c r="F106" s="129">
        <v>1</v>
      </c>
      <c r="G106" s="120">
        <v>120000</v>
      </c>
      <c r="H106" s="120">
        <f>F106*G106</f>
        <v>120000</v>
      </c>
    </row>
    <row r="107" s="79" customFormat="1" ht="20.4" customHeight="1" spans="1:8">
      <c r="A107" s="316" t="s">
        <v>97</v>
      </c>
      <c r="B107" s="317" t="s">
        <v>130</v>
      </c>
      <c r="C107" s="317" t="s">
        <v>191</v>
      </c>
      <c r="D107" s="317" t="s">
        <v>190</v>
      </c>
      <c r="E107" s="120"/>
      <c r="F107" s="129">
        <v>0.5</v>
      </c>
      <c r="G107" s="120">
        <v>95000</v>
      </c>
      <c r="H107" s="120">
        <f>F107*G107</f>
        <v>47500</v>
      </c>
    </row>
    <row r="108" s="79" customFormat="1" ht="20.4" customHeight="1" spans="1:8">
      <c r="A108" s="316" t="s">
        <v>109</v>
      </c>
      <c r="B108" s="317" t="s">
        <v>130</v>
      </c>
      <c r="C108" s="317" t="s">
        <v>192</v>
      </c>
      <c r="D108" s="317" t="s">
        <v>193</v>
      </c>
      <c r="E108" s="120"/>
      <c r="F108" s="120">
        <v>1</v>
      </c>
      <c r="G108" s="120">
        <v>8000</v>
      </c>
      <c r="H108" s="120">
        <f>F108*G108</f>
        <v>8000</v>
      </c>
    </row>
    <row r="109" s="79" customFormat="1" ht="20.4" customHeight="1" spans="1:8">
      <c r="A109" s="314" t="s">
        <v>194</v>
      </c>
      <c r="B109" s="193"/>
      <c r="C109" s="312" t="s">
        <v>195</v>
      </c>
      <c r="D109" s="193"/>
      <c r="E109" s="193"/>
      <c r="F109" s="193"/>
      <c r="G109" s="193"/>
      <c r="H109" s="193">
        <f>SUM(H110:H112)</f>
        <v>106800</v>
      </c>
    </row>
    <row r="110" ht="20.4" customHeight="1" spans="1:8">
      <c r="A110" s="316" t="s">
        <v>90</v>
      </c>
      <c r="B110" s="317" t="s">
        <v>196</v>
      </c>
      <c r="C110" s="317" t="s">
        <v>197</v>
      </c>
      <c r="D110" s="317" t="s">
        <v>188</v>
      </c>
      <c r="E110" s="120"/>
      <c r="F110" s="120">
        <v>1</v>
      </c>
      <c r="G110" s="120">
        <v>35000</v>
      </c>
      <c r="H110" s="120">
        <f>G110*F110</f>
        <v>35000</v>
      </c>
    </row>
    <row r="111" ht="20.4" customHeight="1" spans="1:8">
      <c r="A111" s="316" t="s">
        <v>94</v>
      </c>
      <c r="B111" s="317" t="s">
        <v>196</v>
      </c>
      <c r="C111" s="317" t="s">
        <v>198</v>
      </c>
      <c r="D111" s="317" t="s">
        <v>193</v>
      </c>
      <c r="E111" s="120"/>
      <c r="F111" s="120">
        <v>1</v>
      </c>
      <c r="G111" s="120">
        <v>28000</v>
      </c>
      <c r="H111" s="120">
        <f>G111*F111</f>
        <v>28000</v>
      </c>
    </row>
    <row r="112" ht="20.4" customHeight="1" spans="1:8">
      <c r="A112" s="316" t="s">
        <v>97</v>
      </c>
      <c r="B112" s="317" t="s">
        <v>196</v>
      </c>
      <c r="C112" s="317" t="s">
        <v>199</v>
      </c>
      <c r="D112" s="317" t="s">
        <v>168</v>
      </c>
      <c r="E112" s="120"/>
      <c r="F112" s="120">
        <v>10</v>
      </c>
      <c r="G112" s="120">
        <f>SUM(H110:H111)</f>
        <v>63000</v>
      </c>
      <c r="H112" s="120">
        <f>G112*F112/100+25*1500</f>
        <v>43800</v>
      </c>
    </row>
    <row r="113" s="79" customFormat="1" ht="20.4" customHeight="1" spans="1:8">
      <c r="A113" s="314" t="s">
        <v>133</v>
      </c>
      <c r="B113" s="193"/>
      <c r="C113" s="196" t="s">
        <v>200</v>
      </c>
      <c r="D113" s="193"/>
      <c r="E113" s="193"/>
      <c r="F113" s="193"/>
      <c r="G113" s="193"/>
      <c r="H113" s="193" t="e">
        <f>H114+H117</f>
        <v>#NAME?</v>
      </c>
    </row>
    <row r="114" s="79" customFormat="1" ht="20.4" customHeight="1" spans="1:8">
      <c r="A114" s="314" t="s">
        <v>38</v>
      </c>
      <c r="B114" s="193"/>
      <c r="C114" s="312" t="s">
        <v>201</v>
      </c>
      <c r="D114" s="193"/>
      <c r="E114" s="193"/>
      <c r="F114" s="193"/>
      <c r="G114" s="193"/>
      <c r="H114" s="193" t="e">
        <f>SUM(H115:H116)</f>
        <v>#NAME?</v>
      </c>
    </row>
    <row r="115" ht="20.4" customHeight="1" spans="1:8">
      <c r="A115" s="316" t="s">
        <v>90</v>
      </c>
      <c r="B115" s="317" t="s">
        <v>141</v>
      </c>
      <c r="C115" s="261" t="s">
        <v>142</v>
      </c>
      <c r="D115" s="317" t="s">
        <v>143</v>
      </c>
      <c r="E115" s="120"/>
      <c r="F115" s="101">
        <v>80.6</v>
      </c>
      <c r="G115" s="101" t="e">
        <f>工10356</f>
        <v>#NAME?</v>
      </c>
      <c r="H115" s="120" t="e">
        <f>G115*F115</f>
        <v>#NAME?</v>
      </c>
    </row>
    <row r="116" ht="20.4" customHeight="1" spans="1:8">
      <c r="A116" s="316" t="s">
        <v>94</v>
      </c>
      <c r="B116" s="317" t="s">
        <v>202</v>
      </c>
      <c r="C116" s="261" t="s">
        <v>145</v>
      </c>
      <c r="D116" s="317" t="s">
        <v>143</v>
      </c>
      <c r="E116" s="120"/>
      <c r="F116" s="101">
        <v>80.6</v>
      </c>
      <c r="G116" s="101" t="e">
        <f>工10368</f>
        <v>#NAME?</v>
      </c>
      <c r="H116" s="120" t="e">
        <f>G116*F116</f>
        <v>#NAME?</v>
      </c>
    </row>
    <row r="117" s="79" customFormat="1" ht="20.4" customHeight="1" spans="1:8">
      <c r="A117" s="314" t="s">
        <v>40</v>
      </c>
      <c r="B117" s="193"/>
      <c r="C117" s="312" t="s">
        <v>203</v>
      </c>
      <c r="D117" s="193"/>
      <c r="E117" s="193"/>
      <c r="F117" s="193"/>
      <c r="G117" s="193"/>
      <c r="H117" s="193">
        <f>SUM(H118:H120)</f>
        <v>755550</v>
      </c>
    </row>
    <row r="118" ht="20.4" customHeight="1" spans="1:8">
      <c r="A118" s="316" t="s">
        <v>90</v>
      </c>
      <c r="B118" s="317" t="s">
        <v>117</v>
      </c>
      <c r="C118" s="317" t="s">
        <v>152</v>
      </c>
      <c r="D118" s="317" t="s">
        <v>105</v>
      </c>
      <c r="E118" s="120"/>
      <c r="F118" s="101">
        <v>5037</v>
      </c>
      <c r="G118" s="101">
        <v>75</v>
      </c>
      <c r="H118" s="120">
        <f>G118*F118</f>
        <v>377775</v>
      </c>
    </row>
    <row r="119" ht="20.4" customHeight="1" spans="1:8">
      <c r="A119" s="316" t="s">
        <v>94</v>
      </c>
      <c r="B119" s="317" t="s">
        <v>117</v>
      </c>
      <c r="C119" s="317" t="s">
        <v>153</v>
      </c>
      <c r="D119" s="317" t="s">
        <v>105</v>
      </c>
      <c r="E119" s="120"/>
      <c r="F119" s="101">
        <v>3022</v>
      </c>
      <c r="G119" s="101">
        <v>75</v>
      </c>
      <c r="H119" s="120">
        <f>G119*F119</f>
        <v>226650</v>
      </c>
    </row>
    <row r="120" ht="20.4" customHeight="1" spans="1:8">
      <c r="A120" s="316" t="s">
        <v>97</v>
      </c>
      <c r="B120" s="317" t="s">
        <v>117</v>
      </c>
      <c r="C120" s="317" t="s">
        <v>204</v>
      </c>
      <c r="D120" s="317" t="s">
        <v>105</v>
      </c>
      <c r="E120" s="120"/>
      <c r="F120" s="101">
        <v>2015</v>
      </c>
      <c r="G120" s="101">
        <v>75</v>
      </c>
      <c r="H120" s="120">
        <f>G120*F120</f>
        <v>151125</v>
      </c>
    </row>
    <row r="121" s="79" customFormat="1" ht="20.4" customHeight="1" spans="1:8">
      <c r="A121" s="314" t="s">
        <v>12</v>
      </c>
      <c r="B121" s="193"/>
      <c r="C121" s="196" t="s">
        <v>126</v>
      </c>
      <c r="D121" s="193"/>
      <c r="E121" s="193"/>
      <c r="F121" s="193">
        <v>1</v>
      </c>
      <c r="G121" s="193"/>
      <c r="H121" s="193" t="e">
        <f>SUM(H122:H124)</f>
        <v>#REF!</v>
      </c>
    </row>
    <row r="122" s="79" customFormat="1" ht="21.45" customHeight="1" spans="1:8">
      <c r="A122" s="316" t="s">
        <v>90</v>
      </c>
      <c r="B122" s="120">
        <v>10203</v>
      </c>
      <c r="C122" s="121" t="s">
        <v>127</v>
      </c>
      <c r="D122" s="199" t="s">
        <v>128</v>
      </c>
      <c r="E122" s="101">
        <v>16.45</v>
      </c>
      <c r="F122" s="101">
        <f>E122</f>
        <v>16.45</v>
      </c>
      <c r="G122" s="101" t="e">
        <f>工10203/100</f>
        <v>#REF!</v>
      </c>
      <c r="H122" s="120" t="e">
        <f>G122*F122</f>
        <v>#REF!</v>
      </c>
    </row>
    <row r="123" ht="21.45" customHeight="1" spans="1:8">
      <c r="A123" s="316" t="s">
        <v>94</v>
      </c>
      <c r="B123" s="120">
        <v>10345</v>
      </c>
      <c r="C123" s="121" t="s">
        <v>129</v>
      </c>
      <c r="D123" s="199" t="s">
        <v>128</v>
      </c>
      <c r="E123" s="101">
        <v>12.3</v>
      </c>
      <c r="F123" s="101">
        <f>E123</f>
        <v>12.3</v>
      </c>
      <c r="G123" s="101" t="e">
        <f>工10345/100</f>
        <v>#REF!</v>
      </c>
      <c r="H123" s="120" t="e">
        <f>G123*F123</f>
        <v>#REF!</v>
      </c>
    </row>
    <row r="124" ht="21.45" customHeight="1" spans="1:8">
      <c r="A124" s="316" t="s">
        <v>97</v>
      </c>
      <c r="B124" s="120" t="s">
        <v>130</v>
      </c>
      <c r="C124" s="121" t="s">
        <v>131</v>
      </c>
      <c r="D124" s="199" t="s">
        <v>132</v>
      </c>
      <c r="E124" s="101">
        <v>1</v>
      </c>
      <c r="F124" s="101">
        <f>E124</f>
        <v>1</v>
      </c>
      <c r="G124" s="101">
        <v>15000</v>
      </c>
      <c r="H124" s="120">
        <f>G124*F124</f>
        <v>15000</v>
      </c>
    </row>
    <row r="125" s="96" customFormat="1" ht="22.2" customHeight="1" spans="1:8">
      <c r="A125" s="190"/>
      <c r="B125" s="315" t="s">
        <v>205</v>
      </c>
      <c r="C125" s="263"/>
      <c r="D125" s="264"/>
      <c r="E125" s="193"/>
      <c r="F125" s="193"/>
      <c r="G125" s="193"/>
      <c r="H125" s="193" t="e">
        <f>H126+H150+H155</f>
        <v>#REF!</v>
      </c>
    </row>
    <row r="126" s="79" customFormat="1" ht="20.4" customHeight="1" spans="1:8">
      <c r="A126" s="314" t="s">
        <v>84</v>
      </c>
      <c r="B126" s="193"/>
      <c r="C126" s="196" t="s">
        <v>206</v>
      </c>
      <c r="D126" s="193"/>
      <c r="E126" s="193"/>
      <c r="F126" s="193"/>
      <c r="G126" s="193"/>
      <c r="H126" s="193" t="e">
        <f>H127+H139</f>
        <v>#REF!</v>
      </c>
    </row>
    <row r="127" s="79" customFormat="1" ht="20.4" customHeight="1" spans="1:8">
      <c r="A127" s="314" t="s">
        <v>86</v>
      </c>
      <c r="B127" s="193"/>
      <c r="C127" s="196" t="s">
        <v>87</v>
      </c>
      <c r="D127" s="193"/>
      <c r="E127" s="193"/>
      <c r="F127" s="193"/>
      <c r="G127" s="193"/>
      <c r="H127" s="193" t="e">
        <f>H128+H131+H134+H137</f>
        <v>#REF!</v>
      </c>
    </row>
    <row r="128" ht="21.45" customHeight="1" spans="1:8">
      <c r="A128" s="190" t="s">
        <v>38</v>
      </c>
      <c r="B128" s="120"/>
      <c r="C128" s="128" t="s">
        <v>207</v>
      </c>
      <c r="D128" s="191"/>
      <c r="E128" s="191"/>
      <c r="F128" s="191"/>
      <c r="G128" s="101"/>
      <c r="H128" s="193" t="e">
        <f>H129+H130</f>
        <v>#REF!</v>
      </c>
    </row>
    <row r="129" ht="21.45" customHeight="1" spans="1:8">
      <c r="A129" s="99" t="s">
        <v>90</v>
      </c>
      <c r="B129" s="317" t="s">
        <v>147</v>
      </c>
      <c r="C129" s="121" t="s">
        <v>208</v>
      </c>
      <c r="D129" s="199" t="s">
        <v>93</v>
      </c>
      <c r="E129" s="267"/>
      <c r="F129" s="101">
        <v>22.32</v>
      </c>
      <c r="G129" s="101">
        <f>工10218</f>
        <v>1002.69680545984</v>
      </c>
      <c r="H129" s="120">
        <f>G129*F129</f>
        <v>22380.1926978637</v>
      </c>
    </row>
    <row r="130" ht="21.45" customHeight="1" spans="1:8">
      <c r="A130" s="99" t="s">
        <v>94</v>
      </c>
      <c r="B130" s="317" t="s">
        <v>209</v>
      </c>
      <c r="C130" s="121" t="s">
        <v>210</v>
      </c>
      <c r="D130" s="199" t="s">
        <v>93</v>
      </c>
      <c r="E130" s="267"/>
      <c r="F130" s="101">
        <v>14.71</v>
      </c>
      <c r="G130" s="101" t="e">
        <f>工10219</f>
        <v>#REF!</v>
      </c>
      <c r="H130" s="120" t="e">
        <f>G130*F130</f>
        <v>#REF!</v>
      </c>
    </row>
    <row r="131" s="79" customFormat="1" ht="21.45" customHeight="1" spans="1:8">
      <c r="A131" s="190" t="s">
        <v>40</v>
      </c>
      <c r="B131" s="193"/>
      <c r="C131" s="128" t="s">
        <v>211</v>
      </c>
      <c r="D131" s="191"/>
      <c r="E131" s="268"/>
      <c r="F131" s="191"/>
      <c r="G131" s="191"/>
      <c r="H131" s="193" t="e">
        <f>SUM(H132:H133)</f>
        <v>#REF!</v>
      </c>
    </row>
    <row r="132" ht="21.45" customHeight="1" spans="1:8">
      <c r="A132" s="99" t="s">
        <v>90</v>
      </c>
      <c r="B132" s="317" t="s">
        <v>91</v>
      </c>
      <c r="C132" s="261" t="s">
        <v>92</v>
      </c>
      <c r="D132" s="199" t="s">
        <v>93</v>
      </c>
      <c r="E132" s="269"/>
      <c r="F132" s="101">
        <v>273.12</v>
      </c>
      <c r="G132" s="101" t="e">
        <f>工10304</f>
        <v>#REF!</v>
      </c>
      <c r="H132" s="120" t="e">
        <f>G132*F132</f>
        <v>#REF!</v>
      </c>
    </row>
    <row r="133" ht="21.45" customHeight="1" spans="1:9">
      <c r="A133" s="99" t="s">
        <v>212</v>
      </c>
      <c r="B133" s="317" t="s">
        <v>95</v>
      </c>
      <c r="C133" s="261" t="s">
        <v>96</v>
      </c>
      <c r="D133" s="199" t="s">
        <v>93</v>
      </c>
      <c r="E133" s="269"/>
      <c r="F133" s="101">
        <v>117.05</v>
      </c>
      <c r="G133" s="101" t="e">
        <f>工10305</f>
        <v>#REF!</v>
      </c>
      <c r="H133" s="120" t="e">
        <f>G133*F133</f>
        <v>#REF!</v>
      </c>
      <c r="I133" s="80" t="e">
        <f>#REF!/666.67</f>
        <v>#REF!</v>
      </c>
    </row>
    <row r="134" s="79" customFormat="1" ht="20.4" customHeight="1" spans="1:9">
      <c r="A134" s="314" t="s">
        <v>42</v>
      </c>
      <c r="B134" s="193"/>
      <c r="C134" s="312" t="s">
        <v>213</v>
      </c>
      <c r="D134" s="193"/>
      <c r="E134" s="193"/>
      <c r="F134" s="193"/>
      <c r="G134" s="191"/>
      <c r="H134" s="193" t="e">
        <f>SUM(H135:H136)</f>
        <v>#NAME?</v>
      </c>
      <c r="I134" s="79" t="e">
        <f>#REF!*280/666.67</f>
        <v>#REF!</v>
      </c>
    </row>
    <row r="135" ht="21.45" customHeight="1" spans="1:9">
      <c r="A135" s="99" t="s">
        <v>90</v>
      </c>
      <c r="B135" s="317" t="s">
        <v>171</v>
      </c>
      <c r="C135" s="112" t="s">
        <v>214</v>
      </c>
      <c r="D135" s="100" t="s">
        <v>93</v>
      </c>
      <c r="E135" s="101"/>
      <c r="F135" s="101">
        <v>81.67</v>
      </c>
      <c r="G135" s="101" t="e">
        <f>工补1</f>
        <v>#NAME?</v>
      </c>
      <c r="H135" s="120" t="e">
        <f>F135*G135</f>
        <v>#NAME?</v>
      </c>
      <c r="I135" s="80" t="e">
        <f>I134*0.7</f>
        <v>#REF!</v>
      </c>
    </row>
    <row r="136" ht="20.4" customHeight="1" spans="1:9">
      <c r="A136" s="99" t="s">
        <v>212</v>
      </c>
      <c r="B136" s="120">
        <v>10337</v>
      </c>
      <c r="C136" s="317" t="s">
        <v>215</v>
      </c>
      <c r="D136" s="100" t="s">
        <v>93</v>
      </c>
      <c r="E136" s="120"/>
      <c r="F136" s="101">
        <v>22.43</v>
      </c>
      <c r="G136" s="101" t="e">
        <f>工10337</f>
        <v>#NAME?</v>
      </c>
      <c r="H136" s="120" t="e">
        <f>F136*G136</f>
        <v>#NAME?</v>
      </c>
      <c r="I136" s="80" t="e">
        <f>I134*0.3</f>
        <v>#REF!</v>
      </c>
    </row>
    <row r="137" s="79" customFormat="1" ht="20.4" customHeight="1" spans="1:8">
      <c r="A137" s="190" t="s">
        <v>179</v>
      </c>
      <c r="B137" s="193"/>
      <c r="C137" s="312" t="s">
        <v>216</v>
      </c>
      <c r="D137" s="135"/>
      <c r="E137" s="193"/>
      <c r="F137" s="193"/>
      <c r="G137" s="191"/>
      <c r="H137" s="193">
        <f>H138</f>
        <v>132739.211330065</v>
      </c>
    </row>
    <row r="138" ht="20.4" customHeight="1" spans="1:8">
      <c r="A138" s="99" t="s">
        <v>90</v>
      </c>
      <c r="B138" s="317" t="s">
        <v>217</v>
      </c>
      <c r="C138" s="317" t="s">
        <v>218</v>
      </c>
      <c r="D138" s="100" t="s">
        <v>93</v>
      </c>
      <c r="E138" s="120"/>
      <c r="F138" s="101">
        <v>76.29</v>
      </c>
      <c r="G138" s="101">
        <f>工10222</f>
        <v>1739.9293659728</v>
      </c>
      <c r="H138" s="120">
        <f>G138*F138</f>
        <v>132739.211330065</v>
      </c>
    </row>
    <row r="139" s="79" customFormat="1" ht="20.4" customHeight="1" spans="1:8">
      <c r="A139" s="314" t="s">
        <v>100</v>
      </c>
      <c r="B139" s="193"/>
      <c r="C139" s="196" t="s">
        <v>101</v>
      </c>
      <c r="D139" s="193"/>
      <c r="E139" s="193"/>
      <c r="F139" s="193"/>
      <c r="G139" s="193"/>
      <c r="H139" s="193" t="e">
        <f>H140+H145+H148</f>
        <v>#NAME?</v>
      </c>
    </row>
    <row r="140" s="79" customFormat="1" ht="20.4" customHeight="1" spans="1:8">
      <c r="A140" s="314" t="s">
        <v>38</v>
      </c>
      <c r="B140" s="193"/>
      <c r="C140" s="312" t="s">
        <v>151</v>
      </c>
      <c r="D140" s="100" t="s">
        <v>115</v>
      </c>
      <c r="E140" s="193"/>
      <c r="F140" s="193"/>
      <c r="G140" s="191"/>
      <c r="H140" s="193">
        <f>SUM(H141:H144)</f>
        <v>35637.5</v>
      </c>
    </row>
    <row r="141" s="79" customFormat="1" ht="20.4" customHeight="1" spans="1:8">
      <c r="A141" s="316" t="s">
        <v>90</v>
      </c>
      <c r="B141" s="317" t="s">
        <v>117</v>
      </c>
      <c r="C141" s="317" t="s">
        <v>104</v>
      </c>
      <c r="D141" s="317" t="s">
        <v>105</v>
      </c>
      <c r="E141" s="120"/>
      <c r="F141" s="120">
        <v>160</v>
      </c>
      <c r="G141" s="101">
        <v>73</v>
      </c>
      <c r="H141" s="120">
        <f>G141*F141</f>
        <v>11680</v>
      </c>
    </row>
    <row r="142" s="79" customFormat="1" ht="20.4" customHeight="1" spans="1:8">
      <c r="A142" s="316" t="s">
        <v>94</v>
      </c>
      <c r="B142" s="317" t="s">
        <v>117</v>
      </c>
      <c r="C142" s="317" t="s">
        <v>107</v>
      </c>
      <c r="D142" s="317" t="s">
        <v>105</v>
      </c>
      <c r="E142" s="120"/>
      <c r="F142" s="120">
        <v>160</v>
      </c>
      <c r="G142" s="101">
        <v>73</v>
      </c>
      <c r="H142" s="120">
        <f>G142*F142</f>
        <v>11680</v>
      </c>
    </row>
    <row r="143" s="79" customFormat="1" ht="20.4" customHeight="1" spans="1:8">
      <c r="A143" s="316" t="s">
        <v>97</v>
      </c>
      <c r="B143" s="317" t="s">
        <v>117</v>
      </c>
      <c r="C143" s="317" t="s">
        <v>219</v>
      </c>
      <c r="D143" s="317" t="s">
        <v>105</v>
      </c>
      <c r="E143" s="120"/>
      <c r="F143" s="120">
        <v>160</v>
      </c>
      <c r="G143" s="101">
        <v>73</v>
      </c>
      <c r="H143" s="120">
        <f>G143*F143</f>
        <v>11680</v>
      </c>
    </row>
    <row r="144" s="79" customFormat="1" ht="20.4" customHeight="1" spans="1:8">
      <c r="A144" s="316" t="s">
        <v>109</v>
      </c>
      <c r="B144" s="317" t="s">
        <v>117</v>
      </c>
      <c r="C144" s="317" t="s">
        <v>111</v>
      </c>
      <c r="D144" s="317" t="s">
        <v>105</v>
      </c>
      <c r="E144" s="120"/>
      <c r="F144" s="120">
        <v>239</v>
      </c>
      <c r="G144" s="101">
        <v>2.5</v>
      </c>
      <c r="H144" s="120">
        <f>G144*F144</f>
        <v>597.5</v>
      </c>
    </row>
    <row r="145" s="79" customFormat="1" ht="20.4" customHeight="1" spans="1:8">
      <c r="A145" s="314" t="s">
        <v>40</v>
      </c>
      <c r="B145" s="193"/>
      <c r="C145" s="312" t="s">
        <v>220</v>
      </c>
      <c r="D145" s="193"/>
      <c r="E145" s="193"/>
      <c r="F145" s="193"/>
      <c r="G145" s="191"/>
      <c r="H145" s="193" t="e">
        <f>SUM(H146:H147)</f>
        <v>#NAME?</v>
      </c>
    </row>
    <row r="146" ht="21.45" customHeight="1" spans="1:8">
      <c r="A146" s="316" t="s">
        <v>90</v>
      </c>
      <c r="B146" s="317" t="s">
        <v>113</v>
      </c>
      <c r="C146" s="112" t="s">
        <v>114</v>
      </c>
      <c r="D146" s="100" t="s">
        <v>115</v>
      </c>
      <c r="E146" s="101">
        <v>1</v>
      </c>
      <c r="F146" s="101">
        <v>5.73</v>
      </c>
      <c r="G146" s="101" t="e">
        <f>工90030</f>
        <v>#NAME?</v>
      </c>
      <c r="H146" s="120" t="e">
        <f>G146*F146</f>
        <v>#NAME?</v>
      </c>
    </row>
    <row r="147" ht="21.45" customHeight="1" spans="1:8">
      <c r="A147" s="316" t="s">
        <v>94</v>
      </c>
      <c r="B147" s="317" t="s">
        <v>122</v>
      </c>
      <c r="C147" s="112" t="s">
        <v>123</v>
      </c>
      <c r="D147" s="100" t="s">
        <v>115</v>
      </c>
      <c r="E147" s="101"/>
      <c r="F147" s="101">
        <v>1.434</v>
      </c>
      <c r="G147" s="101" t="e">
        <f>工90029</f>
        <v>#NAME?</v>
      </c>
      <c r="H147" s="120" t="e">
        <f>G147*F147</f>
        <v>#NAME?</v>
      </c>
    </row>
    <row r="148" s="79" customFormat="1" ht="21.45" customHeight="1" spans="1:8">
      <c r="A148" s="314" t="s">
        <v>42</v>
      </c>
      <c r="B148" s="312" t="s">
        <v>117</v>
      </c>
      <c r="C148" s="270" t="s">
        <v>221</v>
      </c>
      <c r="D148" s="135"/>
      <c r="E148" s="191">
        <v>1</v>
      </c>
      <c r="F148" s="191"/>
      <c r="G148" s="191"/>
      <c r="H148" s="193">
        <f>H149</f>
        <v>128880</v>
      </c>
    </row>
    <row r="149" ht="21.45" customHeight="1" spans="1:8">
      <c r="A149" s="316" t="s">
        <v>90</v>
      </c>
      <c r="B149" s="317" t="s">
        <v>117</v>
      </c>
      <c r="C149" s="112" t="s">
        <v>222</v>
      </c>
      <c r="D149" s="100" t="s">
        <v>115</v>
      </c>
      <c r="E149" s="101">
        <v>1</v>
      </c>
      <c r="F149" s="101">
        <v>7.16</v>
      </c>
      <c r="G149" s="101">
        <v>18000</v>
      </c>
      <c r="H149" s="120">
        <f>G149*F149</f>
        <v>128880</v>
      </c>
    </row>
    <row r="150" s="79" customFormat="1" ht="20.4" customHeight="1" spans="1:8">
      <c r="A150" s="314" t="s">
        <v>133</v>
      </c>
      <c r="B150" s="193"/>
      <c r="C150" s="196" t="s">
        <v>223</v>
      </c>
      <c r="D150" s="312" t="s">
        <v>89</v>
      </c>
      <c r="E150" s="193"/>
      <c r="F150" s="191">
        <v>564.65</v>
      </c>
      <c r="G150" s="191"/>
      <c r="H150" s="193" t="e">
        <f>SUM(H151:H154)</f>
        <v>#NAME?</v>
      </c>
    </row>
    <row r="151" ht="20.4" customHeight="1" spans="1:8">
      <c r="A151" s="316" t="s">
        <v>90</v>
      </c>
      <c r="B151" s="317" t="s">
        <v>117</v>
      </c>
      <c r="C151" s="317" t="s">
        <v>104</v>
      </c>
      <c r="D151" s="317" t="s">
        <v>105</v>
      </c>
      <c r="E151" s="120"/>
      <c r="F151" s="120">
        <v>263239</v>
      </c>
      <c r="G151" s="101">
        <v>25</v>
      </c>
      <c r="H151" s="120">
        <f>G151*F151</f>
        <v>6580975</v>
      </c>
    </row>
    <row r="152" ht="20.4" customHeight="1" spans="1:8">
      <c r="A152" s="316" t="s">
        <v>94</v>
      </c>
      <c r="B152" s="317" t="s">
        <v>117</v>
      </c>
      <c r="C152" s="317" t="s">
        <v>107</v>
      </c>
      <c r="D152" s="317" t="s">
        <v>105</v>
      </c>
      <c r="E152" s="120"/>
      <c r="F152" s="120">
        <v>197429</v>
      </c>
      <c r="G152" s="101">
        <v>18</v>
      </c>
      <c r="H152" s="120">
        <f>G152*F152</f>
        <v>3553722</v>
      </c>
    </row>
    <row r="153" ht="20.4" customHeight="1" spans="1:10">
      <c r="A153" s="316" t="s">
        <v>97</v>
      </c>
      <c r="B153" s="317" t="s">
        <v>117</v>
      </c>
      <c r="C153" s="317" t="s">
        <v>219</v>
      </c>
      <c r="D153" s="317" t="s">
        <v>105</v>
      </c>
      <c r="E153" s="120"/>
      <c r="F153" s="120">
        <v>197429</v>
      </c>
      <c r="G153" s="101">
        <v>21</v>
      </c>
      <c r="H153" s="120">
        <f>G153*F153</f>
        <v>4146009</v>
      </c>
      <c r="J153" s="80">
        <v>56.25</v>
      </c>
    </row>
    <row r="154" ht="20.4" customHeight="1" spans="1:12">
      <c r="A154" s="316" t="s">
        <v>109</v>
      </c>
      <c r="B154" s="317" t="s">
        <v>113</v>
      </c>
      <c r="C154" s="112" t="s">
        <v>224</v>
      </c>
      <c r="D154" s="100" t="s">
        <v>115</v>
      </c>
      <c r="E154" s="120"/>
      <c r="F154" s="101">
        <f>F150</f>
        <v>564.65</v>
      </c>
      <c r="G154" s="101" t="e">
        <f>工90030</f>
        <v>#NAME?</v>
      </c>
      <c r="H154" s="120" t="e">
        <f>G154*F154</f>
        <v>#NAME?</v>
      </c>
      <c r="J154" s="80">
        <f>J153*0.6</f>
        <v>33.75</v>
      </c>
      <c r="L154" s="80">
        <f>I155*J155*0.7</f>
        <v>29342.25</v>
      </c>
    </row>
    <row r="155" s="79" customFormat="1" ht="20.4" customHeight="1" spans="1:10">
      <c r="A155" s="314" t="s">
        <v>225</v>
      </c>
      <c r="B155" s="193"/>
      <c r="C155" s="196" t="s">
        <v>226</v>
      </c>
      <c r="D155" s="193"/>
      <c r="E155" s="193"/>
      <c r="F155" s="193"/>
      <c r="G155" s="191"/>
      <c r="H155" s="193" t="e">
        <f>SUM(H156,H177,H262,H341,H499)</f>
        <v>#NAME?</v>
      </c>
      <c r="I155" s="79">
        <v>1863</v>
      </c>
      <c r="J155" s="79">
        <f>J153-J154</f>
        <v>22.5</v>
      </c>
    </row>
    <row r="156" s="79" customFormat="1" ht="20.4" customHeight="1" spans="1:8">
      <c r="A156" s="314" t="s">
        <v>86</v>
      </c>
      <c r="B156" s="193"/>
      <c r="C156" s="196" t="s">
        <v>227</v>
      </c>
      <c r="D156" s="193"/>
      <c r="E156" s="193"/>
      <c r="F156" s="193"/>
      <c r="G156" s="191"/>
      <c r="H156" s="193" t="e">
        <f>H157+H162+H167+H172</f>
        <v>#NAME?</v>
      </c>
    </row>
    <row r="157" s="79" customFormat="1" ht="20.4" customHeight="1" spans="1:12">
      <c r="A157" s="314" t="s">
        <v>38</v>
      </c>
      <c r="B157" s="193"/>
      <c r="C157" s="312" t="s">
        <v>228</v>
      </c>
      <c r="D157" s="312" t="s">
        <v>165</v>
      </c>
      <c r="E157" s="193"/>
      <c r="F157" s="193">
        <v>3610</v>
      </c>
      <c r="G157" s="192"/>
      <c r="H157" s="193" t="e">
        <f>SUM(H158:H161)</f>
        <v>#NAME?</v>
      </c>
      <c r="I157" s="80"/>
      <c r="J157" s="80"/>
      <c r="K157" s="271">
        <f>G167+K156</f>
        <v>0</v>
      </c>
      <c r="L157" s="80"/>
    </row>
    <row r="158" ht="21.45" customHeight="1" spans="1:8">
      <c r="A158" s="99" t="s">
        <v>90</v>
      </c>
      <c r="B158" s="317" t="s">
        <v>120</v>
      </c>
      <c r="C158" s="112" t="s">
        <v>229</v>
      </c>
      <c r="D158" s="100" t="s">
        <v>93</v>
      </c>
      <c r="E158" s="101">
        <f>1.5*19</f>
        <v>28.5</v>
      </c>
      <c r="F158" s="101">
        <f>F157*E158/100</f>
        <v>1028.85</v>
      </c>
      <c r="G158" s="101" t="e">
        <f>工补1</f>
        <v>#NAME?</v>
      </c>
      <c r="H158" s="120" t="e">
        <f>G158*F158</f>
        <v>#NAME?</v>
      </c>
    </row>
    <row r="159" ht="20.4" customHeight="1" spans="1:8">
      <c r="A159" s="99" t="s">
        <v>212</v>
      </c>
      <c r="B159" s="120">
        <v>10337</v>
      </c>
      <c r="C159" s="317" t="s">
        <v>215</v>
      </c>
      <c r="D159" s="100" t="s">
        <v>93</v>
      </c>
      <c r="E159" s="101">
        <f>1.2*29</f>
        <v>34.8</v>
      </c>
      <c r="F159" s="101">
        <f>F157*E159/100</f>
        <v>1256.28</v>
      </c>
      <c r="G159" s="101" t="e">
        <f>工10337</f>
        <v>#NAME?</v>
      </c>
      <c r="H159" s="120" t="e">
        <f>G159*F159</f>
        <v>#NAME?</v>
      </c>
    </row>
    <row r="160" ht="20.4" customHeight="1" spans="1:8">
      <c r="A160" s="99" t="s">
        <v>230</v>
      </c>
      <c r="B160" s="317" t="s">
        <v>117</v>
      </c>
      <c r="C160" s="317" t="s">
        <v>111</v>
      </c>
      <c r="D160" s="317" t="s">
        <v>105</v>
      </c>
      <c r="E160" s="120">
        <v>6</v>
      </c>
      <c r="F160" s="120">
        <f>F157*E160</f>
        <v>21660</v>
      </c>
      <c r="G160" s="101">
        <v>2.5</v>
      </c>
      <c r="H160" s="120">
        <f>G160*F160</f>
        <v>54150</v>
      </c>
    </row>
    <row r="161" ht="21.45" customHeight="1" spans="1:8">
      <c r="A161" s="99" t="s">
        <v>231</v>
      </c>
      <c r="B161" s="317" t="s">
        <v>122</v>
      </c>
      <c r="C161" s="112" t="s">
        <v>123</v>
      </c>
      <c r="D161" s="100" t="s">
        <v>115</v>
      </c>
      <c r="E161" s="101">
        <v>12</v>
      </c>
      <c r="F161" s="101">
        <f>F157*E161/10000</f>
        <v>4.332</v>
      </c>
      <c r="G161" s="101" t="e">
        <f>工90029</f>
        <v>#NAME?</v>
      </c>
      <c r="H161" s="120" t="e">
        <f>G161*F161</f>
        <v>#NAME?</v>
      </c>
    </row>
    <row r="162" s="79" customFormat="1" ht="20.4" customHeight="1" spans="1:12">
      <c r="A162" s="314" t="s">
        <v>40</v>
      </c>
      <c r="B162" s="193"/>
      <c r="C162" s="312" t="s">
        <v>232</v>
      </c>
      <c r="D162" s="312" t="s">
        <v>165</v>
      </c>
      <c r="E162" s="193"/>
      <c r="F162" s="193">
        <v>2387</v>
      </c>
      <c r="G162" s="192"/>
      <c r="H162" s="193" t="e">
        <f>SUM(H163:H166)</f>
        <v>#NAME?</v>
      </c>
      <c r="I162" s="80"/>
      <c r="J162" s="80"/>
      <c r="K162" s="271">
        <f>G170+K159</f>
        <v>2.5</v>
      </c>
      <c r="L162" s="80"/>
    </row>
    <row r="163" ht="21.45" customHeight="1" spans="1:8">
      <c r="A163" s="99" t="s">
        <v>90</v>
      </c>
      <c r="B163" s="317" t="s">
        <v>120</v>
      </c>
      <c r="C163" s="112" t="s">
        <v>229</v>
      </c>
      <c r="D163" s="100" t="s">
        <v>93</v>
      </c>
      <c r="E163" s="101">
        <v>32</v>
      </c>
      <c r="F163" s="101">
        <f>$F$162*E163/100</f>
        <v>763.84</v>
      </c>
      <c r="G163" s="101" t="e">
        <f>工补1</f>
        <v>#NAME?</v>
      </c>
      <c r="H163" s="120" t="e">
        <f>G163*F163</f>
        <v>#NAME?</v>
      </c>
    </row>
    <row r="164" ht="20.4" customHeight="1" spans="1:8">
      <c r="A164" s="99" t="s">
        <v>212</v>
      </c>
      <c r="B164" s="120">
        <v>10337</v>
      </c>
      <c r="C164" s="317" t="s">
        <v>215</v>
      </c>
      <c r="D164" s="100" t="s">
        <v>93</v>
      </c>
      <c r="E164" s="101">
        <v>38</v>
      </c>
      <c r="F164" s="101">
        <f>$F$162*E164/100</f>
        <v>907.06</v>
      </c>
      <c r="G164" s="101" t="e">
        <f>工10337</f>
        <v>#NAME?</v>
      </c>
      <c r="H164" s="120" t="e">
        <f>G164*F164</f>
        <v>#NAME?</v>
      </c>
    </row>
    <row r="165" ht="20.4" customHeight="1" spans="1:8">
      <c r="A165" s="99" t="s">
        <v>230</v>
      </c>
      <c r="B165" s="317" t="s">
        <v>117</v>
      </c>
      <c r="C165" s="317" t="s">
        <v>111</v>
      </c>
      <c r="D165" s="317" t="s">
        <v>105</v>
      </c>
      <c r="E165" s="120">
        <v>6</v>
      </c>
      <c r="F165" s="120">
        <f>F162*E165</f>
        <v>14322</v>
      </c>
      <c r="G165" s="101">
        <v>2.5</v>
      </c>
      <c r="H165" s="120">
        <f>G165*F165</f>
        <v>35805</v>
      </c>
    </row>
    <row r="166" ht="21.45" customHeight="1" spans="1:8">
      <c r="A166" s="99" t="s">
        <v>231</v>
      </c>
      <c r="B166" s="317" t="s">
        <v>122</v>
      </c>
      <c r="C166" s="112" t="s">
        <v>123</v>
      </c>
      <c r="D166" s="100" t="s">
        <v>115</v>
      </c>
      <c r="E166" s="101">
        <v>8</v>
      </c>
      <c r="F166" s="101">
        <f>F162*E166/10000</f>
        <v>1.9096</v>
      </c>
      <c r="G166" s="101" t="e">
        <f>工90029</f>
        <v>#NAME?</v>
      </c>
      <c r="H166" s="120" t="e">
        <f>G166*F166</f>
        <v>#NAME?</v>
      </c>
    </row>
    <row r="167" s="79" customFormat="1" ht="20.4" customHeight="1" spans="1:12">
      <c r="A167" s="314" t="s">
        <v>42</v>
      </c>
      <c r="B167" s="193"/>
      <c r="C167" s="312" t="s">
        <v>233</v>
      </c>
      <c r="D167" s="312" t="s">
        <v>165</v>
      </c>
      <c r="E167" s="193"/>
      <c r="F167" s="193">
        <v>2089</v>
      </c>
      <c r="G167" s="192"/>
      <c r="H167" s="193" t="e">
        <f>SUM(H168:H171)</f>
        <v>#NAME?</v>
      </c>
      <c r="I167" s="80"/>
      <c r="J167" s="80"/>
      <c r="K167" s="271">
        <f>G177+K164</f>
        <v>0</v>
      </c>
      <c r="L167" s="80"/>
    </row>
    <row r="168" ht="21.45" customHeight="1" spans="1:8">
      <c r="A168" s="99" t="s">
        <v>90</v>
      </c>
      <c r="B168" s="317" t="s">
        <v>120</v>
      </c>
      <c r="C168" s="112" t="s">
        <v>229</v>
      </c>
      <c r="D168" s="100" t="s">
        <v>93</v>
      </c>
      <c r="E168" s="101">
        <v>31</v>
      </c>
      <c r="F168" s="101">
        <f>$F$167*E168/100</f>
        <v>647.59</v>
      </c>
      <c r="G168" s="101" t="e">
        <f>工补1</f>
        <v>#NAME?</v>
      </c>
      <c r="H168" s="120" t="e">
        <f>G168*F168</f>
        <v>#NAME?</v>
      </c>
    </row>
    <row r="169" ht="20.4" customHeight="1" spans="1:8">
      <c r="A169" s="99" t="s">
        <v>212</v>
      </c>
      <c r="B169" s="120">
        <v>10337</v>
      </c>
      <c r="C169" s="317" t="s">
        <v>215</v>
      </c>
      <c r="D169" s="100" t="s">
        <v>93</v>
      </c>
      <c r="E169" s="101">
        <v>28</v>
      </c>
      <c r="F169" s="101">
        <f>$F$167*E169/100</f>
        <v>584.92</v>
      </c>
      <c r="G169" s="101" t="e">
        <f>工10337</f>
        <v>#NAME?</v>
      </c>
      <c r="H169" s="120" t="e">
        <f>G169*F169</f>
        <v>#NAME?</v>
      </c>
    </row>
    <row r="170" ht="20.4" customHeight="1" spans="1:8">
      <c r="A170" s="99" t="s">
        <v>230</v>
      </c>
      <c r="B170" s="317" t="s">
        <v>117</v>
      </c>
      <c r="C170" s="317" t="s">
        <v>111</v>
      </c>
      <c r="D170" s="317" t="s">
        <v>105</v>
      </c>
      <c r="E170" s="120">
        <v>5</v>
      </c>
      <c r="F170" s="120">
        <f>F167*E170</f>
        <v>10445</v>
      </c>
      <c r="G170" s="101">
        <v>2.5</v>
      </c>
      <c r="H170" s="120">
        <f>G170*F170</f>
        <v>26112.5</v>
      </c>
    </row>
    <row r="171" ht="21.45" customHeight="1" spans="1:8">
      <c r="A171" s="99" t="s">
        <v>231</v>
      </c>
      <c r="B171" s="317" t="s">
        <v>122</v>
      </c>
      <c r="C171" s="112" t="s">
        <v>123</v>
      </c>
      <c r="D171" s="100" t="s">
        <v>115</v>
      </c>
      <c r="E171" s="101">
        <v>7</v>
      </c>
      <c r="F171" s="101">
        <f>F167*E171/10000</f>
        <v>1.4623</v>
      </c>
      <c r="G171" s="101" t="e">
        <f>工90029</f>
        <v>#NAME?</v>
      </c>
      <c r="H171" s="120" t="e">
        <f>G171*F171</f>
        <v>#NAME?</v>
      </c>
    </row>
    <row r="172" s="79" customFormat="1" ht="20.4" customHeight="1" spans="1:12">
      <c r="A172" s="314" t="s">
        <v>42</v>
      </c>
      <c r="B172" s="193"/>
      <c r="C172" s="312" t="s">
        <v>234</v>
      </c>
      <c r="D172" s="312" t="s">
        <v>165</v>
      </c>
      <c r="E172" s="193"/>
      <c r="F172" s="193">
        <v>1159</v>
      </c>
      <c r="G172" s="192"/>
      <c r="H172" s="193" t="e">
        <f>SUM(H173:H176)</f>
        <v>#NAME?</v>
      </c>
      <c r="I172" s="80"/>
      <c r="J172" s="80"/>
      <c r="K172" s="271">
        <f>G182+K169</f>
        <v>309.620525377571</v>
      </c>
      <c r="L172" s="80"/>
    </row>
    <row r="173" ht="21.45" customHeight="1" spans="1:8">
      <c r="A173" s="99" t="s">
        <v>90</v>
      </c>
      <c r="B173" s="317" t="s">
        <v>120</v>
      </c>
      <c r="C173" s="112" t="s">
        <v>229</v>
      </c>
      <c r="D173" s="100" t="s">
        <v>93</v>
      </c>
      <c r="E173" s="101">
        <v>28.73</v>
      </c>
      <c r="F173" s="101">
        <f>$F$172*E173/100</f>
        <v>332.9807</v>
      </c>
      <c r="G173" s="101" t="e">
        <f>工补1</f>
        <v>#NAME?</v>
      </c>
      <c r="H173" s="120" t="e">
        <f>G173*F173</f>
        <v>#NAME?</v>
      </c>
    </row>
    <row r="174" ht="20.4" customHeight="1" spans="1:8">
      <c r="A174" s="99" t="s">
        <v>212</v>
      </c>
      <c r="B174" s="120">
        <v>10337</v>
      </c>
      <c r="C174" s="317" t="s">
        <v>215</v>
      </c>
      <c r="D174" s="100" t="s">
        <v>93</v>
      </c>
      <c r="E174" s="101">
        <v>23.43</v>
      </c>
      <c r="F174" s="101">
        <f>$F$172*E174/100</f>
        <v>271.5537</v>
      </c>
      <c r="G174" s="101" t="e">
        <f>工10337</f>
        <v>#NAME?</v>
      </c>
      <c r="H174" s="120" t="e">
        <f>G174*F174</f>
        <v>#NAME?</v>
      </c>
    </row>
    <row r="175" ht="20.4" customHeight="1" spans="1:8">
      <c r="A175" s="99" t="s">
        <v>230</v>
      </c>
      <c r="B175" s="317" t="s">
        <v>117</v>
      </c>
      <c r="C175" s="317" t="s">
        <v>111</v>
      </c>
      <c r="D175" s="317" t="s">
        <v>105</v>
      </c>
      <c r="E175" s="120">
        <v>5</v>
      </c>
      <c r="F175" s="120">
        <f>F172*E175</f>
        <v>5795</v>
      </c>
      <c r="G175" s="101">
        <v>2.5</v>
      </c>
      <c r="H175" s="120">
        <f>G175*F175</f>
        <v>14487.5</v>
      </c>
    </row>
    <row r="176" ht="21.45" customHeight="1" spans="1:8">
      <c r="A176" s="99" t="s">
        <v>231</v>
      </c>
      <c r="B176" s="317" t="s">
        <v>122</v>
      </c>
      <c r="C176" s="112" t="s">
        <v>123</v>
      </c>
      <c r="D176" s="100" t="s">
        <v>115</v>
      </c>
      <c r="E176" s="101">
        <v>7</v>
      </c>
      <c r="F176" s="101">
        <f>F172*E176/10000</f>
        <v>0.8113</v>
      </c>
      <c r="G176" s="101" t="e">
        <f>工90029</f>
        <v>#NAME?</v>
      </c>
      <c r="H176" s="120" t="e">
        <f>G176*F176</f>
        <v>#NAME?</v>
      </c>
    </row>
    <row r="177" s="79" customFormat="1" ht="20.4" customHeight="1" spans="1:12">
      <c r="A177" s="314" t="s">
        <v>100</v>
      </c>
      <c r="B177" s="193"/>
      <c r="C177" s="196" t="s">
        <v>235</v>
      </c>
      <c r="D177" s="193"/>
      <c r="E177" s="193"/>
      <c r="F177" s="193"/>
      <c r="G177" s="191"/>
      <c r="H177" s="193" t="e">
        <f>H178+H192+H206+H220+H234+H248</f>
        <v>#REF!</v>
      </c>
      <c r="L177" s="79" t="e">
        <f>SUM(#REF!)</f>
        <v>#REF!</v>
      </c>
    </row>
    <row r="178" s="79" customFormat="1" ht="20.4" customHeight="1" spans="1:12">
      <c r="A178" s="314" t="s">
        <v>38</v>
      </c>
      <c r="B178" s="193"/>
      <c r="C178" s="312" t="s">
        <v>236</v>
      </c>
      <c r="D178" s="193"/>
      <c r="E178" s="193">
        <v>4180</v>
      </c>
      <c r="F178" s="193"/>
      <c r="G178" s="191"/>
      <c r="H178" s="193" t="e">
        <f>H179+H183+H189</f>
        <v>#REF!</v>
      </c>
      <c r="I178" s="80"/>
      <c r="J178" s="80"/>
      <c r="K178" s="80"/>
      <c r="L178" s="80" t="e">
        <f>L171/I154*100</f>
        <v>#DIV/0!</v>
      </c>
    </row>
    <row r="179" s="79" customFormat="1" ht="20.4" customHeight="1" spans="1:12">
      <c r="A179" s="314" t="s">
        <v>237</v>
      </c>
      <c r="B179" s="193"/>
      <c r="C179" s="312" t="s">
        <v>238</v>
      </c>
      <c r="D179" s="193"/>
      <c r="E179" s="191">
        <v>22.62</v>
      </c>
      <c r="F179" s="193"/>
      <c r="G179" s="191"/>
      <c r="H179" s="193" t="e">
        <f>SUM(H180:H182)</f>
        <v>#REF!</v>
      </c>
      <c r="I179" s="80"/>
      <c r="J179" s="80"/>
      <c r="K179" s="80"/>
      <c r="L179" s="80" t="e">
        <f>L177/I155*100</f>
        <v>#REF!</v>
      </c>
    </row>
    <row r="180" ht="21.45" customHeight="1" spans="1:12">
      <c r="A180" s="99" t="s">
        <v>90</v>
      </c>
      <c r="B180" s="317" t="s">
        <v>91</v>
      </c>
      <c r="C180" s="261" t="s">
        <v>92</v>
      </c>
      <c r="D180" s="199" t="s">
        <v>93</v>
      </c>
      <c r="E180" s="269">
        <f>E179*0.7*15*310</f>
        <v>73628.1</v>
      </c>
      <c r="F180" s="101">
        <f>E180*0.5/100</f>
        <v>368.1405</v>
      </c>
      <c r="G180" s="101" t="e">
        <f>工10304</f>
        <v>#REF!</v>
      </c>
      <c r="H180" s="120" t="e">
        <f>G180*F180</f>
        <v>#REF!</v>
      </c>
      <c r="I180" s="79"/>
      <c r="J180" s="79"/>
      <c r="K180" s="79"/>
      <c r="L180" s="79"/>
    </row>
    <row r="181" ht="21.45" customHeight="1" spans="1:12">
      <c r="A181" s="99" t="s">
        <v>212</v>
      </c>
      <c r="B181" s="317" t="s">
        <v>95</v>
      </c>
      <c r="C181" s="261" t="s">
        <v>96</v>
      </c>
      <c r="D181" s="199" t="s">
        <v>93</v>
      </c>
      <c r="E181" s="269"/>
      <c r="F181" s="101">
        <f>E180*0.3/100</f>
        <v>220.8843</v>
      </c>
      <c r="G181" s="101" t="e">
        <f>工10305</f>
        <v>#REF!</v>
      </c>
      <c r="H181" s="120" t="e">
        <f>G181*F181</f>
        <v>#REF!</v>
      </c>
      <c r="I181" s="80">
        <f>F183*2.15</f>
        <v>3528.15</v>
      </c>
      <c r="L181" s="271">
        <f>SUM(F184:F185)</f>
        <v>91.896</v>
      </c>
    </row>
    <row r="182" ht="21.45" customHeight="1" spans="1:12">
      <c r="A182" s="99" t="s">
        <v>230</v>
      </c>
      <c r="B182" s="317" t="s">
        <v>98</v>
      </c>
      <c r="C182" s="261" t="s">
        <v>99</v>
      </c>
      <c r="D182" s="199" t="s">
        <v>93</v>
      </c>
      <c r="E182" s="269"/>
      <c r="F182" s="101">
        <f>E180*0.2/100</f>
        <v>147.2562</v>
      </c>
      <c r="G182" s="101">
        <f>工10306</f>
        <v>309.620525377571</v>
      </c>
      <c r="H182" s="120">
        <f>G182*F182</f>
        <v>45593.5420091046</v>
      </c>
      <c r="I182" s="80">
        <f>I181*0.7</f>
        <v>2469.705</v>
      </c>
      <c r="L182" s="271">
        <f>SUM(F185:F186)</f>
        <v>59.8965</v>
      </c>
    </row>
    <row r="183" s="79" customFormat="1" ht="20.4" customHeight="1" spans="1:12">
      <c r="A183" s="314" t="s">
        <v>239</v>
      </c>
      <c r="B183" s="193"/>
      <c r="C183" s="312" t="s">
        <v>240</v>
      </c>
      <c r="D183" s="135" t="s">
        <v>165</v>
      </c>
      <c r="E183" s="193"/>
      <c r="F183" s="193">
        <v>1641</v>
      </c>
      <c r="G183" s="191"/>
      <c r="H183" s="193" t="e">
        <f>SUM(H184:H188)</f>
        <v>#REF!</v>
      </c>
      <c r="I183" s="80">
        <f>F183*4*0.2</f>
        <v>1312.8</v>
      </c>
      <c r="J183" s="80">
        <f>100/0.3</f>
        <v>333.333333333333</v>
      </c>
      <c r="K183" s="80"/>
      <c r="L183" s="80"/>
    </row>
    <row r="184" ht="20.4" customHeight="1" spans="1:10">
      <c r="A184" s="99" t="s">
        <v>90</v>
      </c>
      <c r="B184" s="120">
        <v>10203</v>
      </c>
      <c r="C184" s="112" t="s">
        <v>172</v>
      </c>
      <c r="D184" s="100" t="s">
        <v>93</v>
      </c>
      <c r="E184" s="101">
        <v>3.15</v>
      </c>
      <c r="F184" s="101">
        <f>$F$183*E184/100</f>
        <v>51.6915</v>
      </c>
      <c r="G184" s="101" t="e">
        <f>工10203</f>
        <v>#REF!</v>
      </c>
      <c r="H184" s="120" t="e">
        <f>G184*F184</f>
        <v>#REF!</v>
      </c>
      <c r="I184" s="80">
        <f>4*F183</f>
        <v>6564</v>
      </c>
      <c r="J184" s="80">
        <f>J183*2</f>
        <v>666.666666666667</v>
      </c>
    </row>
    <row r="185" ht="20.4" customHeight="1" spans="1:11">
      <c r="A185" s="99" t="s">
        <v>94</v>
      </c>
      <c r="B185" s="120">
        <v>10345</v>
      </c>
      <c r="C185" s="112" t="s">
        <v>129</v>
      </c>
      <c r="D185" s="100" t="s">
        <v>93</v>
      </c>
      <c r="E185" s="101">
        <v>2.45</v>
      </c>
      <c r="F185" s="101">
        <f>$F$183*E185/100</f>
        <v>40.2045</v>
      </c>
      <c r="G185" s="101" t="e">
        <f>工10345/100</f>
        <v>#REF!</v>
      </c>
      <c r="H185" s="120" t="e">
        <f>G185*F185</f>
        <v>#REF!</v>
      </c>
      <c r="I185" s="80">
        <f>I184*0.3</f>
        <v>1969.2</v>
      </c>
      <c r="J185" s="80">
        <f>J184*1.2</f>
        <v>800</v>
      </c>
      <c r="K185" s="80">
        <f>J185*2.1</f>
        <v>1680</v>
      </c>
    </row>
    <row r="186" s="79" customFormat="1" ht="20.4" customHeight="1" spans="1:12">
      <c r="A186" s="99" t="s">
        <v>97</v>
      </c>
      <c r="B186" s="317" t="s">
        <v>241</v>
      </c>
      <c r="C186" s="317" t="s">
        <v>242</v>
      </c>
      <c r="D186" s="100" t="s">
        <v>93</v>
      </c>
      <c r="E186" s="101">
        <f>4*0.3</f>
        <v>1.2</v>
      </c>
      <c r="F186" s="101">
        <f>$F$183*E186/100</f>
        <v>19.692</v>
      </c>
      <c r="G186" s="101" t="e">
        <f>工宁水9010</f>
        <v>#NAME?</v>
      </c>
      <c r="H186" s="120" t="e">
        <f>G186*F186</f>
        <v>#NAME?</v>
      </c>
      <c r="I186" s="80"/>
      <c r="J186" s="80"/>
      <c r="K186" s="271" t="e">
        <f>G186+K185</f>
        <v>#NAME?</v>
      </c>
      <c r="L186" s="80"/>
    </row>
    <row r="187" ht="20.4" customHeight="1" spans="1:8">
      <c r="A187" s="99" t="s">
        <v>109</v>
      </c>
      <c r="B187" s="317" t="s">
        <v>243</v>
      </c>
      <c r="C187" s="317" t="s">
        <v>244</v>
      </c>
      <c r="D187" s="100" t="s">
        <v>93</v>
      </c>
      <c r="E187" s="101"/>
      <c r="F187" s="101">
        <f>F183/100</f>
        <v>16.41</v>
      </c>
      <c r="G187" s="101" t="e">
        <f>工宁水9011</f>
        <v>#NAME?</v>
      </c>
      <c r="H187" s="120" t="e">
        <f>G187*F187</f>
        <v>#NAME?</v>
      </c>
    </row>
    <row r="188" ht="21.45" customHeight="1" spans="1:8">
      <c r="A188" s="99" t="s">
        <v>112</v>
      </c>
      <c r="B188" s="317" t="s">
        <v>245</v>
      </c>
      <c r="C188" s="317" t="s">
        <v>246</v>
      </c>
      <c r="D188" s="100" t="s">
        <v>93</v>
      </c>
      <c r="E188" s="101">
        <f>4*0.15</f>
        <v>0.6</v>
      </c>
      <c r="F188" s="101">
        <f>$F$183*E188/100</f>
        <v>9.846</v>
      </c>
      <c r="G188" s="101" t="e">
        <f>工30003</f>
        <v>#REF!</v>
      </c>
      <c r="H188" s="120" t="e">
        <f>G188*F188</f>
        <v>#REF!</v>
      </c>
    </row>
    <row r="189" ht="20.4" customHeight="1" spans="1:8">
      <c r="A189" s="314" t="s">
        <v>247</v>
      </c>
      <c r="B189" s="193"/>
      <c r="C189" s="312" t="s">
        <v>248</v>
      </c>
      <c r="D189" s="135"/>
      <c r="E189" s="193"/>
      <c r="F189" s="191"/>
      <c r="G189" s="191"/>
      <c r="H189" s="193" t="e">
        <f>SUM(H190:H191)</f>
        <v>#NAME?</v>
      </c>
    </row>
    <row r="190" s="79" customFormat="1" ht="20.4" customHeight="1" spans="1:11">
      <c r="A190" s="99" t="s">
        <v>90</v>
      </c>
      <c r="B190" s="317" t="s">
        <v>113</v>
      </c>
      <c r="C190" s="112" t="s">
        <v>114</v>
      </c>
      <c r="D190" s="100" t="s">
        <v>115</v>
      </c>
      <c r="E190" s="101">
        <f>E179*0.8</f>
        <v>18.096</v>
      </c>
      <c r="F190" s="101">
        <f>E190</f>
        <v>18.096</v>
      </c>
      <c r="G190" s="101" t="e">
        <f>工90030</f>
        <v>#NAME?</v>
      </c>
      <c r="H190" s="120" t="e">
        <f>G190*F190</f>
        <v>#NAME?</v>
      </c>
      <c r="K190" s="79" t="e">
        <f>#REF!*0.4</f>
        <v>#REF!</v>
      </c>
    </row>
    <row r="191" ht="21.45" customHeight="1" spans="1:8">
      <c r="A191" s="99" t="s">
        <v>212</v>
      </c>
      <c r="B191" s="317" t="s">
        <v>117</v>
      </c>
      <c r="C191" s="317" t="s">
        <v>111</v>
      </c>
      <c r="D191" s="317" t="s">
        <v>105</v>
      </c>
      <c r="E191" s="120">
        <f>E178*8</f>
        <v>33440</v>
      </c>
      <c r="F191" s="120">
        <f>E191</f>
        <v>33440</v>
      </c>
      <c r="G191" s="101">
        <v>2.5</v>
      </c>
      <c r="H191" s="120">
        <f>G191*F191</f>
        <v>83600</v>
      </c>
    </row>
    <row r="192" ht="20.4" customHeight="1" spans="1:8">
      <c r="A192" s="314" t="s">
        <v>40</v>
      </c>
      <c r="B192" s="193"/>
      <c r="C192" s="312" t="s">
        <v>249</v>
      </c>
      <c r="D192" s="193"/>
      <c r="E192" s="193">
        <v>400</v>
      </c>
      <c r="F192" s="193"/>
      <c r="G192" s="191"/>
      <c r="H192" s="193" t="e">
        <f>H193+H197+H203</f>
        <v>#REF!</v>
      </c>
    </row>
    <row r="193" s="79" customFormat="1" ht="20.4" customHeight="1" spans="1:11">
      <c r="A193" s="314" t="s">
        <v>162</v>
      </c>
      <c r="B193" s="193"/>
      <c r="C193" s="312" t="s">
        <v>238</v>
      </c>
      <c r="D193" s="193"/>
      <c r="E193" s="191">
        <v>1.84</v>
      </c>
      <c r="F193" s="193"/>
      <c r="G193" s="191"/>
      <c r="H193" s="193" t="e">
        <f>SUM(H194:H196)</f>
        <v>#REF!</v>
      </c>
      <c r="K193" s="79" t="e">
        <f>#REF!*0.4</f>
        <v>#REF!</v>
      </c>
    </row>
    <row r="194" ht="20.4" customHeight="1" spans="1:8">
      <c r="A194" s="99" t="s">
        <v>90</v>
      </c>
      <c r="B194" s="317" t="s">
        <v>91</v>
      </c>
      <c r="C194" s="261" t="s">
        <v>92</v>
      </c>
      <c r="D194" s="199" t="s">
        <v>93</v>
      </c>
      <c r="E194" s="269">
        <f>E193*0.9*15*310</f>
        <v>7700.4</v>
      </c>
      <c r="F194" s="101">
        <f>E194*0.5/100</f>
        <v>38.502</v>
      </c>
      <c r="G194" s="101" t="e">
        <f>工10304</f>
        <v>#REF!</v>
      </c>
      <c r="H194" s="120" t="e">
        <f>G194*F194</f>
        <v>#REF!</v>
      </c>
    </row>
    <row r="195" ht="20.4" customHeight="1" spans="1:8">
      <c r="A195" s="99" t="s">
        <v>212</v>
      </c>
      <c r="B195" s="317" t="s">
        <v>95</v>
      </c>
      <c r="C195" s="261" t="s">
        <v>96</v>
      </c>
      <c r="D195" s="199" t="s">
        <v>93</v>
      </c>
      <c r="E195" s="269"/>
      <c r="F195" s="101">
        <f>E194*0.3/100</f>
        <v>23.1012</v>
      </c>
      <c r="G195" s="101" t="e">
        <f>工10305</f>
        <v>#REF!</v>
      </c>
      <c r="H195" s="120" t="e">
        <f>G195*F195</f>
        <v>#REF!</v>
      </c>
    </row>
    <row r="196" ht="20.4" customHeight="1" spans="1:8">
      <c r="A196" s="99" t="s">
        <v>230</v>
      </c>
      <c r="B196" s="317" t="s">
        <v>98</v>
      </c>
      <c r="C196" s="261" t="s">
        <v>99</v>
      </c>
      <c r="D196" s="199" t="s">
        <v>93</v>
      </c>
      <c r="E196" s="269"/>
      <c r="F196" s="101">
        <f>E194*0.2/100</f>
        <v>15.4008</v>
      </c>
      <c r="G196" s="101">
        <f>工10306</f>
        <v>309.620525377571</v>
      </c>
      <c r="H196" s="120">
        <f>G196*F196</f>
        <v>4768.40378723489</v>
      </c>
    </row>
    <row r="197" ht="20.4" customHeight="1" spans="1:8">
      <c r="A197" s="314" t="s">
        <v>169</v>
      </c>
      <c r="B197" s="193"/>
      <c r="C197" s="312" t="s">
        <v>240</v>
      </c>
      <c r="D197" s="135" t="s">
        <v>165</v>
      </c>
      <c r="E197" s="193"/>
      <c r="F197" s="193">
        <v>778</v>
      </c>
      <c r="G197" s="191"/>
      <c r="H197" s="193" t="e">
        <f>SUM(H198:H202)</f>
        <v>#REF!</v>
      </c>
    </row>
    <row r="198" ht="20.4" customHeight="1" spans="1:8">
      <c r="A198" s="99" t="s">
        <v>90</v>
      </c>
      <c r="B198" s="120">
        <v>10203</v>
      </c>
      <c r="C198" s="112" t="s">
        <v>172</v>
      </c>
      <c r="D198" s="100" t="s">
        <v>93</v>
      </c>
      <c r="E198" s="101">
        <v>3.15</v>
      </c>
      <c r="F198" s="101">
        <f>$F$197*E198/100</f>
        <v>24.507</v>
      </c>
      <c r="G198" s="101" t="e">
        <f>工10203</f>
        <v>#REF!</v>
      </c>
      <c r="H198" s="120" t="e">
        <f>G198*F198</f>
        <v>#REF!</v>
      </c>
    </row>
    <row r="199" ht="20.4" customHeight="1" spans="1:8">
      <c r="A199" s="99" t="s">
        <v>212</v>
      </c>
      <c r="B199" s="120">
        <v>10345</v>
      </c>
      <c r="C199" s="112" t="s">
        <v>129</v>
      </c>
      <c r="D199" s="100" t="s">
        <v>93</v>
      </c>
      <c r="E199" s="101">
        <v>2.45</v>
      </c>
      <c r="F199" s="101">
        <f>$F$197*E199/100</f>
        <v>19.061</v>
      </c>
      <c r="G199" s="101" t="e">
        <f>工10345/100</f>
        <v>#REF!</v>
      </c>
      <c r="H199" s="120" t="e">
        <f>G199*F199</f>
        <v>#REF!</v>
      </c>
    </row>
    <row r="200" ht="20.4" customHeight="1" spans="1:8">
      <c r="A200" s="99" t="s">
        <v>230</v>
      </c>
      <c r="B200" s="317" t="s">
        <v>241</v>
      </c>
      <c r="C200" s="317" t="s">
        <v>242</v>
      </c>
      <c r="D200" s="100" t="s">
        <v>93</v>
      </c>
      <c r="E200" s="101">
        <f>4*0.3</f>
        <v>1.2</v>
      </c>
      <c r="F200" s="101">
        <f>$F$197*E200/100</f>
        <v>9.336</v>
      </c>
      <c r="G200" s="101" t="e">
        <f>工宁水9010</f>
        <v>#NAME?</v>
      </c>
      <c r="H200" s="120" t="e">
        <f>G200*F200</f>
        <v>#NAME?</v>
      </c>
    </row>
    <row r="201" ht="20.4" customHeight="1" spans="1:8">
      <c r="A201" s="99" t="s">
        <v>109</v>
      </c>
      <c r="B201" s="317" t="s">
        <v>243</v>
      </c>
      <c r="C201" s="317" t="s">
        <v>244</v>
      </c>
      <c r="D201" s="100" t="s">
        <v>93</v>
      </c>
      <c r="E201" s="101"/>
      <c r="F201" s="101">
        <f>F197/100</f>
        <v>7.78</v>
      </c>
      <c r="G201" s="101" t="e">
        <f>工宁水9011</f>
        <v>#NAME?</v>
      </c>
      <c r="H201" s="120" t="e">
        <f>G201*F201</f>
        <v>#NAME?</v>
      </c>
    </row>
    <row r="202" ht="20.4" customHeight="1" spans="1:8">
      <c r="A202" s="99" t="s">
        <v>112</v>
      </c>
      <c r="B202" s="317" t="s">
        <v>245</v>
      </c>
      <c r="C202" s="317" t="s">
        <v>246</v>
      </c>
      <c r="D202" s="100" t="s">
        <v>93</v>
      </c>
      <c r="E202" s="101">
        <f>4*0.15</f>
        <v>0.6</v>
      </c>
      <c r="F202" s="101">
        <f>$F$197*E202/100</f>
        <v>4.668</v>
      </c>
      <c r="G202" s="101" t="e">
        <f>工30003</f>
        <v>#REF!</v>
      </c>
      <c r="H202" s="120" t="e">
        <f>G202*F202</f>
        <v>#REF!</v>
      </c>
    </row>
    <row r="203" ht="20.4" customHeight="1" spans="1:8">
      <c r="A203" s="314" t="s">
        <v>250</v>
      </c>
      <c r="B203" s="193"/>
      <c r="C203" s="312" t="s">
        <v>248</v>
      </c>
      <c r="D203" s="135"/>
      <c r="E203" s="193"/>
      <c r="F203" s="191"/>
      <c r="G203" s="191"/>
      <c r="H203" s="193" t="e">
        <f>SUM(H204:H205)</f>
        <v>#NAME?</v>
      </c>
    </row>
    <row r="204" ht="20.4" customHeight="1" spans="1:8">
      <c r="A204" s="99" t="s">
        <v>90</v>
      </c>
      <c r="B204" s="317" t="s">
        <v>113</v>
      </c>
      <c r="C204" s="112" t="s">
        <v>114</v>
      </c>
      <c r="D204" s="100" t="s">
        <v>115</v>
      </c>
      <c r="E204" s="101">
        <f>E193*0.8</f>
        <v>1.472</v>
      </c>
      <c r="F204" s="101">
        <f>E204</f>
        <v>1.472</v>
      </c>
      <c r="G204" s="101" t="e">
        <f>工90030</f>
        <v>#NAME?</v>
      </c>
      <c r="H204" s="120" t="e">
        <f>G204*F204</f>
        <v>#NAME?</v>
      </c>
    </row>
    <row r="205" ht="20.4" customHeight="1" spans="1:8">
      <c r="A205" s="99" t="s">
        <v>212</v>
      </c>
      <c r="B205" s="317" t="s">
        <v>117</v>
      </c>
      <c r="C205" s="317" t="s">
        <v>111</v>
      </c>
      <c r="D205" s="317" t="s">
        <v>105</v>
      </c>
      <c r="E205" s="120">
        <f>E192*8</f>
        <v>3200</v>
      </c>
      <c r="F205" s="120">
        <f>E205</f>
        <v>3200</v>
      </c>
      <c r="G205" s="101">
        <v>2.5</v>
      </c>
      <c r="H205" s="120">
        <f>G205*F205</f>
        <v>8000</v>
      </c>
    </row>
    <row r="206" ht="20.4" customHeight="1" spans="1:8">
      <c r="A206" s="314" t="s">
        <v>42</v>
      </c>
      <c r="B206" s="193"/>
      <c r="C206" s="312" t="s">
        <v>251</v>
      </c>
      <c r="D206" s="193"/>
      <c r="E206" s="193">
        <v>3380</v>
      </c>
      <c r="F206" s="193"/>
      <c r="G206" s="191"/>
      <c r="H206" s="193" t="e">
        <f>H207+H211+H217</f>
        <v>#REF!</v>
      </c>
    </row>
    <row r="207" ht="20.4" customHeight="1" spans="1:8">
      <c r="A207" s="314" t="s">
        <v>174</v>
      </c>
      <c r="B207" s="193"/>
      <c r="C207" s="312" t="s">
        <v>238</v>
      </c>
      <c r="D207" s="193"/>
      <c r="E207" s="191">
        <v>27.72</v>
      </c>
      <c r="F207" s="193"/>
      <c r="G207" s="191"/>
      <c r="H207" s="193" t="e">
        <f>SUM(H208:H210)</f>
        <v>#REF!</v>
      </c>
    </row>
    <row r="208" ht="20.4" customHeight="1" spans="1:8">
      <c r="A208" s="99" t="s">
        <v>90</v>
      </c>
      <c r="B208" s="317" t="s">
        <v>91</v>
      </c>
      <c r="C208" s="261" t="s">
        <v>92</v>
      </c>
      <c r="D208" s="199" t="s">
        <v>93</v>
      </c>
      <c r="E208" s="269">
        <f>E207*0.65*15*310</f>
        <v>83783.7</v>
      </c>
      <c r="F208" s="101">
        <f>E208*0.5/100</f>
        <v>418.9185</v>
      </c>
      <c r="G208" s="101" t="e">
        <f>工10304</f>
        <v>#REF!</v>
      </c>
      <c r="H208" s="120" t="e">
        <f>G208*F208</f>
        <v>#REF!</v>
      </c>
    </row>
    <row r="209" ht="20.4" customHeight="1" spans="1:8">
      <c r="A209" s="99" t="s">
        <v>212</v>
      </c>
      <c r="B209" s="317" t="s">
        <v>95</v>
      </c>
      <c r="C209" s="261" t="s">
        <v>96</v>
      </c>
      <c r="D209" s="199" t="s">
        <v>93</v>
      </c>
      <c r="E209" s="269"/>
      <c r="F209" s="101">
        <f>E208*0.3/100</f>
        <v>251.3511</v>
      </c>
      <c r="G209" s="101" t="e">
        <f>工10305</f>
        <v>#REF!</v>
      </c>
      <c r="H209" s="120" t="e">
        <f>G209*F209</f>
        <v>#REF!</v>
      </c>
    </row>
    <row r="210" ht="20.4" customHeight="1" spans="1:8">
      <c r="A210" s="99" t="s">
        <v>230</v>
      </c>
      <c r="B210" s="317" t="s">
        <v>98</v>
      </c>
      <c r="C210" s="261" t="s">
        <v>99</v>
      </c>
      <c r="D210" s="199" t="s">
        <v>93</v>
      </c>
      <c r="E210" s="269"/>
      <c r="F210" s="101">
        <f>E208*0.2/100</f>
        <v>167.5674</v>
      </c>
      <c r="G210" s="101">
        <f>工10306</f>
        <v>309.620525377571</v>
      </c>
      <c r="H210" s="120">
        <f>G210*F210</f>
        <v>51882.3064241535</v>
      </c>
    </row>
    <row r="211" ht="20.4" customHeight="1" spans="1:8">
      <c r="A211" s="314" t="s">
        <v>252</v>
      </c>
      <c r="B211" s="193"/>
      <c r="C211" s="312" t="s">
        <v>240</v>
      </c>
      <c r="D211" s="135" t="s">
        <v>165</v>
      </c>
      <c r="E211" s="193"/>
      <c r="F211" s="193">
        <v>2418</v>
      </c>
      <c r="G211" s="191"/>
      <c r="H211" s="193" t="e">
        <f>SUM(H212:H216)</f>
        <v>#REF!</v>
      </c>
    </row>
    <row r="212" ht="20.4" customHeight="1" spans="1:8">
      <c r="A212" s="99" t="s">
        <v>90</v>
      </c>
      <c r="B212" s="120">
        <v>10203</v>
      </c>
      <c r="C212" s="112" t="s">
        <v>172</v>
      </c>
      <c r="D212" s="100" t="s">
        <v>93</v>
      </c>
      <c r="E212" s="101">
        <v>3.15</v>
      </c>
      <c r="F212" s="101">
        <f>$F$211*E212/100</f>
        <v>76.167</v>
      </c>
      <c r="G212" s="101" t="e">
        <f>工10203</f>
        <v>#REF!</v>
      </c>
      <c r="H212" s="120" t="e">
        <f>G212*F212</f>
        <v>#REF!</v>
      </c>
    </row>
    <row r="213" ht="20.4" customHeight="1" spans="1:8">
      <c r="A213" s="99" t="s">
        <v>212</v>
      </c>
      <c r="B213" s="120">
        <v>10345</v>
      </c>
      <c r="C213" s="112" t="s">
        <v>129</v>
      </c>
      <c r="D213" s="100" t="s">
        <v>93</v>
      </c>
      <c r="E213" s="101">
        <v>2.45</v>
      </c>
      <c r="F213" s="101">
        <f>$F$211*E213/100</f>
        <v>59.241</v>
      </c>
      <c r="G213" s="101" t="e">
        <f>工10345/100</f>
        <v>#REF!</v>
      </c>
      <c r="H213" s="120" t="e">
        <f>G213*F213</f>
        <v>#REF!</v>
      </c>
    </row>
    <row r="214" ht="20.4" customHeight="1" spans="1:8">
      <c r="A214" s="99" t="s">
        <v>97</v>
      </c>
      <c r="B214" s="317" t="s">
        <v>241</v>
      </c>
      <c r="C214" s="317" t="s">
        <v>242</v>
      </c>
      <c r="D214" s="100" t="s">
        <v>93</v>
      </c>
      <c r="E214" s="101">
        <f>4*0.3</f>
        <v>1.2</v>
      </c>
      <c r="F214" s="101">
        <f>$F$211*E214/100</f>
        <v>29.016</v>
      </c>
      <c r="G214" s="101" t="e">
        <f>工宁水9010</f>
        <v>#NAME?</v>
      </c>
      <c r="H214" s="120" t="e">
        <f>G214*F214</f>
        <v>#NAME?</v>
      </c>
    </row>
    <row r="215" ht="20.4" customHeight="1" spans="1:8">
      <c r="A215" s="99" t="s">
        <v>109</v>
      </c>
      <c r="B215" s="317" t="s">
        <v>243</v>
      </c>
      <c r="C215" s="317" t="s">
        <v>244</v>
      </c>
      <c r="D215" s="100" t="s">
        <v>93</v>
      </c>
      <c r="E215" s="101"/>
      <c r="F215" s="101">
        <f>F211/100</f>
        <v>24.18</v>
      </c>
      <c r="G215" s="101" t="e">
        <f>工宁水9011</f>
        <v>#NAME?</v>
      </c>
      <c r="H215" s="120" t="e">
        <f>G215*F215</f>
        <v>#NAME?</v>
      </c>
    </row>
    <row r="216" ht="20.4" customHeight="1" spans="1:8">
      <c r="A216" s="99" t="s">
        <v>112</v>
      </c>
      <c r="B216" s="317" t="s">
        <v>245</v>
      </c>
      <c r="C216" s="317" t="s">
        <v>246</v>
      </c>
      <c r="D216" s="100" t="s">
        <v>93</v>
      </c>
      <c r="E216" s="101">
        <f>4*0.15</f>
        <v>0.6</v>
      </c>
      <c r="F216" s="101">
        <f>$F$211*E216/100</f>
        <v>14.508</v>
      </c>
      <c r="G216" s="101" t="e">
        <f>工30003</f>
        <v>#REF!</v>
      </c>
      <c r="H216" s="120" t="e">
        <f>G216*F216</f>
        <v>#REF!</v>
      </c>
    </row>
    <row r="217" ht="20.4" customHeight="1" spans="1:8">
      <c r="A217" s="314" t="s">
        <v>253</v>
      </c>
      <c r="B217" s="193"/>
      <c r="C217" s="312" t="s">
        <v>248</v>
      </c>
      <c r="D217" s="135"/>
      <c r="E217" s="193"/>
      <c r="F217" s="191"/>
      <c r="G217" s="191"/>
      <c r="H217" s="193" t="e">
        <f>SUM(H218:H219)</f>
        <v>#NAME?</v>
      </c>
    </row>
    <row r="218" ht="20.4" customHeight="1" spans="1:8">
      <c r="A218" s="99" t="s">
        <v>90</v>
      </c>
      <c r="B218" s="317" t="s">
        <v>113</v>
      </c>
      <c r="C218" s="112" t="s">
        <v>114</v>
      </c>
      <c r="D218" s="100" t="s">
        <v>115</v>
      </c>
      <c r="E218" s="101">
        <f>E207*0.7</f>
        <v>19.404</v>
      </c>
      <c r="F218" s="101">
        <f>E218</f>
        <v>19.404</v>
      </c>
      <c r="G218" s="101" t="e">
        <f>工90030</f>
        <v>#NAME?</v>
      </c>
      <c r="H218" s="120" t="e">
        <f>G218*F218</f>
        <v>#NAME?</v>
      </c>
    </row>
    <row r="219" ht="20.4" customHeight="1" spans="1:8">
      <c r="A219" s="99" t="s">
        <v>212</v>
      </c>
      <c r="B219" s="317" t="s">
        <v>117</v>
      </c>
      <c r="C219" s="317" t="s">
        <v>111</v>
      </c>
      <c r="D219" s="317" t="s">
        <v>105</v>
      </c>
      <c r="E219" s="120">
        <f>E206*6</f>
        <v>20280</v>
      </c>
      <c r="F219" s="120">
        <f>E219</f>
        <v>20280</v>
      </c>
      <c r="G219" s="101">
        <v>12</v>
      </c>
      <c r="H219" s="120">
        <f>G219*F219</f>
        <v>243360</v>
      </c>
    </row>
    <row r="220" ht="20.4" customHeight="1" spans="1:8">
      <c r="A220" s="314" t="s">
        <v>179</v>
      </c>
      <c r="B220" s="193"/>
      <c r="C220" s="312" t="s">
        <v>254</v>
      </c>
      <c r="D220" s="193"/>
      <c r="E220" s="193">
        <f>37000-32600</f>
        <v>4400</v>
      </c>
      <c r="F220" s="193"/>
      <c r="G220" s="191"/>
      <c r="H220" s="193" t="e">
        <f>H221+H225+H231</f>
        <v>#REF!</v>
      </c>
    </row>
    <row r="221" ht="20.4" customHeight="1" spans="1:8">
      <c r="A221" s="314" t="s">
        <v>181</v>
      </c>
      <c r="B221" s="193"/>
      <c r="C221" s="312" t="s">
        <v>238</v>
      </c>
      <c r="D221" s="193"/>
      <c r="E221" s="191">
        <v>24.57</v>
      </c>
      <c r="F221" s="193"/>
      <c r="G221" s="191"/>
      <c r="H221" s="193" t="e">
        <f>SUM(H222:H224)</f>
        <v>#REF!</v>
      </c>
    </row>
    <row r="222" ht="20.4" customHeight="1" spans="1:8">
      <c r="A222" s="99" t="s">
        <v>90</v>
      </c>
      <c r="B222" s="317" t="s">
        <v>91</v>
      </c>
      <c r="C222" s="261" t="s">
        <v>92</v>
      </c>
      <c r="D222" s="199" t="s">
        <v>93</v>
      </c>
      <c r="E222" s="269">
        <f>E221*0.6*15*280</f>
        <v>61916.4</v>
      </c>
      <c r="F222" s="101">
        <f>E222*0.5/100</f>
        <v>309.582</v>
      </c>
      <c r="G222" s="101" t="e">
        <f>工10304</f>
        <v>#REF!</v>
      </c>
      <c r="H222" s="120" t="e">
        <f>G222*F222</f>
        <v>#REF!</v>
      </c>
    </row>
    <row r="223" ht="20.4" customHeight="1" spans="1:8">
      <c r="A223" s="99" t="s">
        <v>212</v>
      </c>
      <c r="B223" s="317" t="s">
        <v>95</v>
      </c>
      <c r="C223" s="261" t="s">
        <v>96</v>
      </c>
      <c r="D223" s="199" t="s">
        <v>93</v>
      </c>
      <c r="E223" s="269"/>
      <c r="F223" s="101">
        <f>E222*0.3/100</f>
        <v>185.7492</v>
      </c>
      <c r="G223" s="101" t="e">
        <f>工10305</f>
        <v>#REF!</v>
      </c>
      <c r="H223" s="120" t="e">
        <f>G223*F223</f>
        <v>#REF!</v>
      </c>
    </row>
    <row r="224" ht="20.4" customHeight="1" spans="1:8">
      <c r="A224" s="99" t="s">
        <v>230</v>
      </c>
      <c r="B224" s="317" t="s">
        <v>98</v>
      </c>
      <c r="C224" s="261" t="s">
        <v>99</v>
      </c>
      <c r="D224" s="199" t="s">
        <v>93</v>
      </c>
      <c r="E224" s="269"/>
      <c r="F224" s="101">
        <f>E222*0.2/100</f>
        <v>123.8328</v>
      </c>
      <c r="G224" s="101">
        <f>工10306</f>
        <v>309.620525377571</v>
      </c>
      <c r="H224" s="120">
        <f>G224*F224</f>
        <v>38341.1765949756</v>
      </c>
    </row>
    <row r="225" ht="20.4" customHeight="1" spans="1:8">
      <c r="A225" s="314" t="s">
        <v>185</v>
      </c>
      <c r="B225" s="193"/>
      <c r="C225" s="312" t="s">
        <v>240</v>
      </c>
      <c r="D225" s="135" t="s">
        <v>165</v>
      </c>
      <c r="E225" s="193"/>
      <c r="F225" s="193">
        <v>4610</v>
      </c>
      <c r="G225" s="191"/>
      <c r="H225" s="193" t="e">
        <f>SUM(H226:H230)</f>
        <v>#REF!</v>
      </c>
    </row>
    <row r="226" ht="20.4" customHeight="1" spans="1:8">
      <c r="A226" s="99" t="s">
        <v>90</v>
      </c>
      <c r="B226" s="120">
        <v>10203</v>
      </c>
      <c r="C226" s="112" t="s">
        <v>172</v>
      </c>
      <c r="D226" s="100" t="s">
        <v>93</v>
      </c>
      <c r="E226" s="101">
        <v>2.92</v>
      </c>
      <c r="F226" s="101">
        <f>$F$225*E226/100</f>
        <v>134.612</v>
      </c>
      <c r="G226" s="101" t="e">
        <f>工10203</f>
        <v>#REF!</v>
      </c>
      <c r="H226" s="120" t="e">
        <f>G226*F226</f>
        <v>#REF!</v>
      </c>
    </row>
    <row r="227" ht="20.4" customHeight="1" spans="1:8">
      <c r="A227" s="99" t="s">
        <v>212</v>
      </c>
      <c r="B227" s="120">
        <v>10345</v>
      </c>
      <c r="C227" s="112" t="s">
        <v>129</v>
      </c>
      <c r="D227" s="100" t="s">
        <v>93</v>
      </c>
      <c r="E227" s="101">
        <v>2.45</v>
      </c>
      <c r="F227" s="101">
        <f>$F$225*E227/100</f>
        <v>112.945</v>
      </c>
      <c r="G227" s="101" t="e">
        <f>工10345/100</f>
        <v>#REF!</v>
      </c>
      <c r="H227" s="120" t="e">
        <f>G227*F227</f>
        <v>#REF!</v>
      </c>
    </row>
    <row r="228" ht="20.4" customHeight="1" spans="1:8">
      <c r="A228" s="99" t="s">
        <v>230</v>
      </c>
      <c r="B228" s="317" t="s">
        <v>241</v>
      </c>
      <c r="C228" s="317" t="s">
        <v>242</v>
      </c>
      <c r="D228" s="100" t="s">
        <v>93</v>
      </c>
      <c r="E228" s="101">
        <f>4*0.3</f>
        <v>1.2</v>
      </c>
      <c r="F228" s="101">
        <f>$F$225*E228/100</f>
        <v>55.32</v>
      </c>
      <c r="G228" s="101" t="e">
        <f>工宁水9010</f>
        <v>#NAME?</v>
      </c>
      <c r="H228" s="120" t="e">
        <f>G228*F228</f>
        <v>#NAME?</v>
      </c>
    </row>
    <row r="229" ht="20.4" customHeight="1" spans="1:8">
      <c r="A229" s="99" t="s">
        <v>109</v>
      </c>
      <c r="B229" s="317" t="s">
        <v>243</v>
      </c>
      <c r="C229" s="317" t="s">
        <v>244</v>
      </c>
      <c r="D229" s="100" t="s">
        <v>93</v>
      </c>
      <c r="E229" s="101"/>
      <c r="F229" s="101">
        <f>F225/100</f>
        <v>46.1</v>
      </c>
      <c r="G229" s="101" t="e">
        <f>工宁水9011</f>
        <v>#NAME?</v>
      </c>
      <c r="H229" s="120" t="e">
        <f>G229*F229</f>
        <v>#NAME?</v>
      </c>
    </row>
    <row r="230" ht="20.4" customHeight="1" spans="1:8">
      <c r="A230" s="99" t="s">
        <v>112</v>
      </c>
      <c r="B230" s="317" t="s">
        <v>245</v>
      </c>
      <c r="C230" s="317" t="s">
        <v>246</v>
      </c>
      <c r="D230" s="100" t="s">
        <v>93</v>
      </c>
      <c r="E230" s="101">
        <f>4*0.15</f>
        <v>0.6</v>
      </c>
      <c r="F230" s="101">
        <f>$F$225*E230/100</f>
        <v>27.66</v>
      </c>
      <c r="G230" s="101" t="e">
        <f>工30003</f>
        <v>#REF!</v>
      </c>
      <c r="H230" s="120" t="e">
        <f>G230*F230</f>
        <v>#REF!</v>
      </c>
    </row>
    <row r="231" ht="20.4" customHeight="1" spans="1:8">
      <c r="A231" s="314" t="s">
        <v>194</v>
      </c>
      <c r="B231" s="193"/>
      <c r="C231" s="312" t="s">
        <v>248</v>
      </c>
      <c r="D231" s="135"/>
      <c r="E231" s="193"/>
      <c r="F231" s="191"/>
      <c r="G231" s="191"/>
      <c r="H231" s="193" t="e">
        <f>SUM(H232:H233)</f>
        <v>#NAME?</v>
      </c>
    </row>
    <row r="232" ht="20.4" customHeight="1" spans="1:8">
      <c r="A232" s="99" t="s">
        <v>90</v>
      </c>
      <c r="B232" s="317" t="s">
        <v>113</v>
      </c>
      <c r="C232" s="112" t="s">
        <v>114</v>
      </c>
      <c r="D232" s="100" t="s">
        <v>115</v>
      </c>
      <c r="E232" s="101">
        <f>E221*0.7</f>
        <v>17.199</v>
      </c>
      <c r="F232" s="101">
        <f>E232</f>
        <v>17.199</v>
      </c>
      <c r="G232" s="101" t="e">
        <f>工90030</f>
        <v>#NAME?</v>
      </c>
      <c r="H232" s="120" t="e">
        <f>G232*F232</f>
        <v>#NAME?</v>
      </c>
    </row>
    <row r="233" ht="20.4" customHeight="1" spans="1:8">
      <c r="A233" s="99" t="s">
        <v>212</v>
      </c>
      <c r="B233" s="317" t="s">
        <v>117</v>
      </c>
      <c r="C233" s="317" t="s">
        <v>111</v>
      </c>
      <c r="D233" s="317" t="s">
        <v>105</v>
      </c>
      <c r="E233" s="120">
        <f>E220*6</f>
        <v>26400</v>
      </c>
      <c r="F233" s="120">
        <f>E233</f>
        <v>26400</v>
      </c>
      <c r="G233" s="101">
        <v>2.5</v>
      </c>
      <c r="H233" s="120">
        <f>G233*F233</f>
        <v>66000</v>
      </c>
    </row>
    <row r="234" ht="20.4" customHeight="1" spans="1:8">
      <c r="A234" s="314" t="s">
        <v>255</v>
      </c>
      <c r="B234" s="193"/>
      <c r="C234" s="312" t="s">
        <v>256</v>
      </c>
      <c r="D234" s="193"/>
      <c r="E234" s="193">
        <f>41565-39990</f>
        <v>1575</v>
      </c>
      <c r="F234" s="193"/>
      <c r="G234" s="191"/>
      <c r="H234" s="193" t="e">
        <f>H235+H239+H245</f>
        <v>#REF!</v>
      </c>
    </row>
    <row r="235" ht="20.4" customHeight="1" spans="1:8">
      <c r="A235" s="314" t="s">
        <v>257</v>
      </c>
      <c r="B235" s="193"/>
      <c r="C235" s="312" t="s">
        <v>238</v>
      </c>
      <c r="D235" s="193"/>
      <c r="E235" s="191">
        <v>4.55</v>
      </c>
      <c r="F235" s="193"/>
      <c r="G235" s="191"/>
      <c r="H235" s="193" t="e">
        <f>SUM(H236:H238)</f>
        <v>#REF!</v>
      </c>
    </row>
    <row r="236" ht="20.4" customHeight="1" spans="1:8">
      <c r="A236" s="99" t="s">
        <v>90</v>
      </c>
      <c r="B236" s="317" t="s">
        <v>91</v>
      </c>
      <c r="C236" s="261" t="s">
        <v>92</v>
      </c>
      <c r="D236" s="199" t="s">
        <v>93</v>
      </c>
      <c r="E236" s="269">
        <f>E235*0.6*15*280</f>
        <v>11466</v>
      </c>
      <c r="F236" s="101">
        <f>E236*0.5/100</f>
        <v>57.33</v>
      </c>
      <c r="G236" s="101" t="e">
        <f>工10304</f>
        <v>#REF!</v>
      </c>
      <c r="H236" s="120" t="e">
        <f>G236*F236</f>
        <v>#REF!</v>
      </c>
    </row>
    <row r="237" ht="20.4" customHeight="1" spans="1:8">
      <c r="A237" s="99" t="s">
        <v>212</v>
      </c>
      <c r="B237" s="317" t="s">
        <v>95</v>
      </c>
      <c r="C237" s="261" t="s">
        <v>96</v>
      </c>
      <c r="D237" s="199" t="s">
        <v>93</v>
      </c>
      <c r="E237" s="269"/>
      <c r="F237" s="101">
        <f>E236*0.3/100</f>
        <v>34.398</v>
      </c>
      <c r="G237" s="101" t="e">
        <f>工10305</f>
        <v>#REF!</v>
      </c>
      <c r="H237" s="120" t="e">
        <f>G237*F237</f>
        <v>#REF!</v>
      </c>
    </row>
    <row r="238" ht="20.4" customHeight="1" spans="1:8">
      <c r="A238" s="99" t="s">
        <v>230</v>
      </c>
      <c r="B238" s="317" t="s">
        <v>98</v>
      </c>
      <c r="C238" s="261" t="s">
        <v>99</v>
      </c>
      <c r="D238" s="199" t="s">
        <v>93</v>
      </c>
      <c r="E238" s="269"/>
      <c r="F238" s="101">
        <f>E236*0.2/100</f>
        <v>22.932</v>
      </c>
      <c r="G238" s="101">
        <f>工10306</f>
        <v>309.620525377571</v>
      </c>
      <c r="H238" s="120">
        <f>G238*F238</f>
        <v>7100.21788795845</v>
      </c>
    </row>
    <row r="239" ht="20.4" customHeight="1" spans="1:8">
      <c r="A239" s="314" t="s">
        <v>258</v>
      </c>
      <c r="B239" s="193"/>
      <c r="C239" s="312" t="s">
        <v>240</v>
      </c>
      <c r="D239" s="135" t="s">
        <v>165</v>
      </c>
      <c r="E239" s="193"/>
      <c r="F239" s="193">
        <v>1594</v>
      </c>
      <c r="G239" s="191"/>
      <c r="H239" s="193" t="e">
        <f>SUM(H240:H244)</f>
        <v>#REF!</v>
      </c>
    </row>
    <row r="240" ht="20.4" customHeight="1" spans="1:8">
      <c r="A240" s="99" t="s">
        <v>90</v>
      </c>
      <c r="B240" s="120">
        <v>10203</v>
      </c>
      <c r="C240" s="112" t="s">
        <v>172</v>
      </c>
      <c r="D240" s="100" t="s">
        <v>93</v>
      </c>
      <c r="E240" s="101">
        <v>2.92</v>
      </c>
      <c r="F240" s="101">
        <f>$F$239*E240/100</f>
        <v>46.5448</v>
      </c>
      <c r="G240" s="101" t="e">
        <f>工10203</f>
        <v>#REF!</v>
      </c>
      <c r="H240" s="120" t="e">
        <f>G240*F240</f>
        <v>#REF!</v>
      </c>
    </row>
    <row r="241" ht="20.4" customHeight="1" spans="1:8">
      <c r="A241" s="99" t="s">
        <v>212</v>
      </c>
      <c r="B241" s="120">
        <v>10345</v>
      </c>
      <c r="C241" s="112" t="s">
        <v>129</v>
      </c>
      <c r="D241" s="100" t="s">
        <v>93</v>
      </c>
      <c r="E241" s="101">
        <v>2.45</v>
      </c>
      <c r="F241" s="101">
        <f>$F$239*E241/100</f>
        <v>39.053</v>
      </c>
      <c r="G241" s="101" t="e">
        <f>工10345/100</f>
        <v>#REF!</v>
      </c>
      <c r="H241" s="120" t="e">
        <f>G241*F241</f>
        <v>#REF!</v>
      </c>
    </row>
    <row r="242" ht="20.4" customHeight="1" spans="1:8">
      <c r="A242" s="99" t="s">
        <v>230</v>
      </c>
      <c r="B242" s="317" t="s">
        <v>241</v>
      </c>
      <c r="C242" s="317" t="s">
        <v>242</v>
      </c>
      <c r="D242" s="100" t="s">
        <v>93</v>
      </c>
      <c r="E242" s="101">
        <f>4*0.3</f>
        <v>1.2</v>
      </c>
      <c r="F242" s="101">
        <f>$F$239*E242/100</f>
        <v>19.128</v>
      </c>
      <c r="G242" s="101" t="e">
        <f>工宁水9010</f>
        <v>#NAME?</v>
      </c>
      <c r="H242" s="120" t="e">
        <f>G242*F242</f>
        <v>#NAME?</v>
      </c>
    </row>
    <row r="243" ht="20.4" customHeight="1" spans="1:8">
      <c r="A243" s="99" t="s">
        <v>109</v>
      </c>
      <c r="B243" s="317" t="s">
        <v>243</v>
      </c>
      <c r="C243" s="317" t="s">
        <v>244</v>
      </c>
      <c r="D243" s="100" t="s">
        <v>93</v>
      </c>
      <c r="E243" s="101"/>
      <c r="F243" s="101">
        <f>F239/100</f>
        <v>15.94</v>
      </c>
      <c r="G243" s="101" t="e">
        <f>工宁水9011</f>
        <v>#NAME?</v>
      </c>
      <c r="H243" s="120" t="e">
        <f>G243*F243</f>
        <v>#NAME?</v>
      </c>
    </row>
    <row r="244" ht="20.4" customHeight="1" spans="1:8">
      <c r="A244" s="99" t="s">
        <v>112</v>
      </c>
      <c r="B244" s="317" t="s">
        <v>245</v>
      </c>
      <c r="C244" s="317" t="s">
        <v>246</v>
      </c>
      <c r="D244" s="100" t="s">
        <v>93</v>
      </c>
      <c r="E244" s="101">
        <f>4*0.15</f>
        <v>0.6</v>
      </c>
      <c r="F244" s="101">
        <f>$F$239*E244/100</f>
        <v>9.564</v>
      </c>
      <c r="G244" s="101" t="e">
        <f>工30003</f>
        <v>#REF!</v>
      </c>
      <c r="H244" s="120" t="e">
        <f>G244*F244</f>
        <v>#REF!</v>
      </c>
    </row>
    <row r="245" ht="20.4" customHeight="1" spans="1:8">
      <c r="A245" s="314" t="s">
        <v>259</v>
      </c>
      <c r="B245" s="193"/>
      <c r="C245" s="312" t="s">
        <v>248</v>
      </c>
      <c r="D245" s="135"/>
      <c r="E245" s="193"/>
      <c r="F245" s="191"/>
      <c r="G245" s="191"/>
      <c r="H245" s="193" t="e">
        <f>SUM(H246:H247)</f>
        <v>#NAME?</v>
      </c>
    </row>
    <row r="246" ht="20.4" customHeight="1" spans="1:8">
      <c r="A246" s="99" t="s">
        <v>90</v>
      </c>
      <c r="B246" s="317" t="s">
        <v>113</v>
      </c>
      <c r="C246" s="112" t="s">
        <v>114</v>
      </c>
      <c r="D246" s="100" t="s">
        <v>115</v>
      </c>
      <c r="E246" s="101">
        <f>E235*0.7</f>
        <v>3.185</v>
      </c>
      <c r="F246" s="101">
        <f>E246</f>
        <v>3.185</v>
      </c>
      <c r="G246" s="101" t="e">
        <f>工90030</f>
        <v>#NAME?</v>
      </c>
      <c r="H246" s="120" t="e">
        <f>G246*F246</f>
        <v>#NAME?</v>
      </c>
    </row>
    <row r="247" ht="20.4" customHeight="1" spans="1:8">
      <c r="A247" s="99" t="s">
        <v>212</v>
      </c>
      <c r="B247" s="317" t="s">
        <v>117</v>
      </c>
      <c r="C247" s="317" t="s">
        <v>111</v>
      </c>
      <c r="D247" s="317" t="s">
        <v>105</v>
      </c>
      <c r="E247" s="120">
        <f>E234*6</f>
        <v>9450</v>
      </c>
      <c r="F247" s="120">
        <f>E247</f>
        <v>9450</v>
      </c>
      <c r="G247" s="101">
        <v>2.5</v>
      </c>
      <c r="H247" s="120">
        <f>G247*F247</f>
        <v>23625</v>
      </c>
    </row>
    <row r="248" ht="20.4" customHeight="1" spans="1:8">
      <c r="A248" s="314" t="s">
        <v>260</v>
      </c>
      <c r="B248" s="193"/>
      <c r="C248" s="312" t="s">
        <v>261</v>
      </c>
      <c r="D248" s="193"/>
      <c r="E248" s="193">
        <f>43400-41900</f>
        <v>1500</v>
      </c>
      <c r="F248" s="193"/>
      <c r="G248" s="191"/>
      <c r="H248" s="193" t="e">
        <f>H249+H253+H259</f>
        <v>#REF!</v>
      </c>
    </row>
    <row r="249" ht="20.4" customHeight="1" spans="1:8">
      <c r="A249" s="314" t="s">
        <v>262</v>
      </c>
      <c r="B249" s="193"/>
      <c r="C249" s="312" t="s">
        <v>238</v>
      </c>
      <c r="D249" s="193"/>
      <c r="E249" s="191">
        <v>3.41</v>
      </c>
      <c r="F249" s="193"/>
      <c r="G249" s="191"/>
      <c r="H249" s="193" t="e">
        <f>SUM(H250:H252)</f>
        <v>#REF!</v>
      </c>
    </row>
    <row r="250" ht="20.4" customHeight="1" spans="1:8">
      <c r="A250" s="99" t="s">
        <v>90</v>
      </c>
      <c r="B250" s="317" t="s">
        <v>91</v>
      </c>
      <c r="C250" s="261" t="s">
        <v>92</v>
      </c>
      <c r="D250" s="199" t="s">
        <v>93</v>
      </c>
      <c r="E250" s="269">
        <f>E249*0.7*15*280</f>
        <v>10025.4</v>
      </c>
      <c r="F250" s="101">
        <f>E250*0.5/100</f>
        <v>50.127</v>
      </c>
      <c r="G250" s="101" t="e">
        <f>工10304</f>
        <v>#REF!</v>
      </c>
      <c r="H250" s="120" t="e">
        <f>G250*F250</f>
        <v>#REF!</v>
      </c>
    </row>
    <row r="251" ht="20.4" customHeight="1" spans="1:8">
      <c r="A251" s="99" t="s">
        <v>212</v>
      </c>
      <c r="B251" s="317" t="s">
        <v>95</v>
      </c>
      <c r="C251" s="261" t="s">
        <v>96</v>
      </c>
      <c r="D251" s="199" t="s">
        <v>93</v>
      </c>
      <c r="E251" s="269"/>
      <c r="F251" s="101">
        <f>E250*0.3/100</f>
        <v>30.0762</v>
      </c>
      <c r="G251" s="101" t="e">
        <f>工10305</f>
        <v>#REF!</v>
      </c>
      <c r="H251" s="120" t="e">
        <f>G251*F251</f>
        <v>#REF!</v>
      </c>
    </row>
    <row r="252" ht="20.4" customHeight="1" spans="1:8">
      <c r="A252" s="99" t="s">
        <v>230</v>
      </c>
      <c r="B252" s="317" t="s">
        <v>98</v>
      </c>
      <c r="C252" s="261" t="s">
        <v>99</v>
      </c>
      <c r="D252" s="199" t="s">
        <v>93</v>
      </c>
      <c r="E252" s="269"/>
      <c r="F252" s="101">
        <f>E250*0.2/100</f>
        <v>20.0508</v>
      </c>
      <c r="G252" s="101">
        <f>工10306</f>
        <v>309.620525377571</v>
      </c>
      <c r="H252" s="120">
        <f>G252*F252</f>
        <v>6208.13923024059</v>
      </c>
    </row>
    <row r="253" ht="20.4" customHeight="1" spans="1:8">
      <c r="A253" s="314" t="s">
        <v>263</v>
      </c>
      <c r="B253" s="193"/>
      <c r="C253" s="312" t="s">
        <v>240</v>
      </c>
      <c r="D253" s="135" t="s">
        <v>165</v>
      </c>
      <c r="E253" s="193"/>
      <c r="F253" s="193">
        <v>2127</v>
      </c>
      <c r="G253" s="191"/>
      <c r="H253" s="193" t="e">
        <f>SUM(H254:H258)</f>
        <v>#REF!</v>
      </c>
    </row>
    <row r="254" ht="20.4" customHeight="1" spans="1:8">
      <c r="A254" s="99" t="s">
        <v>90</v>
      </c>
      <c r="B254" s="120">
        <v>10203</v>
      </c>
      <c r="C254" s="112" t="s">
        <v>172</v>
      </c>
      <c r="D254" s="100" t="s">
        <v>93</v>
      </c>
      <c r="E254" s="101">
        <v>2.92</v>
      </c>
      <c r="F254" s="101">
        <f>$F$253*E254/100</f>
        <v>62.1084</v>
      </c>
      <c r="G254" s="101" t="e">
        <f>工10203</f>
        <v>#REF!</v>
      </c>
      <c r="H254" s="120" t="e">
        <f>G254*F254</f>
        <v>#REF!</v>
      </c>
    </row>
    <row r="255" ht="20.4" customHeight="1" spans="1:8">
      <c r="A255" s="99" t="s">
        <v>212</v>
      </c>
      <c r="B255" s="120">
        <v>10345</v>
      </c>
      <c r="C255" s="112" t="s">
        <v>129</v>
      </c>
      <c r="D255" s="100" t="s">
        <v>93</v>
      </c>
      <c r="E255" s="101">
        <v>2.45</v>
      </c>
      <c r="F255" s="101">
        <f>$F$253*E255/100</f>
        <v>52.1115</v>
      </c>
      <c r="G255" s="101" t="e">
        <f>工10345/100</f>
        <v>#REF!</v>
      </c>
      <c r="H255" s="120" t="e">
        <f>G255*F255</f>
        <v>#REF!</v>
      </c>
    </row>
    <row r="256" ht="20.4" customHeight="1" spans="1:8">
      <c r="A256" s="99" t="s">
        <v>230</v>
      </c>
      <c r="B256" s="317" t="s">
        <v>241</v>
      </c>
      <c r="C256" s="317" t="s">
        <v>242</v>
      </c>
      <c r="D256" s="100" t="s">
        <v>93</v>
      </c>
      <c r="E256" s="101">
        <f>4*0.3</f>
        <v>1.2</v>
      </c>
      <c r="F256" s="101">
        <f>$F$253*E256/100</f>
        <v>25.524</v>
      </c>
      <c r="G256" s="101" t="e">
        <f>工宁水9010</f>
        <v>#NAME?</v>
      </c>
      <c r="H256" s="120" t="e">
        <f>G256*F256</f>
        <v>#NAME?</v>
      </c>
    </row>
    <row r="257" ht="20.4" customHeight="1" spans="1:8">
      <c r="A257" s="99" t="s">
        <v>109</v>
      </c>
      <c r="B257" s="317" t="s">
        <v>243</v>
      </c>
      <c r="C257" s="317" t="s">
        <v>244</v>
      </c>
      <c r="D257" s="100" t="s">
        <v>93</v>
      </c>
      <c r="E257" s="101"/>
      <c r="F257" s="101">
        <f>F253/100</f>
        <v>21.27</v>
      </c>
      <c r="G257" s="101" t="e">
        <f>工宁水9011</f>
        <v>#NAME?</v>
      </c>
      <c r="H257" s="120" t="e">
        <f>G257*F257</f>
        <v>#NAME?</v>
      </c>
    </row>
    <row r="258" ht="20.4" customHeight="1" spans="1:8">
      <c r="A258" s="99" t="s">
        <v>112</v>
      </c>
      <c r="B258" s="317" t="s">
        <v>245</v>
      </c>
      <c r="C258" s="317" t="s">
        <v>246</v>
      </c>
      <c r="D258" s="100" t="s">
        <v>93</v>
      </c>
      <c r="E258" s="101">
        <f>4*0.15</f>
        <v>0.6</v>
      </c>
      <c r="F258" s="101">
        <f>$F$253*E258/100</f>
        <v>12.762</v>
      </c>
      <c r="G258" s="101" t="e">
        <f>工30003</f>
        <v>#REF!</v>
      </c>
      <c r="H258" s="120" t="e">
        <f>G258*F258</f>
        <v>#REF!</v>
      </c>
    </row>
    <row r="259" ht="20.4" customHeight="1" spans="1:8">
      <c r="A259" s="314" t="s">
        <v>264</v>
      </c>
      <c r="B259" s="193"/>
      <c r="C259" s="312" t="s">
        <v>248</v>
      </c>
      <c r="D259" s="135"/>
      <c r="E259" s="193"/>
      <c r="F259" s="191"/>
      <c r="G259" s="191"/>
      <c r="H259" s="193" t="e">
        <f>SUM(H260:H261)</f>
        <v>#NAME?</v>
      </c>
    </row>
    <row r="260" ht="20.4" customHeight="1" spans="1:8">
      <c r="A260" s="99" t="s">
        <v>90</v>
      </c>
      <c r="B260" s="317" t="s">
        <v>113</v>
      </c>
      <c r="C260" s="112" t="s">
        <v>114</v>
      </c>
      <c r="D260" s="100" t="s">
        <v>115</v>
      </c>
      <c r="E260" s="101">
        <f>E249*0.6</f>
        <v>2.046</v>
      </c>
      <c r="F260" s="101">
        <f>E260</f>
        <v>2.046</v>
      </c>
      <c r="G260" s="101" t="e">
        <f>工90030</f>
        <v>#NAME?</v>
      </c>
      <c r="H260" s="120" t="e">
        <f>G260*F260</f>
        <v>#NAME?</v>
      </c>
    </row>
    <row r="261" ht="20.4" customHeight="1" spans="1:8">
      <c r="A261" s="99" t="s">
        <v>212</v>
      </c>
      <c r="B261" s="317" t="s">
        <v>117</v>
      </c>
      <c r="C261" s="317" t="s">
        <v>111</v>
      </c>
      <c r="D261" s="317" t="s">
        <v>105</v>
      </c>
      <c r="E261" s="120">
        <f>E248*6</f>
        <v>9000</v>
      </c>
      <c r="F261" s="120">
        <f>E261</f>
        <v>9000</v>
      </c>
      <c r="G261" s="101">
        <v>12</v>
      </c>
      <c r="H261" s="120">
        <f>G261*F261</f>
        <v>108000</v>
      </c>
    </row>
    <row r="262" s="79" customFormat="1" ht="20.4" customHeight="1" spans="1:12">
      <c r="A262" s="314" t="s">
        <v>125</v>
      </c>
      <c r="B262" s="193"/>
      <c r="C262" s="196" t="s">
        <v>265</v>
      </c>
      <c r="D262" s="193"/>
      <c r="E262" s="193"/>
      <c r="F262" s="193"/>
      <c r="G262" s="191"/>
      <c r="H262" s="193" t="e">
        <f>H263+H319</f>
        <v>#REF!</v>
      </c>
      <c r="L262" s="79" t="e">
        <f>SUM(#REF!)</f>
        <v>#REF!</v>
      </c>
    </row>
    <row r="263" s="79" customFormat="1" ht="20.4" customHeight="1" spans="1:8">
      <c r="A263" s="314" t="s">
        <v>38</v>
      </c>
      <c r="B263" s="193"/>
      <c r="C263" s="196" t="s">
        <v>266</v>
      </c>
      <c r="D263" s="193"/>
      <c r="E263" s="193"/>
      <c r="F263" s="193"/>
      <c r="G263" s="191"/>
      <c r="H263" s="193" t="e">
        <f>H264+H269+H274+H279+H284+H289+H294+H299+H304+H309+H314</f>
        <v>#REF!</v>
      </c>
    </row>
    <row r="264" s="79" customFormat="1" ht="20.4" customHeight="1" spans="1:8">
      <c r="A264" s="190" t="s">
        <v>237</v>
      </c>
      <c r="B264" s="193"/>
      <c r="C264" s="312" t="s">
        <v>267</v>
      </c>
      <c r="D264" s="312" t="s">
        <v>165</v>
      </c>
      <c r="E264" s="193"/>
      <c r="F264" s="193">
        <v>75</v>
      </c>
      <c r="G264" s="191"/>
      <c r="H264" s="193" t="e">
        <f>SUM(H265:H268)</f>
        <v>#REF!</v>
      </c>
    </row>
    <row r="265" ht="20.4" customHeight="1" spans="1:8">
      <c r="A265" s="99" t="s">
        <v>90</v>
      </c>
      <c r="B265" s="120">
        <v>10203</v>
      </c>
      <c r="C265" s="112" t="s">
        <v>172</v>
      </c>
      <c r="D265" s="100" t="s">
        <v>128</v>
      </c>
      <c r="E265" s="101">
        <v>16</v>
      </c>
      <c r="F265" s="101">
        <f>$F$264*E265</f>
        <v>1200</v>
      </c>
      <c r="G265" s="101" t="e">
        <f>工10203/100</f>
        <v>#REF!</v>
      </c>
      <c r="H265" s="120" t="e">
        <f>G265*F265</f>
        <v>#REF!</v>
      </c>
    </row>
    <row r="266" ht="20.4" customHeight="1" spans="1:8">
      <c r="A266" s="99" t="s">
        <v>212</v>
      </c>
      <c r="B266" s="120">
        <v>10345</v>
      </c>
      <c r="C266" s="112" t="s">
        <v>129</v>
      </c>
      <c r="D266" s="100" t="s">
        <v>128</v>
      </c>
      <c r="E266" s="101">
        <v>10</v>
      </c>
      <c r="F266" s="101">
        <f>$F$264*E266</f>
        <v>750</v>
      </c>
      <c r="G266" s="101" t="e">
        <f>工10345/100</f>
        <v>#REF!</v>
      </c>
      <c r="H266" s="120" t="e">
        <f>G266*F266</f>
        <v>#REF!</v>
      </c>
    </row>
    <row r="267" ht="20.4" customHeight="1" spans="1:8">
      <c r="A267" s="99" t="s">
        <v>230</v>
      </c>
      <c r="B267" s="317" t="s">
        <v>243</v>
      </c>
      <c r="C267" s="317" t="s">
        <v>268</v>
      </c>
      <c r="D267" s="100" t="s">
        <v>128</v>
      </c>
      <c r="E267" s="120">
        <v>6</v>
      </c>
      <c r="F267" s="101">
        <f>$F$264*E267</f>
        <v>450</v>
      </c>
      <c r="G267" s="101" t="e">
        <f>工宁水9011/100</f>
        <v>#NAME?</v>
      </c>
      <c r="H267" s="120" t="e">
        <f>G267*F267</f>
        <v>#NAME?</v>
      </c>
    </row>
    <row r="268" ht="20.4" customHeight="1" spans="1:8">
      <c r="A268" s="99" t="s">
        <v>231</v>
      </c>
      <c r="B268" s="317" t="s">
        <v>269</v>
      </c>
      <c r="C268" s="317" t="s">
        <v>270</v>
      </c>
      <c r="D268" s="100" t="s">
        <v>184</v>
      </c>
      <c r="E268" s="120">
        <v>12</v>
      </c>
      <c r="F268" s="101">
        <f>$F$264*E268</f>
        <v>900</v>
      </c>
      <c r="G268" s="101" t="e">
        <f>工100005/100</f>
        <v>#NAME?</v>
      </c>
      <c r="H268" s="120" t="e">
        <f>G268*F268</f>
        <v>#NAME?</v>
      </c>
    </row>
    <row r="269" s="79" customFormat="1" ht="20.4" customHeight="1" spans="1:8">
      <c r="A269" s="190" t="s">
        <v>239</v>
      </c>
      <c r="B269" s="193"/>
      <c r="C269" s="312" t="s">
        <v>271</v>
      </c>
      <c r="D269" s="312" t="s">
        <v>165</v>
      </c>
      <c r="E269" s="193"/>
      <c r="F269" s="193">
        <v>128</v>
      </c>
      <c r="G269" s="191"/>
      <c r="H269" s="193" t="e">
        <f>SUM(H270:H273)</f>
        <v>#REF!</v>
      </c>
    </row>
    <row r="270" ht="20.4" customHeight="1" spans="1:8">
      <c r="A270" s="99" t="s">
        <v>90</v>
      </c>
      <c r="B270" s="120">
        <v>10203</v>
      </c>
      <c r="C270" s="112" t="s">
        <v>172</v>
      </c>
      <c r="D270" s="100" t="s">
        <v>128</v>
      </c>
      <c r="E270" s="101">
        <v>16</v>
      </c>
      <c r="F270" s="101">
        <f>$F$269*E270</f>
        <v>2048</v>
      </c>
      <c r="G270" s="101" t="e">
        <f>工10203/100</f>
        <v>#REF!</v>
      </c>
      <c r="H270" s="120" t="e">
        <f>G270*F270</f>
        <v>#REF!</v>
      </c>
    </row>
    <row r="271" ht="20.4" customHeight="1" spans="1:8">
      <c r="A271" s="99" t="s">
        <v>212</v>
      </c>
      <c r="B271" s="120">
        <v>10345</v>
      </c>
      <c r="C271" s="112" t="s">
        <v>129</v>
      </c>
      <c r="D271" s="100" t="s">
        <v>128</v>
      </c>
      <c r="E271" s="101">
        <v>10</v>
      </c>
      <c r="F271" s="101">
        <f>$F$269*E271</f>
        <v>1280</v>
      </c>
      <c r="G271" s="101" t="e">
        <f>工10345/100</f>
        <v>#REF!</v>
      </c>
      <c r="H271" s="120" t="e">
        <f>G271*F271</f>
        <v>#REF!</v>
      </c>
    </row>
    <row r="272" ht="20.4" customHeight="1" spans="1:8">
      <c r="A272" s="99" t="s">
        <v>230</v>
      </c>
      <c r="B272" s="317" t="s">
        <v>243</v>
      </c>
      <c r="C272" s="317" t="s">
        <v>268</v>
      </c>
      <c r="D272" s="100" t="s">
        <v>128</v>
      </c>
      <c r="E272" s="120">
        <v>6</v>
      </c>
      <c r="F272" s="101">
        <f>$F$269*E272</f>
        <v>768</v>
      </c>
      <c r="G272" s="101" t="e">
        <f>工宁水9011/100</f>
        <v>#NAME?</v>
      </c>
      <c r="H272" s="120" t="e">
        <f>G272*F272</f>
        <v>#NAME?</v>
      </c>
    </row>
    <row r="273" ht="20.4" customHeight="1" spans="1:8">
      <c r="A273" s="99" t="s">
        <v>231</v>
      </c>
      <c r="B273" s="317" t="s">
        <v>269</v>
      </c>
      <c r="C273" s="317" t="s">
        <v>270</v>
      </c>
      <c r="D273" s="100" t="s">
        <v>184</v>
      </c>
      <c r="E273" s="120">
        <v>12</v>
      </c>
      <c r="F273" s="101">
        <f>$F$269*E273</f>
        <v>1536</v>
      </c>
      <c r="G273" s="101" t="e">
        <f>工100005/100</f>
        <v>#NAME?</v>
      </c>
      <c r="H273" s="120" t="e">
        <f>G273*F273</f>
        <v>#NAME?</v>
      </c>
    </row>
    <row r="274" s="79" customFormat="1" ht="20.4" customHeight="1" spans="1:8">
      <c r="A274" s="190" t="s">
        <v>247</v>
      </c>
      <c r="B274" s="193"/>
      <c r="C274" s="312" t="s">
        <v>272</v>
      </c>
      <c r="D274" s="312" t="s">
        <v>165</v>
      </c>
      <c r="E274" s="193"/>
      <c r="F274" s="193">
        <v>83</v>
      </c>
      <c r="G274" s="191"/>
      <c r="H274" s="193" t="e">
        <f>SUM(H275:H278)</f>
        <v>#REF!</v>
      </c>
    </row>
    <row r="275" ht="20.4" customHeight="1" spans="1:8">
      <c r="A275" s="99" t="s">
        <v>90</v>
      </c>
      <c r="B275" s="120">
        <v>10203</v>
      </c>
      <c r="C275" s="112" t="s">
        <v>172</v>
      </c>
      <c r="D275" s="100" t="s">
        <v>128</v>
      </c>
      <c r="E275" s="101">
        <v>16</v>
      </c>
      <c r="F275" s="101">
        <f>$F$274*E275</f>
        <v>1328</v>
      </c>
      <c r="G275" s="101" t="e">
        <f>工10203/100</f>
        <v>#REF!</v>
      </c>
      <c r="H275" s="120" t="e">
        <f>G275*F275</f>
        <v>#REF!</v>
      </c>
    </row>
    <row r="276" ht="20.4" customHeight="1" spans="1:8">
      <c r="A276" s="99" t="s">
        <v>212</v>
      </c>
      <c r="B276" s="120">
        <v>10345</v>
      </c>
      <c r="C276" s="112" t="s">
        <v>129</v>
      </c>
      <c r="D276" s="100" t="s">
        <v>128</v>
      </c>
      <c r="E276" s="101">
        <v>10</v>
      </c>
      <c r="F276" s="101">
        <f>$F$274*E276</f>
        <v>830</v>
      </c>
      <c r="G276" s="101" t="e">
        <f>工10345/100</f>
        <v>#REF!</v>
      </c>
      <c r="H276" s="120" t="e">
        <f>G276*F276</f>
        <v>#REF!</v>
      </c>
    </row>
    <row r="277" ht="20.4" customHeight="1" spans="1:8">
      <c r="A277" s="99" t="s">
        <v>230</v>
      </c>
      <c r="B277" s="317" t="s">
        <v>243</v>
      </c>
      <c r="C277" s="317" t="s">
        <v>268</v>
      </c>
      <c r="D277" s="100" t="s">
        <v>128</v>
      </c>
      <c r="E277" s="120">
        <v>6</v>
      </c>
      <c r="F277" s="101">
        <f>$F$274*E277</f>
        <v>498</v>
      </c>
      <c r="G277" s="101" t="e">
        <f>工宁水9011/100</f>
        <v>#NAME?</v>
      </c>
      <c r="H277" s="120" t="e">
        <f>G277*F277</f>
        <v>#NAME?</v>
      </c>
    </row>
    <row r="278" ht="20.4" customHeight="1" spans="1:8">
      <c r="A278" s="99" t="s">
        <v>231</v>
      </c>
      <c r="B278" s="317" t="s">
        <v>269</v>
      </c>
      <c r="C278" s="317" t="s">
        <v>270</v>
      </c>
      <c r="D278" s="100" t="s">
        <v>184</v>
      </c>
      <c r="E278" s="120">
        <v>12</v>
      </c>
      <c r="F278" s="101">
        <f>$F$274*E278</f>
        <v>996</v>
      </c>
      <c r="G278" s="101" t="e">
        <f>工100005/100</f>
        <v>#NAME?</v>
      </c>
      <c r="H278" s="120" t="e">
        <f>G278*F278</f>
        <v>#NAME?</v>
      </c>
    </row>
    <row r="279" s="79" customFormat="1" ht="20.4" customHeight="1" spans="1:8">
      <c r="A279" s="190" t="s">
        <v>273</v>
      </c>
      <c r="B279" s="193"/>
      <c r="C279" s="312" t="s">
        <v>274</v>
      </c>
      <c r="D279" s="312" t="s">
        <v>165</v>
      </c>
      <c r="E279" s="193"/>
      <c r="F279" s="193">
        <v>73</v>
      </c>
      <c r="G279" s="191"/>
      <c r="H279" s="193" t="e">
        <f>SUM(H280:H283)</f>
        <v>#REF!</v>
      </c>
    </row>
    <row r="280" ht="20.4" customHeight="1" spans="1:8">
      <c r="A280" s="99" t="s">
        <v>90</v>
      </c>
      <c r="B280" s="120">
        <v>10203</v>
      </c>
      <c r="C280" s="112" t="s">
        <v>172</v>
      </c>
      <c r="D280" s="100" t="s">
        <v>128</v>
      </c>
      <c r="E280" s="101">
        <v>16</v>
      </c>
      <c r="F280" s="101">
        <f>$F$279*E280</f>
        <v>1168</v>
      </c>
      <c r="G280" s="101" t="e">
        <f>工10203/100</f>
        <v>#REF!</v>
      </c>
      <c r="H280" s="120" t="e">
        <f>G280*F280</f>
        <v>#REF!</v>
      </c>
    </row>
    <row r="281" ht="20.4" customHeight="1" spans="1:8">
      <c r="A281" s="99" t="s">
        <v>212</v>
      </c>
      <c r="B281" s="120">
        <v>10345</v>
      </c>
      <c r="C281" s="112" t="s">
        <v>129</v>
      </c>
      <c r="D281" s="100" t="s">
        <v>128</v>
      </c>
      <c r="E281" s="101">
        <v>10</v>
      </c>
      <c r="F281" s="101">
        <f>$F$279*E281</f>
        <v>730</v>
      </c>
      <c r="G281" s="101" t="e">
        <f>工10345/100</f>
        <v>#REF!</v>
      </c>
      <c r="H281" s="120" t="e">
        <f>G281*F281</f>
        <v>#REF!</v>
      </c>
    </row>
    <row r="282" ht="20.4" customHeight="1" spans="1:8">
      <c r="A282" s="99" t="s">
        <v>230</v>
      </c>
      <c r="B282" s="317" t="s">
        <v>243</v>
      </c>
      <c r="C282" s="317" t="s">
        <v>268</v>
      </c>
      <c r="D282" s="100" t="s">
        <v>128</v>
      </c>
      <c r="E282" s="120">
        <v>6</v>
      </c>
      <c r="F282" s="101">
        <f>$F$279*E282</f>
        <v>438</v>
      </c>
      <c r="G282" s="101" t="e">
        <f>工宁水9011/100</f>
        <v>#NAME?</v>
      </c>
      <c r="H282" s="120" t="e">
        <f>G282*F282</f>
        <v>#NAME?</v>
      </c>
    </row>
    <row r="283" ht="20.4" customHeight="1" spans="1:8">
      <c r="A283" s="99" t="s">
        <v>231</v>
      </c>
      <c r="B283" s="317" t="s">
        <v>269</v>
      </c>
      <c r="C283" s="317" t="s">
        <v>270</v>
      </c>
      <c r="D283" s="100" t="s">
        <v>184</v>
      </c>
      <c r="E283" s="120">
        <v>12</v>
      </c>
      <c r="F283" s="101">
        <f>$F$279*E283</f>
        <v>876</v>
      </c>
      <c r="G283" s="101" t="e">
        <f>工100005/100</f>
        <v>#NAME?</v>
      </c>
      <c r="H283" s="120" t="e">
        <f>G283*F283</f>
        <v>#NAME?</v>
      </c>
    </row>
    <row r="284" s="79" customFormat="1" ht="20.4" customHeight="1" spans="1:8">
      <c r="A284" s="190" t="s">
        <v>275</v>
      </c>
      <c r="B284" s="193"/>
      <c r="C284" s="312" t="s">
        <v>276</v>
      </c>
      <c r="D284" s="312" t="s">
        <v>165</v>
      </c>
      <c r="E284" s="193"/>
      <c r="F284" s="193">
        <v>75</v>
      </c>
      <c r="G284" s="191"/>
      <c r="H284" s="193" t="e">
        <f>SUM(H285:H288)</f>
        <v>#REF!</v>
      </c>
    </row>
    <row r="285" ht="20.4" customHeight="1" spans="1:8">
      <c r="A285" s="99" t="s">
        <v>90</v>
      </c>
      <c r="B285" s="120">
        <v>10203</v>
      </c>
      <c r="C285" s="112" t="s">
        <v>172</v>
      </c>
      <c r="D285" s="100" t="s">
        <v>128</v>
      </c>
      <c r="E285" s="101">
        <v>16</v>
      </c>
      <c r="F285" s="101">
        <f>$F$284*E285</f>
        <v>1200</v>
      </c>
      <c r="G285" s="101" t="e">
        <f>工10203/100</f>
        <v>#REF!</v>
      </c>
      <c r="H285" s="120" t="e">
        <f>G285*F285</f>
        <v>#REF!</v>
      </c>
    </row>
    <row r="286" ht="20.4" customHeight="1" spans="1:8">
      <c r="A286" s="99" t="s">
        <v>212</v>
      </c>
      <c r="B286" s="120">
        <v>10345</v>
      </c>
      <c r="C286" s="112" t="s">
        <v>129</v>
      </c>
      <c r="D286" s="100" t="s">
        <v>128</v>
      </c>
      <c r="E286" s="101">
        <v>10</v>
      </c>
      <c r="F286" s="101">
        <f>$F$284*E286</f>
        <v>750</v>
      </c>
      <c r="G286" s="101" t="e">
        <f>工10345/100</f>
        <v>#REF!</v>
      </c>
      <c r="H286" s="120" t="e">
        <f>G286*F286</f>
        <v>#REF!</v>
      </c>
    </row>
    <row r="287" ht="20.4" customHeight="1" spans="1:8">
      <c r="A287" s="99" t="s">
        <v>230</v>
      </c>
      <c r="B287" s="317" t="s">
        <v>243</v>
      </c>
      <c r="C287" s="317" t="s">
        <v>268</v>
      </c>
      <c r="D287" s="100" t="s">
        <v>128</v>
      </c>
      <c r="E287" s="120">
        <v>6</v>
      </c>
      <c r="F287" s="101">
        <f>$F$284*E287</f>
        <v>450</v>
      </c>
      <c r="G287" s="101" t="e">
        <f>工宁水9011/100</f>
        <v>#NAME?</v>
      </c>
      <c r="H287" s="120" t="e">
        <f>G287*F287</f>
        <v>#NAME?</v>
      </c>
    </row>
    <row r="288" ht="20.4" customHeight="1" spans="1:8">
      <c r="A288" s="99" t="s">
        <v>231</v>
      </c>
      <c r="B288" s="317" t="s">
        <v>269</v>
      </c>
      <c r="C288" s="317" t="s">
        <v>270</v>
      </c>
      <c r="D288" s="100" t="s">
        <v>184</v>
      </c>
      <c r="E288" s="120">
        <v>12</v>
      </c>
      <c r="F288" s="101">
        <f>$F$284*E288</f>
        <v>900</v>
      </c>
      <c r="G288" s="101" t="e">
        <f>工100005/100</f>
        <v>#NAME?</v>
      </c>
      <c r="H288" s="120" t="e">
        <f>G288*F288</f>
        <v>#NAME?</v>
      </c>
    </row>
    <row r="289" s="79" customFormat="1" ht="20.4" customHeight="1" spans="1:8">
      <c r="A289" s="190" t="s">
        <v>277</v>
      </c>
      <c r="B289" s="193"/>
      <c r="C289" s="312" t="s">
        <v>278</v>
      </c>
      <c r="D289" s="312" t="s">
        <v>165</v>
      </c>
      <c r="E289" s="193"/>
      <c r="F289" s="193">
        <v>65</v>
      </c>
      <c r="G289" s="191"/>
      <c r="H289" s="193" t="e">
        <f>SUM(H290:H293)</f>
        <v>#REF!</v>
      </c>
    </row>
    <row r="290" ht="20.4" customHeight="1" spans="1:8">
      <c r="A290" s="99" t="s">
        <v>90</v>
      </c>
      <c r="B290" s="120">
        <v>10203</v>
      </c>
      <c r="C290" s="112" t="s">
        <v>172</v>
      </c>
      <c r="D290" s="100" t="s">
        <v>128</v>
      </c>
      <c r="E290" s="101">
        <v>16</v>
      </c>
      <c r="F290" s="101">
        <f>$F$289*E290</f>
        <v>1040</v>
      </c>
      <c r="G290" s="101" t="e">
        <f>工10203/100</f>
        <v>#REF!</v>
      </c>
      <c r="H290" s="120" t="e">
        <f>G290*F290</f>
        <v>#REF!</v>
      </c>
    </row>
    <row r="291" ht="20.4" customHeight="1" spans="1:8">
      <c r="A291" s="99" t="s">
        <v>212</v>
      </c>
      <c r="B291" s="120">
        <v>10345</v>
      </c>
      <c r="C291" s="112" t="s">
        <v>129</v>
      </c>
      <c r="D291" s="100" t="s">
        <v>128</v>
      </c>
      <c r="E291" s="101">
        <v>10</v>
      </c>
      <c r="F291" s="101">
        <f>$F$289*E291</f>
        <v>650</v>
      </c>
      <c r="G291" s="101" t="e">
        <f>工10345/100</f>
        <v>#REF!</v>
      </c>
      <c r="H291" s="120" t="e">
        <f>G291*F291</f>
        <v>#REF!</v>
      </c>
    </row>
    <row r="292" ht="20.4" customHeight="1" spans="1:8">
      <c r="A292" s="99" t="s">
        <v>230</v>
      </c>
      <c r="B292" s="317" t="s">
        <v>243</v>
      </c>
      <c r="C292" s="317" t="s">
        <v>268</v>
      </c>
      <c r="D292" s="100" t="s">
        <v>128</v>
      </c>
      <c r="E292" s="120">
        <v>6</v>
      </c>
      <c r="F292" s="101">
        <f>$F$289*E292</f>
        <v>390</v>
      </c>
      <c r="G292" s="101" t="e">
        <f>工宁水9011/100</f>
        <v>#NAME?</v>
      </c>
      <c r="H292" s="120" t="e">
        <f>G292*F292</f>
        <v>#NAME?</v>
      </c>
    </row>
    <row r="293" ht="20.4" customHeight="1" spans="1:8">
      <c r="A293" s="99" t="s">
        <v>231</v>
      </c>
      <c r="B293" s="317" t="s">
        <v>269</v>
      </c>
      <c r="C293" s="317" t="s">
        <v>270</v>
      </c>
      <c r="D293" s="100" t="s">
        <v>184</v>
      </c>
      <c r="E293" s="120">
        <v>12</v>
      </c>
      <c r="F293" s="101">
        <f>$F$289*E293</f>
        <v>780</v>
      </c>
      <c r="G293" s="101" t="e">
        <f>工100005/100</f>
        <v>#NAME?</v>
      </c>
      <c r="H293" s="120" t="e">
        <f>G293*F293</f>
        <v>#NAME?</v>
      </c>
    </row>
    <row r="294" s="79" customFormat="1" ht="20.4" customHeight="1" spans="1:8">
      <c r="A294" s="190" t="s">
        <v>279</v>
      </c>
      <c r="B294" s="193"/>
      <c r="C294" s="312" t="s">
        <v>280</v>
      </c>
      <c r="D294" s="312" t="s">
        <v>165</v>
      </c>
      <c r="E294" s="193"/>
      <c r="F294" s="193">
        <v>66</v>
      </c>
      <c r="G294" s="191"/>
      <c r="H294" s="193" t="e">
        <f>SUM(H295:H298)</f>
        <v>#REF!</v>
      </c>
    </row>
    <row r="295" ht="20.4" customHeight="1" spans="1:8">
      <c r="A295" s="99" t="s">
        <v>90</v>
      </c>
      <c r="B295" s="120">
        <v>10203</v>
      </c>
      <c r="C295" s="112" t="s">
        <v>172</v>
      </c>
      <c r="D295" s="100" t="s">
        <v>128</v>
      </c>
      <c r="E295" s="101">
        <v>16</v>
      </c>
      <c r="F295" s="101">
        <f>$F$294*E295</f>
        <v>1056</v>
      </c>
      <c r="G295" s="101" t="e">
        <f>工10203/100</f>
        <v>#REF!</v>
      </c>
      <c r="H295" s="120" t="e">
        <f>G295*F295</f>
        <v>#REF!</v>
      </c>
    </row>
    <row r="296" ht="20.4" customHeight="1" spans="1:8">
      <c r="A296" s="99" t="s">
        <v>212</v>
      </c>
      <c r="B296" s="120">
        <v>10345</v>
      </c>
      <c r="C296" s="112" t="s">
        <v>129</v>
      </c>
      <c r="D296" s="100" t="s">
        <v>128</v>
      </c>
      <c r="E296" s="101">
        <v>10</v>
      </c>
      <c r="F296" s="101">
        <f>$F$294*E296</f>
        <v>660</v>
      </c>
      <c r="G296" s="101" t="e">
        <f>工10345/100</f>
        <v>#REF!</v>
      </c>
      <c r="H296" s="120" t="e">
        <f>G296*F296</f>
        <v>#REF!</v>
      </c>
    </row>
    <row r="297" ht="20.4" customHeight="1" spans="1:8">
      <c r="A297" s="99" t="s">
        <v>230</v>
      </c>
      <c r="B297" s="317" t="s">
        <v>243</v>
      </c>
      <c r="C297" s="317" t="s">
        <v>268</v>
      </c>
      <c r="D297" s="100" t="s">
        <v>128</v>
      </c>
      <c r="E297" s="120">
        <v>6</v>
      </c>
      <c r="F297" s="101">
        <f>$F$294*E297</f>
        <v>396</v>
      </c>
      <c r="G297" s="101" t="e">
        <f>工宁水9011/100</f>
        <v>#NAME?</v>
      </c>
      <c r="H297" s="120" t="e">
        <f>G297*F297</f>
        <v>#NAME?</v>
      </c>
    </row>
    <row r="298" ht="20.4" customHeight="1" spans="1:8">
      <c r="A298" s="99" t="s">
        <v>231</v>
      </c>
      <c r="B298" s="317" t="s">
        <v>269</v>
      </c>
      <c r="C298" s="317" t="s">
        <v>270</v>
      </c>
      <c r="D298" s="100" t="s">
        <v>184</v>
      </c>
      <c r="E298" s="120">
        <v>12</v>
      </c>
      <c r="F298" s="101">
        <f>$F$294*E298</f>
        <v>792</v>
      </c>
      <c r="G298" s="101" t="e">
        <f>工100005/100</f>
        <v>#NAME?</v>
      </c>
      <c r="H298" s="120" t="e">
        <f>G298*F298</f>
        <v>#NAME?</v>
      </c>
    </row>
    <row r="299" s="79" customFormat="1" ht="20.4" customHeight="1" spans="1:8">
      <c r="A299" s="190" t="s">
        <v>281</v>
      </c>
      <c r="B299" s="193"/>
      <c r="C299" s="312" t="s">
        <v>282</v>
      </c>
      <c r="D299" s="312" t="s">
        <v>165</v>
      </c>
      <c r="E299" s="193"/>
      <c r="F299" s="193">
        <v>75</v>
      </c>
      <c r="G299" s="191"/>
      <c r="H299" s="193" t="e">
        <f>SUM(H300:H303)</f>
        <v>#REF!</v>
      </c>
    </row>
    <row r="300" ht="20.4" customHeight="1" spans="1:8">
      <c r="A300" s="99" t="s">
        <v>90</v>
      </c>
      <c r="B300" s="120">
        <v>10203</v>
      </c>
      <c r="C300" s="112" t="s">
        <v>172</v>
      </c>
      <c r="D300" s="100" t="s">
        <v>128</v>
      </c>
      <c r="E300" s="101">
        <v>16</v>
      </c>
      <c r="F300" s="101">
        <f>$F$299*E300</f>
        <v>1200</v>
      </c>
      <c r="G300" s="101" t="e">
        <f>工10203/100</f>
        <v>#REF!</v>
      </c>
      <c r="H300" s="120" t="e">
        <f>G300*F300</f>
        <v>#REF!</v>
      </c>
    </row>
    <row r="301" ht="20.4" customHeight="1" spans="1:8">
      <c r="A301" s="99" t="s">
        <v>212</v>
      </c>
      <c r="B301" s="120">
        <v>10345</v>
      </c>
      <c r="C301" s="112" t="s">
        <v>129</v>
      </c>
      <c r="D301" s="100" t="s">
        <v>128</v>
      </c>
      <c r="E301" s="101">
        <v>10</v>
      </c>
      <c r="F301" s="101">
        <f>$F$299*E301</f>
        <v>750</v>
      </c>
      <c r="G301" s="101" t="e">
        <f>工10345/100</f>
        <v>#REF!</v>
      </c>
      <c r="H301" s="120" t="e">
        <f>G301*F301</f>
        <v>#REF!</v>
      </c>
    </row>
    <row r="302" ht="20.4" customHeight="1" spans="1:8">
      <c r="A302" s="99" t="s">
        <v>230</v>
      </c>
      <c r="B302" s="317" t="s">
        <v>243</v>
      </c>
      <c r="C302" s="317" t="s">
        <v>268</v>
      </c>
      <c r="D302" s="100" t="s">
        <v>128</v>
      </c>
      <c r="E302" s="120">
        <v>6</v>
      </c>
      <c r="F302" s="101">
        <f>$F$299*E302</f>
        <v>450</v>
      </c>
      <c r="G302" s="101" t="e">
        <f>工宁水9011/100</f>
        <v>#NAME?</v>
      </c>
      <c r="H302" s="120" t="e">
        <f>G302*F302</f>
        <v>#NAME?</v>
      </c>
    </row>
    <row r="303" ht="20.4" customHeight="1" spans="1:8">
      <c r="A303" s="99" t="s">
        <v>231</v>
      </c>
      <c r="B303" s="317" t="s">
        <v>269</v>
      </c>
      <c r="C303" s="317" t="s">
        <v>270</v>
      </c>
      <c r="D303" s="100" t="s">
        <v>184</v>
      </c>
      <c r="E303" s="120">
        <v>12</v>
      </c>
      <c r="F303" s="101">
        <f>$F$299*E303</f>
        <v>900</v>
      </c>
      <c r="G303" s="101" t="e">
        <f>工100005/100</f>
        <v>#NAME?</v>
      </c>
      <c r="H303" s="120" t="e">
        <f>G303*F303</f>
        <v>#NAME?</v>
      </c>
    </row>
    <row r="304" s="79" customFormat="1" ht="20.4" customHeight="1" spans="1:8">
      <c r="A304" s="190" t="s">
        <v>283</v>
      </c>
      <c r="B304" s="193"/>
      <c r="C304" s="312" t="s">
        <v>284</v>
      </c>
      <c r="D304" s="312" t="s">
        <v>165</v>
      </c>
      <c r="E304" s="193"/>
      <c r="F304" s="193">
        <v>32</v>
      </c>
      <c r="G304" s="191"/>
      <c r="H304" s="193" t="e">
        <f>SUM(H305:H308)</f>
        <v>#REF!</v>
      </c>
    </row>
    <row r="305" ht="20.4" customHeight="1" spans="1:8">
      <c r="A305" s="99" t="s">
        <v>90</v>
      </c>
      <c r="B305" s="120">
        <v>10203</v>
      </c>
      <c r="C305" s="112" t="s">
        <v>172</v>
      </c>
      <c r="D305" s="100" t="s">
        <v>128</v>
      </c>
      <c r="E305" s="101">
        <v>16</v>
      </c>
      <c r="F305" s="101">
        <f>$F$304*E305</f>
        <v>512</v>
      </c>
      <c r="G305" s="101" t="e">
        <f>工10203/100</f>
        <v>#REF!</v>
      </c>
      <c r="H305" s="120" t="e">
        <f>G305*F305</f>
        <v>#REF!</v>
      </c>
    </row>
    <row r="306" ht="20.4" customHeight="1" spans="1:8">
      <c r="A306" s="99" t="s">
        <v>212</v>
      </c>
      <c r="B306" s="120">
        <v>10345</v>
      </c>
      <c r="C306" s="112" t="s">
        <v>129</v>
      </c>
      <c r="D306" s="100" t="s">
        <v>128</v>
      </c>
      <c r="E306" s="101">
        <v>10</v>
      </c>
      <c r="F306" s="101">
        <f>$F$304*E306</f>
        <v>320</v>
      </c>
      <c r="G306" s="101" t="e">
        <f>工10345/100</f>
        <v>#REF!</v>
      </c>
      <c r="H306" s="120" t="e">
        <f>G306*F306</f>
        <v>#REF!</v>
      </c>
    </row>
    <row r="307" ht="20.4" customHeight="1" spans="1:8">
      <c r="A307" s="99" t="s">
        <v>230</v>
      </c>
      <c r="B307" s="317" t="s">
        <v>243</v>
      </c>
      <c r="C307" s="317" t="s">
        <v>268</v>
      </c>
      <c r="D307" s="100" t="s">
        <v>128</v>
      </c>
      <c r="E307" s="120">
        <v>6</v>
      </c>
      <c r="F307" s="101">
        <f>$F$304*E307</f>
        <v>192</v>
      </c>
      <c r="G307" s="101" t="e">
        <f>工宁水9011/100</f>
        <v>#NAME?</v>
      </c>
      <c r="H307" s="120" t="e">
        <f>G307*F307</f>
        <v>#NAME?</v>
      </c>
    </row>
    <row r="308" ht="20.4" customHeight="1" spans="1:8">
      <c r="A308" s="99" t="s">
        <v>231</v>
      </c>
      <c r="B308" s="317" t="s">
        <v>269</v>
      </c>
      <c r="C308" s="317" t="s">
        <v>270</v>
      </c>
      <c r="D308" s="100" t="s">
        <v>184</v>
      </c>
      <c r="E308" s="120">
        <v>12</v>
      </c>
      <c r="F308" s="101">
        <f>$F$304*E308</f>
        <v>384</v>
      </c>
      <c r="G308" s="101" t="e">
        <f>工100005/100</f>
        <v>#NAME?</v>
      </c>
      <c r="H308" s="120" t="e">
        <f>G308*F308</f>
        <v>#NAME?</v>
      </c>
    </row>
    <row r="309" ht="20.4" customHeight="1" spans="1:8">
      <c r="A309" s="190" t="s">
        <v>285</v>
      </c>
      <c r="B309" s="193"/>
      <c r="C309" s="312" t="s">
        <v>286</v>
      </c>
      <c r="D309" s="312" t="s">
        <v>165</v>
      </c>
      <c r="E309" s="193"/>
      <c r="F309" s="193">
        <v>47</v>
      </c>
      <c r="G309" s="191"/>
      <c r="H309" s="193" t="e">
        <f>SUM(H310:H313)</f>
        <v>#REF!</v>
      </c>
    </row>
    <row r="310" ht="20.4" customHeight="1" spans="1:8">
      <c r="A310" s="99" t="s">
        <v>90</v>
      </c>
      <c r="B310" s="120">
        <v>10203</v>
      </c>
      <c r="C310" s="112" t="s">
        <v>172</v>
      </c>
      <c r="D310" s="100" t="s">
        <v>128</v>
      </c>
      <c r="E310" s="101">
        <v>16</v>
      </c>
      <c r="F310" s="101">
        <f>$F$309*E310</f>
        <v>752</v>
      </c>
      <c r="G310" s="101" t="e">
        <f>工10203/100</f>
        <v>#REF!</v>
      </c>
      <c r="H310" s="120" t="e">
        <f>G310*F310</f>
        <v>#REF!</v>
      </c>
    </row>
    <row r="311" ht="20.4" customHeight="1" spans="1:8">
      <c r="A311" s="99" t="s">
        <v>212</v>
      </c>
      <c r="B311" s="120">
        <v>10345</v>
      </c>
      <c r="C311" s="112" t="s">
        <v>129</v>
      </c>
      <c r="D311" s="100" t="s">
        <v>128</v>
      </c>
      <c r="E311" s="101">
        <v>10</v>
      </c>
      <c r="F311" s="101">
        <f>$F$309*E311</f>
        <v>470</v>
      </c>
      <c r="G311" s="101" t="e">
        <f>工10345/100</f>
        <v>#REF!</v>
      </c>
      <c r="H311" s="120" t="e">
        <f>G311*F311</f>
        <v>#REF!</v>
      </c>
    </row>
    <row r="312" ht="20.4" customHeight="1" spans="1:8">
      <c r="A312" s="99" t="s">
        <v>230</v>
      </c>
      <c r="B312" s="317" t="s">
        <v>243</v>
      </c>
      <c r="C312" s="317" t="s">
        <v>268</v>
      </c>
      <c r="D312" s="100" t="s">
        <v>128</v>
      </c>
      <c r="E312" s="120">
        <v>6</v>
      </c>
      <c r="F312" s="101">
        <f>$F$309*E312</f>
        <v>282</v>
      </c>
      <c r="G312" s="101" t="e">
        <f>工宁水9011/100</f>
        <v>#NAME?</v>
      </c>
      <c r="H312" s="120" t="e">
        <f>G312*F312</f>
        <v>#NAME?</v>
      </c>
    </row>
    <row r="313" ht="20.4" customHeight="1" spans="1:8">
      <c r="A313" s="99" t="s">
        <v>231</v>
      </c>
      <c r="B313" s="317" t="s">
        <v>269</v>
      </c>
      <c r="C313" s="317" t="s">
        <v>270</v>
      </c>
      <c r="D313" s="100" t="s">
        <v>184</v>
      </c>
      <c r="E313" s="120">
        <v>12</v>
      </c>
      <c r="F313" s="101">
        <f>$F$309*E313</f>
        <v>564</v>
      </c>
      <c r="G313" s="101" t="e">
        <f>工100005/100</f>
        <v>#NAME?</v>
      </c>
      <c r="H313" s="120" t="e">
        <f>G313*F313</f>
        <v>#NAME?</v>
      </c>
    </row>
    <row r="314" ht="20.4" customHeight="1" spans="1:8">
      <c r="A314" s="190" t="s">
        <v>287</v>
      </c>
      <c r="B314" s="193"/>
      <c r="C314" s="312" t="s">
        <v>288</v>
      </c>
      <c r="D314" s="312" t="s">
        <v>165</v>
      </c>
      <c r="E314" s="193"/>
      <c r="F314" s="193">
        <v>75</v>
      </c>
      <c r="G314" s="191"/>
      <c r="H314" s="193" t="e">
        <f>SUM(H315:H318)</f>
        <v>#REF!</v>
      </c>
    </row>
    <row r="315" ht="20.4" customHeight="1" spans="1:8">
      <c r="A315" s="99" t="s">
        <v>90</v>
      </c>
      <c r="B315" s="120">
        <v>10203</v>
      </c>
      <c r="C315" s="112" t="s">
        <v>172</v>
      </c>
      <c r="D315" s="100" t="s">
        <v>128</v>
      </c>
      <c r="E315" s="101">
        <v>16</v>
      </c>
      <c r="F315" s="101">
        <f>$F$314*E315</f>
        <v>1200</v>
      </c>
      <c r="G315" s="101" t="e">
        <f>工10203/100</f>
        <v>#REF!</v>
      </c>
      <c r="H315" s="120" t="e">
        <f>G315*F315</f>
        <v>#REF!</v>
      </c>
    </row>
    <row r="316" ht="20.4" customHeight="1" spans="1:8">
      <c r="A316" s="99" t="s">
        <v>212</v>
      </c>
      <c r="B316" s="120">
        <v>10345</v>
      </c>
      <c r="C316" s="112" t="s">
        <v>129</v>
      </c>
      <c r="D316" s="100" t="s">
        <v>128</v>
      </c>
      <c r="E316" s="101">
        <v>10</v>
      </c>
      <c r="F316" s="101">
        <f>$F$314*E316</f>
        <v>750</v>
      </c>
      <c r="G316" s="101" t="e">
        <f>工10345/100</f>
        <v>#REF!</v>
      </c>
      <c r="H316" s="120" t="e">
        <f>G316*F316</f>
        <v>#REF!</v>
      </c>
    </row>
    <row r="317" ht="20.4" customHeight="1" spans="1:8">
      <c r="A317" s="99" t="s">
        <v>230</v>
      </c>
      <c r="B317" s="317" t="s">
        <v>243</v>
      </c>
      <c r="C317" s="317" t="s">
        <v>268</v>
      </c>
      <c r="D317" s="100" t="s">
        <v>128</v>
      </c>
      <c r="E317" s="120">
        <v>6</v>
      </c>
      <c r="F317" s="101">
        <f>$F$314*E317</f>
        <v>450</v>
      </c>
      <c r="G317" s="101" t="e">
        <f>工宁水9011/100</f>
        <v>#NAME?</v>
      </c>
      <c r="H317" s="120" t="e">
        <f>G317*F317</f>
        <v>#NAME?</v>
      </c>
    </row>
    <row r="318" ht="20.4" customHeight="1" spans="1:8">
      <c r="A318" s="99" t="s">
        <v>231</v>
      </c>
      <c r="B318" s="317" t="s">
        <v>269</v>
      </c>
      <c r="C318" s="317" t="s">
        <v>270</v>
      </c>
      <c r="D318" s="100" t="s">
        <v>184</v>
      </c>
      <c r="E318" s="120">
        <v>12</v>
      </c>
      <c r="F318" s="101">
        <f>$F$314*E318</f>
        <v>900</v>
      </c>
      <c r="G318" s="101" t="e">
        <f>工100005/100</f>
        <v>#NAME?</v>
      </c>
      <c r="H318" s="120" t="e">
        <f>G318*F318</f>
        <v>#NAME?</v>
      </c>
    </row>
    <row r="319" s="79" customFormat="1" ht="20.4" customHeight="1" spans="1:8">
      <c r="A319" s="314" t="s">
        <v>40</v>
      </c>
      <c r="B319" s="193"/>
      <c r="C319" s="196" t="s">
        <v>289</v>
      </c>
      <c r="D319" s="193"/>
      <c r="E319" s="193"/>
      <c r="F319" s="193"/>
      <c r="G319" s="191"/>
      <c r="H319" s="193" t="e">
        <f>H320+H327+H334</f>
        <v>#REF!</v>
      </c>
    </row>
    <row r="320" ht="20.4" customHeight="1" spans="1:8">
      <c r="A320" s="190" t="s">
        <v>162</v>
      </c>
      <c r="B320" s="193"/>
      <c r="C320" s="312" t="s">
        <v>290</v>
      </c>
      <c r="D320" s="312" t="s">
        <v>165</v>
      </c>
      <c r="E320" s="193">
        <v>69</v>
      </c>
      <c r="G320" s="191"/>
      <c r="H320" s="193" t="e">
        <f>SUM(H321:H326)</f>
        <v>#REF!</v>
      </c>
    </row>
    <row r="321" ht="20.4" customHeight="1" spans="1:8">
      <c r="A321" s="99" t="s">
        <v>90</v>
      </c>
      <c r="B321" s="120">
        <v>10203</v>
      </c>
      <c r="C321" s="112" t="s">
        <v>172</v>
      </c>
      <c r="D321" s="100" t="s">
        <v>128</v>
      </c>
      <c r="E321" s="101">
        <v>38</v>
      </c>
      <c r="F321" s="101">
        <f>$E$320*E321</f>
        <v>2622</v>
      </c>
      <c r="G321" s="101" t="e">
        <f>工10203/100</f>
        <v>#REF!</v>
      </c>
      <c r="H321" s="120" t="e">
        <f t="shared" ref="H321:H326" si="2">G321*F321</f>
        <v>#REF!</v>
      </c>
    </row>
    <row r="322" ht="20.4" customHeight="1" spans="1:8">
      <c r="A322" s="99" t="s">
        <v>94</v>
      </c>
      <c r="B322" s="120">
        <v>10345</v>
      </c>
      <c r="C322" s="112" t="s">
        <v>129</v>
      </c>
      <c r="D322" s="100" t="s">
        <v>128</v>
      </c>
      <c r="E322" s="101">
        <v>28</v>
      </c>
      <c r="F322" s="101">
        <f>$E$320*E322</f>
        <v>1932</v>
      </c>
      <c r="G322" s="101" t="e">
        <f>工10345/100</f>
        <v>#REF!</v>
      </c>
      <c r="H322" s="120" t="e">
        <f t="shared" si="2"/>
        <v>#REF!</v>
      </c>
    </row>
    <row r="323" ht="20.4" customHeight="1" spans="1:8">
      <c r="A323" s="99" t="s">
        <v>97</v>
      </c>
      <c r="B323" s="317" t="s">
        <v>241</v>
      </c>
      <c r="C323" s="317" t="s">
        <v>242</v>
      </c>
      <c r="D323" s="100" t="s">
        <v>128</v>
      </c>
      <c r="E323" s="101">
        <f>0.3*4</f>
        <v>1.2</v>
      </c>
      <c r="F323" s="101">
        <f>E323*20</f>
        <v>24</v>
      </c>
      <c r="G323" s="101" t="e">
        <f>工宁水9010/100</f>
        <v>#NAME?</v>
      </c>
      <c r="H323" s="120" t="e">
        <f t="shared" si="2"/>
        <v>#NAME?</v>
      </c>
    </row>
    <row r="324" ht="20.4" customHeight="1" spans="1:8">
      <c r="A324" s="99" t="s">
        <v>109</v>
      </c>
      <c r="B324" s="317" t="s">
        <v>243</v>
      </c>
      <c r="C324" s="317" t="s">
        <v>268</v>
      </c>
      <c r="D324" s="100" t="s">
        <v>128</v>
      </c>
      <c r="E324" s="120">
        <v>24</v>
      </c>
      <c r="F324" s="101">
        <f>$E$320*E324+20</f>
        <v>1676</v>
      </c>
      <c r="G324" s="101" t="e">
        <f>工宁水9011/100</f>
        <v>#NAME?</v>
      </c>
      <c r="H324" s="120" t="e">
        <f t="shared" si="2"/>
        <v>#NAME?</v>
      </c>
    </row>
    <row r="325" ht="20.4" customHeight="1" spans="1:8">
      <c r="A325" s="99" t="s">
        <v>112</v>
      </c>
      <c r="B325" s="317" t="s">
        <v>269</v>
      </c>
      <c r="C325" s="317" t="s">
        <v>270</v>
      </c>
      <c r="D325" s="100" t="s">
        <v>184</v>
      </c>
      <c r="E325" s="120">
        <v>10</v>
      </c>
      <c r="F325" s="101">
        <f>$E$320*E325</f>
        <v>690</v>
      </c>
      <c r="G325" s="101" t="e">
        <f>工100005/100</f>
        <v>#NAME?</v>
      </c>
      <c r="H325" s="120" t="e">
        <f t="shared" si="2"/>
        <v>#NAME?</v>
      </c>
    </row>
    <row r="326" ht="20.4" customHeight="1" spans="1:8">
      <c r="A326" s="99" t="s">
        <v>116</v>
      </c>
      <c r="B326" s="317" t="s">
        <v>245</v>
      </c>
      <c r="C326" s="317" t="s">
        <v>291</v>
      </c>
      <c r="D326" s="100" t="s">
        <v>128</v>
      </c>
      <c r="E326" s="120">
        <f>14*0.15</f>
        <v>2.1</v>
      </c>
      <c r="F326" s="101">
        <f>$E$320*E326</f>
        <v>144.9</v>
      </c>
      <c r="G326" s="101" t="e">
        <f>工30003/100</f>
        <v>#REF!</v>
      </c>
      <c r="H326" s="120" t="e">
        <f t="shared" si="2"/>
        <v>#REF!</v>
      </c>
    </row>
    <row r="327" ht="20.4" customHeight="1" spans="1:8">
      <c r="A327" s="190" t="s">
        <v>162</v>
      </c>
      <c r="B327" s="193"/>
      <c r="C327" s="312" t="s">
        <v>292</v>
      </c>
      <c r="D327" s="193"/>
      <c r="E327" s="193">
        <v>57</v>
      </c>
      <c r="G327" s="191"/>
      <c r="H327" s="193" t="e">
        <f>SUM(H328:H333)</f>
        <v>#REF!</v>
      </c>
    </row>
    <row r="328" ht="20.4" customHeight="1" spans="1:8">
      <c r="A328" s="99" t="s">
        <v>90</v>
      </c>
      <c r="B328" s="120">
        <v>10203</v>
      </c>
      <c r="C328" s="112" t="s">
        <v>172</v>
      </c>
      <c r="D328" s="100" t="s">
        <v>128</v>
      </c>
      <c r="E328" s="101">
        <v>38</v>
      </c>
      <c r="F328" s="101">
        <f>$E$327*E328</f>
        <v>2166</v>
      </c>
      <c r="G328" s="101" t="e">
        <f>工10203/100</f>
        <v>#REF!</v>
      </c>
      <c r="H328" s="120" t="e">
        <f t="shared" ref="H328:H333" si="3">G328*F328</f>
        <v>#REF!</v>
      </c>
    </row>
    <row r="329" ht="20.4" customHeight="1" spans="1:8">
      <c r="A329" s="99" t="s">
        <v>94</v>
      </c>
      <c r="B329" s="120">
        <v>10345</v>
      </c>
      <c r="C329" s="112" t="s">
        <v>129</v>
      </c>
      <c r="D329" s="100" t="s">
        <v>128</v>
      </c>
      <c r="E329" s="101">
        <v>28</v>
      </c>
      <c r="F329" s="101">
        <f>$E$327*E329</f>
        <v>1596</v>
      </c>
      <c r="G329" s="101" t="e">
        <f>工10345/100</f>
        <v>#REF!</v>
      </c>
      <c r="H329" s="120" t="e">
        <f t="shared" si="3"/>
        <v>#REF!</v>
      </c>
    </row>
    <row r="330" ht="20.4" customHeight="1" spans="1:8">
      <c r="A330" s="99" t="s">
        <v>97</v>
      </c>
      <c r="B330" s="317" t="s">
        <v>241</v>
      </c>
      <c r="C330" s="317" t="s">
        <v>242</v>
      </c>
      <c r="D330" s="100" t="s">
        <v>128</v>
      </c>
      <c r="E330" s="101">
        <f>0.3*4</f>
        <v>1.2</v>
      </c>
      <c r="F330" s="101">
        <f>E330*20</f>
        <v>24</v>
      </c>
      <c r="G330" s="101" t="e">
        <f>工宁水9010/100</f>
        <v>#NAME?</v>
      </c>
      <c r="H330" s="120" t="e">
        <f t="shared" si="3"/>
        <v>#NAME?</v>
      </c>
    </row>
    <row r="331" ht="20.4" customHeight="1" spans="1:8">
      <c r="A331" s="99" t="s">
        <v>109</v>
      </c>
      <c r="B331" s="317" t="s">
        <v>243</v>
      </c>
      <c r="C331" s="317" t="s">
        <v>268</v>
      </c>
      <c r="D331" s="100" t="s">
        <v>128</v>
      </c>
      <c r="E331" s="120">
        <v>24</v>
      </c>
      <c r="F331" s="101">
        <f>$E$327*E331+20</f>
        <v>1388</v>
      </c>
      <c r="G331" s="101" t="e">
        <f>工宁水9011/100</f>
        <v>#NAME?</v>
      </c>
      <c r="H331" s="120" t="e">
        <f t="shared" si="3"/>
        <v>#NAME?</v>
      </c>
    </row>
    <row r="332" ht="20.4" customHeight="1" spans="1:8">
      <c r="A332" s="99" t="s">
        <v>112</v>
      </c>
      <c r="B332" s="317" t="s">
        <v>269</v>
      </c>
      <c r="C332" s="317" t="s">
        <v>270</v>
      </c>
      <c r="D332" s="100" t="s">
        <v>184</v>
      </c>
      <c r="E332" s="120">
        <v>10</v>
      </c>
      <c r="F332" s="101">
        <f>$E$327*E332</f>
        <v>570</v>
      </c>
      <c r="G332" s="101" t="e">
        <f>工100005/100</f>
        <v>#NAME?</v>
      </c>
      <c r="H332" s="120" t="e">
        <f t="shared" si="3"/>
        <v>#NAME?</v>
      </c>
    </row>
    <row r="333" ht="20.4" customHeight="1" spans="1:8">
      <c r="A333" s="99" t="s">
        <v>116</v>
      </c>
      <c r="B333" s="317" t="s">
        <v>245</v>
      </c>
      <c r="C333" s="317" t="s">
        <v>291</v>
      </c>
      <c r="D333" s="100" t="s">
        <v>128</v>
      </c>
      <c r="E333" s="120">
        <f>14*0.15</f>
        <v>2.1</v>
      </c>
      <c r="F333" s="101">
        <f>$E$327*E333</f>
        <v>119.7</v>
      </c>
      <c r="G333" s="101" t="e">
        <f>工30003/100</f>
        <v>#REF!</v>
      </c>
      <c r="H333" s="120" t="e">
        <f t="shared" si="3"/>
        <v>#REF!</v>
      </c>
    </row>
    <row r="334" ht="20.4" customHeight="1" spans="1:8">
      <c r="A334" s="190" t="s">
        <v>162</v>
      </c>
      <c r="B334" s="193"/>
      <c r="C334" s="312" t="s">
        <v>293</v>
      </c>
      <c r="D334" s="193"/>
      <c r="E334" s="193">
        <v>50</v>
      </c>
      <c r="G334" s="191"/>
      <c r="H334" s="193" t="e">
        <f>SUM(H335:H340)</f>
        <v>#REF!</v>
      </c>
    </row>
    <row r="335" ht="20.4" customHeight="1" spans="1:8">
      <c r="A335" s="99" t="s">
        <v>90</v>
      </c>
      <c r="B335" s="120">
        <v>10203</v>
      </c>
      <c r="C335" s="112" t="s">
        <v>172</v>
      </c>
      <c r="D335" s="100" t="s">
        <v>128</v>
      </c>
      <c r="E335" s="101">
        <v>38</v>
      </c>
      <c r="F335" s="101">
        <f>$E$334*E335</f>
        <v>1900</v>
      </c>
      <c r="G335" s="101" t="e">
        <f>工10203/100</f>
        <v>#REF!</v>
      </c>
      <c r="H335" s="120" t="e">
        <f t="shared" ref="H335:H340" si="4">G335*F335</f>
        <v>#REF!</v>
      </c>
    </row>
    <row r="336" ht="20.4" customHeight="1" spans="1:8">
      <c r="A336" s="99" t="s">
        <v>94</v>
      </c>
      <c r="B336" s="120">
        <v>10345</v>
      </c>
      <c r="C336" s="112" t="s">
        <v>129</v>
      </c>
      <c r="D336" s="100" t="s">
        <v>128</v>
      </c>
      <c r="E336" s="101">
        <v>28</v>
      </c>
      <c r="F336" s="101">
        <f>$E$334*E336</f>
        <v>1400</v>
      </c>
      <c r="G336" s="101" t="e">
        <f>工10345/100</f>
        <v>#REF!</v>
      </c>
      <c r="H336" s="120" t="e">
        <f t="shared" si="4"/>
        <v>#REF!</v>
      </c>
    </row>
    <row r="337" ht="20.4" customHeight="1" spans="1:8">
      <c r="A337" s="99" t="s">
        <v>97</v>
      </c>
      <c r="B337" s="317" t="s">
        <v>241</v>
      </c>
      <c r="C337" s="317" t="s">
        <v>242</v>
      </c>
      <c r="D337" s="100" t="s">
        <v>128</v>
      </c>
      <c r="E337" s="101">
        <f>0.3*4</f>
        <v>1.2</v>
      </c>
      <c r="F337" s="101">
        <f>E337*20</f>
        <v>24</v>
      </c>
      <c r="G337" s="101" t="e">
        <f>工宁水9010/100</f>
        <v>#NAME?</v>
      </c>
      <c r="H337" s="120" t="e">
        <f t="shared" si="4"/>
        <v>#NAME?</v>
      </c>
    </row>
    <row r="338" ht="20.4" customHeight="1" spans="1:8">
      <c r="A338" s="99" t="s">
        <v>109</v>
      </c>
      <c r="B338" s="317" t="s">
        <v>243</v>
      </c>
      <c r="C338" s="317" t="s">
        <v>268</v>
      </c>
      <c r="D338" s="100" t="s">
        <v>128</v>
      </c>
      <c r="E338" s="120">
        <v>24</v>
      </c>
      <c r="F338" s="101">
        <f>$E$334*E338+20</f>
        <v>1220</v>
      </c>
      <c r="G338" s="101" t="e">
        <f>工宁水9011/100</f>
        <v>#NAME?</v>
      </c>
      <c r="H338" s="120" t="e">
        <f t="shared" si="4"/>
        <v>#NAME?</v>
      </c>
    </row>
    <row r="339" ht="20.4" customHeight="1" spans="1:8">
      <c r="A339" s="99" t="s">
        <v>112</v>
      </c>
      <c r="B339" s="317" t="s">
        <v>269</v>
      </c>
      <c r="C339" s="317" t="s">
        <v>270</v>
      </c>
      <c r="D339" s="100" t="s">
        <v>184</v>
      </c>
      <c r="E339" s="120">
        <v>10</v>
      </c>
      <c r="F339" s="101">
        <f>$E$334*E339</f>
        <v>500</v>
      </c>
      <c r="G339" s="101" t="e">
        <f>工100005/100</f>
        <v>#NAME?</v>
      </c>
      <c r="H339" s="120" t="e">
        <f t="shared" si="4"/>
        <v>#NAME?</v>
      </c>
    </row>
    <row r="340" ht="20.4" customHeight="1" spans="1:8">
      <c r="A340" s="99" t="s">
        <v>116</v>
      </c>
      <c r="B340" s="317" t="s">
        <v>245</v>
      </c>
      <c r="C340" s="317" t="s">
        <v>291</v>
      </c>
      <c r="D340" s="100" t="s">
        <v>128</v>
      </c>
      <c r="E340" s="120">
        <f>14*0.15</f>
        <v>2.1</v>
      </c>
      <c r="F340" s="101">
        <f>$E$334*E340</f>
        <v>105</v>
      </c>
      <c r="G340" s="101" t="e">
        <f>工30003/100</f>
        <v>#REF!</v>
      </c>
      <c r="H340" s="120" t="e">
        <f t="shared" si="4"/>
        <v>#REF!</v>
      </c>
    </row>
    <row r="341" s="79" customFormat="1" ht="20.4" customHeight="1" spans="1:12">
      <c r="A341" s="314" t="s">
        <v>294</v>
      </c>
      <c r="B341" s="193"/>
      <c r="C341" s="196" t="s">
        <v>295</v>
      </c>
      <c r="D341" s="193"/>
      <c r="E341" s="193"/>
      <c r="F341" s="193"/>
      <c r="G341" s="191"/>
      <c r="H341" s="193" t="e">
        <f>SUM(H342,H368,H394,H420,H446,H472,H498)</f>
        <v>#REF!</v>
      </c>
      <c r="L341" s="79" t="e">
        <f>SUM(#REF!)</f>
        <v>#REF!</v>
      </c>
    </row>
    <row r="342" s="79" customFormat="1" ht="20.4" customHeight="1" spans="1:8">
      <c r="A342" s="190" t="s">
        <v>38</v>
      </c>
      <c r="B342" s="193"/>
      <c r="C342" s="312" t="s">
        <v>296</v>
      </c>
      <c r="D342" s="312" t="s">
        <v>89</v>
      </c>
      <c r="E342" s="193"/>
      <c r="F342" s="191">
        <v>8.82</v>
      </c>
      <c r="G342" s="191"/>
      <c r="H342" s="193" t="e">
        <f>SUM(H343,H347,H351,H356,H357,H358)</f>
        <v>#REF!</v>
      </c>
    </row>
    <row r="343" s="79" customFormat="1" ht="20.4" customHeight="1" spans="1:8">
      <c r="A343" s="190" t="s">
        <v>237</v>
      </c>
      <c r="B343" s="193"/>
      <c r="C343" s="312" t="s">
        <v>238</v>
      </c>
      <c r="D343" s="135"/>
      <c r="E343" s="193"/>
      <c r="F343" s="191"/>
      <c r="G343" s="191"/>
      <c r="H343" s="193" t="e">
        <f>SUM(H344:H346)</f>
        <v>#REF!</v>
      </c>
    </row>
    <row r="344" ht="20.4" customHeight="1" spans="1:8">
      <c r="A344" s="99" t="s">
        <v>90</v>
      </c>
      <c r="B344" s="317" t="s">
        <v>91</v>
      </c>
      <c r="C344" s="261" t="s">
        <v>92</v>
      </c>
      <c r="D344" s="199" t="s">
        <v>93</v>
      </c>
      <c r="E344" s="267">
        <f>F342*15*320</f>
        <v>42336</v>
      </c>
      <c r="F344" s="101">
        <f>E344*0.5/100</f>
        <v>211.68</v>
      </c>
      <c r="G344" s="101" t="e">
        <f>工10304</f>
        <v>#REF!</v>
      </c>
      <c r="H344" s="120" t="e">
        <f>G344*F344</f>
        <v>#REF!</v>
      </c>
    </row>
    <row r="345" ht="20.4" customHeight="1" spans="1:8">
      <c r="A345" s="99" t="s">
        <v>212</v>
      </c>
      <c r="B345" s="317" t="s">
        <v>95</v>
      </c>
      <c r="C345" s="261" t="s">
        <v>96</v>
      </c>
      <c r="D345" s="199" t="s">
        <v>93</v>
      </c>
      <c r="E345" s="269"/>
      <c r="F345" s="101">
        <f>E344*0.3/100</f>
        <v>127.008</v>
      </c>
      <c r="G345" s="101" t="e">
        <f>工10305</f>
        <v>#REF!</v>
      </c>
      <c r="H345" s="120" t="e">
        <f>G345*F345</f>
        <v>#REF!</v>
      </c>
    </row>
    <row r="346" ht="20.4" customHeight="1" spans="1:8">
      <c r="A346" s="99" t="s">
        <v>230</v>
      </c>
      <c r="B346" s="317" t="s">
        <v>98</v>
      </c>
      <c r="C346" s="261" t="s">
        <v>99</v>
      </c>
      <c r="D346" s="199" t="s">
        <v>93</v>
      </c>
      <c r="E346" s="269"/>
      <c r="F346" s="101">
        <f>E344*0.2/100</f>
        <v>84.672</v>
      </c>
      <c r="G346" s="101">
        <f>工10306</f>
        <v>309.620525377571</v>
      </c>
      <c r="H346" s="120">
        <f>G346*F346</f>
        <v>26216.1891247697</v>
      </c>
    </row>
    <row r="347" s="79" customFormat="1" ht="20.4" customHeight="1" spans="1:8">
      <c r="A347" s="190" t="s">
        <v>239</v>
      </c>
      <c r="B347" s="193"/>
      <c r="C347" s="312" t="s">
        <v>297</v>
      </c>
      <c r="D347" s="135"/>
      <c r="E347" s="193"/>
      <c r="F347" s="191">
        <v>730</v>
      </c>
      <c r="G347" s="191"/>
      <c r="H347" s="193" t="e">
        <f>SUM(H348:H350)</f>
        <v>#REF!</v>
      </c>
    </row>
    <row r="348" ht="20.4" customHeight="1" spans="1:8">
      <c r="A348" s="99" t="s">
        <v>90</v>
      </c>
      <c r="B348" s="120">
        <v>10203</v>
      </c>
      <c r="C348" s="112" t="s">
        <v>172</v>
      </c>
      <c r="D348" s="100" t="s">
        <v>128</v>
      </c>
      <c r="E348" s="101">
        <v>3.62</v>
      </c>
      <c r="F348" s="101">
        <f>$F$347*E348</f>
        <v>2642.6</v>
      </c>
      <c r="G348" s="101" t="e">
        <f>工10203/100</f>
        <v>#REF!</v>
      </c>
      <c r="H348" s="120" t="e">
        <f>G348*F348</f>
        <v>#REF!</v>
      </c>
    </row>
    <row r="349" ht="20.4" customHeight="1" spans="1:8">
      <c r="A349" s="99" t="s">
        <v>94</v>
      </c>
      <c r="B349" s="120">
        <v>10345</v>
      </c>
      <c r="C349" s="112" t="s">
        <v>129</v>
      </c>
      <c r="D349" s="100" t="s">
        <v>128</v>
      </c>
      <c r="E349" s="101">
        <v>2.86</v>
      </c>
      <c r="F349" s="101">
        <f>$F$347*E349</f>
        <v>2087.8</v>
      </c>
      <c r="G349" s="101" t="e">
        <f>工10345/100</f>
        <v>#REF!</v>
      </c>
      <c r="H349" s="120" t="e">
        <f>G349*F349</f>
        <v>#REF!</v>
      </c>
    </row>
    <row r="350" ht="20.4" customHeight="1" spans="1:8">
      <c r="A350" s="99" t="s">
        <v>97</v>
      </c>
      <c r="B350" s="317" t="s">
        <v>241</v>
      </c>
      <c r="C350" s="317" t="s">
        <v>242</v>
      </c>
      <c r="D350" s="100" t="s">
        <v>128</v>
      </c>
      <c r="E350" s="101">
        <v>2.4</v>
      </c>
      <c r="F350" s="101">
        <f>$F$347*E350</f>
        <v>1752</v>
      </c>
      <c r="G350" s="101" t="e">
        <f>工宁水9010/100</f>
        <v>#NAME?</v>
      </c>
      <c r="H350" s="120" t="e">
        <f>G350*F350</f>
        <v>#NAME?</v>
      </c>
    </row>
    <row r="351" s="79" customFormat="1" ht="20.4" customHeight="1" spans="1:8">
      <c r="A351" s="190" t="s">
        <v>247</v>
      </c>
      <c r="B351" s="193"/>
      <c r="C351" s="312" t="s">
        <v>298</v>
      </c>
      <c r="D351" s="135" t="s">
        <v>165</v>
      </c>
      <c r="E351" s="193"/>
      <c r="F351" s="191">
        <f>695+793</f>
        <v>1488</v>
      </c>
      <c r="G351" s="191"/>
      <c r="H351" s="193" t="e">
        <f>SUM(H352:H355)</f>
        <v>#REF!</v>
      </c>
    </row>
    <row r="352" ht="20.4" customHeight="1" spans="1:8">
      <c r="A352" s="99" t="s">
        <v>90</v>
      </c>
      <c r="B352" s="120">
        <v>10334</v>
      </c>
      <c r="C352" s="318" t="s">
        <v>299</v>
      </c>
      <c r="D352" s="100" t="s">
        <v>184</v>
      </c>
      <c r="E352" s="120"/>
      <c r="F352" s="101">
        <f>F351*2</f>
        <v>2976</v>
      </c>
      <c r="G352" s="101" t="e">
        <f>工10334/12</f>
        <v>#REF!</v>
      </c>
      <c r="H352" s="120" t="e">
        <f>F352*G352</f>
        <v>#REF!</v>
      </c>
    </row>
    <row r="353" ht="20.4" customHeight="1" spans="1:8">
      <c r="A353" s="99" t="s">
        <v>94</v>
      </c>
      <c r="B353" s="317" t="s">
        <v>117</v>
      </c>
      <c r="C353" s="318" t="s">
        <v>300</v>
      </c>
      <c r="D353" s="105" t="s">
        <v>301</v>
      </c>
      <c r="E353" s="120"/>
      <c r="F353" s="101">
        <f>F351*4</f>
        <v>5952</v>
      </c>
      <c r="G353" s="101">
        <v>13</v>
      </c>
      <c r="H353" s="120">
        <f>F353*G353</f>
        <v>77376</v>
      </c>
    </row>
    <row r="354" ht="20.4" customHeight="1" spans="1:8">
      <c r="A354" s="99" t="s">
        <v>97</v>
      </c>
      <c r="B354" s="317" t="s">
        <v>302</v>
      </c>
      <c r="C354" s="317" t="s">
        <v>303</v>
      </c>
      <c r="D354" s="100" t="s">
        <v>128</v>
      </c>
      <c r="E354" s="101">
        <f>E355*0.2</f>
        <v>0.4</v>
      </c>
      <c r="F354" s="101">
        <f>F351*E354</f>
        <v>595.2</v>
      </c>
      <c r="G354" s="101" t="e">
        <f>工30003改/100</f>
        <v>#NAME?</v>
      </c>
      <c r="H354" s="120" t="e">
        <f>G354*F354</f>
        <v>#NAME?</v>
      </c>
    </row>
    <row r="355" ht="20.4" customHeight="1" spans="1:8">
      <c r="A355" s="99" t="s">
        <v>109</v>
      </c>
      <c r="B355" s="317" t="s">
        <v>117</v>
      </c>
      <c r="C355" s="317" t="s">
        <v>304</v>
      </c>
      <c r="D355" s="100" t="s">
        <v>184</v>
      </c>
      <c r="E355" s="101">
        <v>2</v>
      </c>
      <c r="F355" s="101">
        <f>F351*E355</f>
        <v>2976</v>
      </c>
      <c r="G355" s="101">
        <v>45</v>
      </c>
      <c r="H355" s="120">
        <f>G355*F355</f>
        <v>133920</v>
      </c>
    </row>
    <row r="356" s="79" customFormat="1" ht="20.4" customHeight="1" spans="1:8">
      <c r="A356" s="190" t="s">
        <v>273</v>
      </c>
      <c r="B356" s="193"/>
      <c r="C356" s="312" t="s">
        <v>305</v>
      </c>
      <c r="D356" s="135" t="s">
        <v>306</v>
      </c>
      <c r="E356" s="193"/>
      <c r="F356" s="191">
        <v>4</v>
      </c>
      <c r="G356" s="191">
        <v>25700</v>
      </c>
      <c r="H356" s="193">
        <f>G356*F356</f>
        <v>102800</v>
      </c>
    </row>
    <row r="357" ht="20.4" customHeight="1" spans="1:8">
      <c r="A357" s="190" t="s">
        <v>275</v>
      </c>
      <c r="B357" s="193"/>
      <c r="C357" s="319" t="s">
        <v>307</v>
      </c>
      <c r="D357" s="135" t="s">
        <v>306</v>
      </c>
      <c r="E357" s="193"/>
      <c r="F357" s="191">
        <v>3</v>
      </c>
      <c r="G357" s="191">
        <v>25000</v>
      </c>
      <c r="H357" s="193">
        <f>G357*F357</f>
        <v>75000</v>
      </c>
    </row>
    <row r="358" s="79" customFormat="1" ht="20.4" customHeight="1" spans="1:8">
      <c r="A358" s="190" t="s">
        <v>277</v>
      </c>
      <c r="B358" s="193"/>
      <c r="C358" s="312" t="s">
        <v>308</v>
      </c>
      <c r="D358" s="135"/>
      <c r="E358" s="193"/>
      <c r="F358" s="191"/>
      <c r="G358" s="191"/>
      <c r="H358" s="193" t="e">
        <f>SUM(H359:H367)</f>
        <v>#NAME?</v>
      </c>
    </row>
    <row r="359" ht="20.4" customHeight="1" spans="1:8">
      <c r="A359" s="316" t="s">
        <v>90</v>
      </c>
      <c r="B359" s="317" t="s">
        <v>117</v>
      </c>
      <c r="C359" s="317" t="s">
        <v>104</v>
      </c>
      <c r="D359" s="317" t="s">
        <v>105</v>
      </c>
      <c r="E359" s="120">
        <v>1200</v>
      </c>
      <c r="F359" s="120">
        <v>1200</v>
      </c>
      <c r="G359" s="101">
        <v>25</v>
      </c>
      <c r="H359" s="120">
        <f t="shared" ref="H359:H367" si="5">G359*F359</f>
        <v>30000</v>
      </c>
    </row>
    <row r="360" ht="20.4" customHeight="1" spans="1:8">
      <c r="A360" s="316" t="s">
        <v>94</v>
      </c>
      <c r="B360" s="317" t="s">
        <v>117</v>
      </c>
      <c r="C360" s="317" t="s">
        <v>107</v>
      </c>
      <c r="D360" s="317" t="s">
        <v>105</v>
      </c>
      <c r="E360" s="120">
        <v>1200</v>
      </c>
      <c r="F360" s="120">
        <v>1200</v>
      </c>
      <c r="G360" s="101">
        <v>18</v>
      </c>
      <c r="H360" s="120">
        <f t="shared" si="5"/>
        <v>21600</v>
      </c>
    </row>
    <row r="361" ht="20.4" customHeight="1" spans="1:8">
      <c r="A361" s="316" t="s">
        <v>97</v>
      </c>
      <c r="B361" s="317" t="s">
        <v>117</v>
      </c>
      <c r="C361" s="317" t="s">
        <v>219</v>
      </c>
      <c r="D361" s="317" t="s">
        <v>105</v>
      </c>
      <c r="E361" s="120">
        <v>1200</v>
      </c>
      <c r="F361" s="120">
        <v>1200</v>
      </c>
      <c r="G361" s="101">
        <v>21</v>
      </c>
      <c r="H361" s="120">
        <f t="shared" si="5"/>
        <v>25200</v>
      </c>
    </row>
    <row r="362" ht="20.4" customHeight="1" spans="1:8">
      <c r="A362" s="316" t="s">
        <v>109</v>
      </c>
      <c r="B362" s="317" t="s">
        <v>117</v>
      </c>
      <c r="C362" s="317" t="s">
        <v>152</v>
      </c>
      <c r="D362" s="317" t="s">
        <v>105</v>
      </c>
      <c r="E362" s="120">
        <v>514</v>
      </c>
      <c r="F362" s="120">
        <v>514</v>
      </c>
      <c r="G362" s="101">
        <v>42</v>
      </c>
      <c r="H362" s="120">
        <f t="shared" si="5"/>
        <v>21588</v>
      </c>
    </row>
    <row r="363" ht="20.4" customHeight="1" spans="1:8">
      <c r="A363" s="316" t="s">
        <v>112</v>
      </c>
      <c r="B363" s="317" t="s">
        <v>117</v>
      </c>
      <c r="C363" s="317" t="s">
        <v>153</v>
      </c>
      <c r="D363" s="317" t="s">
        <v>105</v>
      </c>
      <c r="E363" s="120">
        <v>514</v>
      </c>
      <c r="F363" s="120">
        <v>514</v>
      </c>
      <c r="G363" s="101">
        <v>50</v>
      </c>
      <c r="H363" s="120">
        <f t="shared" si="5"/>
        <v>25700</v>
      </c>
    </row>
    <row r="364" ht="20.4" customHeight="1" spans="1:8">
      <c r="A364" s="316" t="s">
        <v>116</v>
      </c>
      <c r="B364" s="317" t="s">
        <v>117</v>
      </c>
      <c r="C364" s="317" t="s">
        <v>204</v>
      </c>
      <c r="D364" s="317" t="s">
        <v>105</v>
      </c>
      <c r="E364" s="120">
        <v>514</v>
      </c>
      <c r="F364" s="120">
        <v>514</v>
      </c>
      <c r="G364" s="101">
        <v>45</v>
      </c>
      <c r="H364" s="120">
        <f t="shared" si="5"/>
        <v>23130</v>
      </c>
    </row>
    <row r="365" ht="20.4" customHeight="1" spans="1:8">
      <c r="A365" s="316" t="s">
        <v>309</v>
      </c>
      <c r="B365" s="317" t="s">
        <v>117</v>
      </c>
      <c r="C365" s="317" t="s">
        <v>111</v>
      </c>
      <c r="D365" s="317" t="s">
        <v>105</v>
      </c>
      <c r="E365" s="120">
        <v>595</v>
      </c>
      <c r="F365" s="120">
        <v>595</v>
      </c>
      <c r="G365" s="101">
        <v>2.5</v>
      </c>
      <c r="H365" s="120">
        <f t="shared" si="5"/>
        <v>1487.5</v>
      </c>
    </row>
    <row r="366" ht="20.4" customHeight="1" spans="1:8">
      <c r="A366" s="316" t="s">
        <v>310</v>
      </c>
      <c r="B366" s="317" t="s">
        <v>117</v>
      </c>
      <c r="C366" s="317" t="s">
        <v>155</v>
      </c>
      <c r="D366" s="317" t="s">
        <v>105</v>
      </c>
      <c r="E366" s="120">
        <v>2381</v>
      </c>
      <c r="F366" s="120">
        <v>2381</v>
      </c>
      <c r="G366" s="101">
        <v>22</v>
      </c>
      <c r="H366" s="120">
        <f t="shared" si="5"/>
        <v>52382</v>
      </c>
    </row>
    <row r="367" ht="20.4" customHeight="1" spans="1:8">
      <c r="A367" s="316" t="s">
        <v>311</v>
      </c>
      <c r="B367" s="317" t="s">
        <v>113</v>
      </c>
      <c r="C367" s="112" t="s">
        <v>224</v>
      </c>
      <c r="D367" s="100" t="s">
        <v>115</v>
      </c>
      <c r="E367" s="101">
        <f>F342*0.5</f>
        <v>4.41</v>
      </c>
      <c r="F367" s="101">
        <f>E367</f>
        <v>4.41</v>
      </c>
      <c r="G367" s="101" t="e">
        <f>工90030</f>
        <v>#NAME?</v>
      </c>
      <c r="H367" s="120" t="e">
        <f t="shared" si="5"/>
        <v>#NAME?</v>
      </c>
    </row>
    <row r="368" ht="20.4" customHeight="1" spans="1:8">
      <c r="A368" s="190" t="s">
        <v>40</v>
      </c>
      <c r="B368" s="193"/>
      <c r="C368" s="312" t="s">
        <v>312</v>
      </c>
      <c r="D368" s="312" t="s">
        <v>89</v>
      </c>
      <c r="E368" s="193"/>
      <c r="F368" s="191">
        <v>15.97</v>
      </c>
      <c r="G368" s="191"/>
      <c r="H368" s="193" t="e">
        <f>SUM(H369,H373,H377,H382,H383,H384)</f>
        <v>#REF!</v>
      </c>
    </row>
    <row r="369" ht="20.4" customHeight="1" spans="1:8">
      <c r="A369" s="190" t="s">
        <v>162</v>
      </c>
      <c r="B369" s="193"/>
      <c r="C369" s="312" t="s">
        <v>238</v>
      </c>
      <c r="D369" s="135"/>
      <c r="E369" s="193"/>
      <c r="F369" s="191"/>
      <c r="G369" s="191"/>
      <c r="H369" s="193" t="e">
        <f>SUM(H370:H372)</f>
        <v>#REF!</v>
      </c>
    </row>
    <row r="370" ht="20.4" customHeight="1" spans="1:8">
      <c r="A370" s="99" t="s">
        <v>90</v>
      </c>
      <c r="B370" s="317" t="s">
        <v>91</v>
      </c>
      <c r="C370" s="261" t="s">
        <v>92</v>
      </c>
      <c r="D370" s="199" t="s">
        <v>93</v>
      </c>
      <c r="E370" s="267">
        <f>F368*15*320</f>
        <v>76656</v>
      </c>
      <c r="F370" s="101">
        <f>E370*0.5/100</f>
        <v>383.28</v>
      </c>
      <c r="G370" s="101" t="e">
        <f>工10304</f>
        <v>#REF!</v>
      </c>
      <c r="H370" s="120" t="e">
        <f>G370*F370</f>
        <v>#REF!</v>
      </c>
    </row>
    <row r="371" ht="20.4" customHeight="1" spans="1:8">
      <c r="A371" s="99" t="s">
        <v>212</v>
      </c>
      <c r="B371" s="317" t="s">
        <v>95</v>
      </c>
      <c r="C371" s="261" t="s">
        <v>96</v>
      </c>
      <c r="D371" s="199" t="s">
        <v>93</v>
      </c>
      <c r="E371" s="269"/>
      <c r="F371" s="101">
        <f>E370*0.3/100</f>
        <v>229.968</v>
      </c>
      <c r="G371" s="101" t="e">
        <f>工10305</f>
        <v>#REF!</v>
      </c>
      <c r="H371" s="120" t="e">
        <f>G371*F371</f>
        <v>#REF!</v>
      </c>
    </row>
    <row r="372" ht="20.4" customHeight="1" spans="1:8">
      <c r="A372" s="99" t="s">
        <v>230</v>
      </c>
      <c r="B372" s="317" t="s">
        <v>98</v>
      </c>
      <c r="C372" s="261" t="s">
        <v>99</v>
      </c>
      <c r="D372" s="199" t="s">
        <v>93</v>
      </c>
      <c r="E372" s="269"/>
      <c r="F372" s="101">
        <f>E370*0.2/100</f>
        <v>153.312</v>
      </c>
      <c r="G372" s="101">
        <f>工10306</f>
        <v>309.620525377571</v>
      </c>
      <c r="H372" s="120">
        <f>G372*F372</f>
        <v>47468.5419866861</v>
      </c>
    </row>
    <row r="373" ht="20.4" customHeight="1" spans="1:8">
      <c r="A373" s="190" t="s">
        <v>169</v>
      </c>
      <c r="B373" s="193"/>
      <c r="C373" s="312" t="s">
        <v>297</v>
      </c>
      <c r="D373" s="135"/>
      <c r="E373" s="193"/>
      <c r="F373" s="191">
        <v>1190</v>
      </c>
      <c r="G373" s="191"/>
      <c r="H373" s="193" t="e">
        <f>SUM(H374:H376)</f>
        <v>#REF!</v>
      </c>
    </row>
    <row r="374" ht="20.4" customHeight="1" spans="1:8">
      <c r="A374" s="99" t="s">
        <v>90</v>
      </c>
      <c r="B374" s="120">
        <v>10203</v>
      </c>
      <c r="C374" s="112" t="s">
        <v>172</v>
      </c>
      <c r="D374" s="100" t="s">
        <v>128</v>
      </c>
      <c r="E374" s="101">
        <v>3.62</v>
      </c>
      <c r="F374" s="101">
        <f>$F$373*E374</f>
        <v>4307.8</v>
      </c>
      <c r="G374" s="101" t="e">
        <f>工10203/100</f>
        <v>#REF!</v>
      </c>
      <c r="H374" s="120" t="e">
        <f>G374*F374</f>
        <v>#REF!</v>
      </c>
    </row>
    <row r="375" ht="20.4" customHeight="1" spans="1:8">
      <c r="A375" s="99" t="s">
        <v>94</v>
      </c>
      <c r="B375" s="120">
        <v>10345</v>
      </c>
      <c r="C375" s="112" t="s">
        <v>129</v>
      </c>
      <c r="D375" s="100" t="s">
        <v>128</v>
      </c>
      <c r="E375" s="101">
        <v>2.86</v>
      </c>
      <c r="F375" s="101">
        <f>$F$373*E375</f>
        <v>3403.4</v>
      </c>
      <c r="G375" s="101" t="e">
        <f>工10345/100</f>
        <v>#REF!</v>
      </c>
      <c r="H375" s="120" t="e">
        <f>G375*F375</f>
        <v>#REF!</v>
      </c>
    </row>
    <row r="376" ht="20.4" customHeight="1" spans="1:8">
      <c r="A376" s="99" t="s">
        <v>97</v>
      </c>
      <c r="B376" s="317" t="s">
        <v>241</v>
      </c>
      <c r="C376" s="317" t="s">
        <v>242</v>
      </c>
      <c r="D376" s="100" t="s">
        <v>128</v>
      </c>
      <c r="E376" s="101">
        <v>2.4</v>
      </c>
      <c r="F376" s="101">
        <f>$F$373*E376</f>
        <v>2856</v>
      </c>
      <c r="G376" s="101" t="e">
        <f>工宁水9010/100</f>
        <v>#NAME?</v>
      </c>
      <c r="H376" s="120" t="e">
        <f>G376*F376</f>
        <v>#NAME?</v>
      </c>
    </row>
    <row r="377" ht="20.4" customHeight="1" spans="1:8">
      <c r="A377" s="190" t="s">
        <v>250</v>
      </c>
      <c r="B377" s="193"/>
      <c r="C377" s="312" t="s">
        <v>298</v>
      </c>
      <c r="D377" s="135" t="s">
        <v>165</v>
      </c>
      <c r="E377" s="193"/>
      <c r="F377" s="191">
        <v>2820</v>
      </c>
      <c r="G377" s="191"/>
      <c r="H377" s="193" t="e">
        <f>SUM(H378:H381)</f>
        <v>#REF!</v>
      </c>
    </row>
    <row r="378" ht="20.4" customHeight="1" spans="1:8">
      <c r="A378" s="99" t="s">
        <v>90</v>
      </c>
      <c r="B378" s="120">
        <v>10334</v>
      </c>
      <c r="C378" s="318" t="s">
        <v>299</v>
      </c>
      <c r="D378" s="100" t="s">
        <v>184</v>
      </c>
      <c r="E378" s="120"/>
      <c r="F378" s="101">
        <f>F377*2</f>
        <v>5640</v>
      </c>
      <c r="G378" s="101" t="e">
        <f>工10334/12</f>
        <v>#REF!</v>
      </c>
      <c r="H378" s="120" t="e">
        <f>F378*G378</f>
        <v>#REF!</v>
      </c>
    </row>
    <row r="379" ht="20.4" customHeight="1" spans="1:8">
      <c r="A379" s="99" t="s">
        <v>94</v>
      </c>
      <c r="B379" s="317" t="s">
        <v>117</v>
      </c>
      <c r="C379" s="318" t="s">
        <v>300</v>
      </c>
      <c r="D379" s="105" t="s">
        <v>301</v>
      </c>
      <c r="E379" s="120"/>
      <c r="F379" s="101">
        <f>F377*4</f>
        <v>11280</v>
      </c>
      <c r="G379" s="101">
        <v>13</v>
      </c>
      <c r="H379" s="120">
        <f>F379*G379</f>
        <v>146640</v>
      </c>
    </row>
    <row r="380" ht="20.4" customHeight="1" spans="1:8">
      <c r="A380" s="99" t="s">
        <v>97</v>
      </c>
      <c r="B380" s="317" t="s">
        <v>302</v>
      </c>
      <c r="C380" s="317" t="s">
        <v>303</v>
      </c>
      <c r="D380" s="100" t="s">
        <v>128</v>
      </c>
      <c r="E380" s="101">
        <f>E381*0.2</f>
        <v>0.4</v>
      </c>
      <c r="F380" s="101">
        <f>F377*E380</f>
        <v>1128</v>
      </c>
      <c r="G380" s="101" t="e">
        <f>工30003改/100</f>
        <v>#NAME?</v>
      </c>
      <c r="H380" s="120" t="e">
        <f>G380*F380</f>
        <v>#NAME?</v>
      </c>
    </row>
    <row r="381" ht="20.4" customHeight="1" spans="1:8">
      <c r="A381" s="99" t="s">
        <v>109</v>
      </c>
      <c r="B381" s="317" t="s">
        <v>117</v>
      </c>
      <c r="C381" s="317" t="s">
        <v>304</v>
      </c>
      <c r="D381" s="100" t="s">
        <v>184</v>
      </c>
      <c r="E381" s="101">
        <v>2</v>
      </c>
      <c r="F381" s="101">
        <f>F377*E381</f>
        <v>5640</v>
      </c>
      <c r="G381" s="101">
        <v>45</v>
      </c>
      <c r="H381" s="120">
        <f>G381*F381</f>
        <v>253800</v>
      </c>
    </row>
    <row r="382" ht="20.4" customHeight="1" spans="1:8">
      <c r="A382" s="190" t="s">
        <v>313</v>
      </c>
      <c r="B382" s="193"/>
      <c r="C382" s="312" t="s">
        <v>305</v>
      </c>
      <c r="D382" s="135" t="s">
        <v>306</v>
      </c>
      <c r="E382" s="193"/>
      <c r="F382" s="191">
        <v>2</v>
      </c>
      <c r="G382" s="191">
        <v>25700</v>
      </c>
      <c r="H382" s="193">
        <f>G382*F382</f>
        <v>51400</v>
      </c>
    </row>
    <row r="383" ht="20.4" customHeight="1" spans="1:8">
      <c r="A383" s="190" t="s">
        <v>314</v>
      </c>
      <c r="B383" s="193"/>
      <c r="C383" s="319" t="s">
        <v>307</v>
      </c>
      <c r="D383" s="135" t="s">
        <v>306</v>
      </c>
      <c r="E383" s="193"/>
      <c r="F383" s="191">
        <v>4</v>
      </c>
      <c r="G383" s="191">
        <v>25000</v>
      </c>
      <c r="H383" s="193">
        <f>G383*F383</f>
        <v>100000</v>
      </c>
    </row>
    <row r="384" ht="20.4" customHeight="1" spans="1:8">
      <c r="A384" s="190" t="s">
        <v>315</v>
      </c>
      <c r="B384" s="193"/>
      <c r="C384" s="312" t="s">
        <v>308</v>
      </c>
      <c r="D384" s="135"/>
      <c r="E384" s="193"/>
      <c r="F384" s="191"/>
      <c r="G384" s="191"/>
      <c r="H384" s="193" t="e">
        <f>SUM(H385:H393)</f>
        <v>#NAME?</v>
      </c>
    </row>
    <row r="385" ht="20.4" customHeight="1" spans="1:8">
      <c r="A385" s="316" t="s">
        <v>90</v>
      </c>
      <c r="B385" s="317" t="s">
        <v>117</v>
      </c>
      <c r="C385" s="317" t="s">
        <v>104</v>
      </c>
      <c r="D385" s="317" t="s">
        <v>105</v>
      </c>
      <c r="E385" s="120">
        <v>2173</v>
      </c>
      <c r="F385" s="120">
        <f>E385</f>
        <v>2173</v>
      </c>
      <c r="G385" s="101">
        <v>25</v>
      </c>
      <c r="H385" s="120">
        <f t="shared" ref="H385:H393" si="6">G385*F385</f>
        <v>54325</v>
      </c>
    </row>
    <row r="386" ht="20.4" customHeight="1" spans="1:8">
      <c r="A386" s="316" t="s">
        <v>94</v>
      </c>
      <c r="B386" s="317" t="s">
        <v>117</v>
      </c>
      <c r="C386" s="317" t="s">
        <v>107</v>
      </c>
      <c r="D386" s="317" t="s">
        <v>105</v>
      </c>
      <c r="E386" s="120">
        <v>2173</v>
      </c>
      <c r="F386" s="120">
        <f t="shared" ref="F386:F393" si="7">E386</f>
        <v>2173</v>
      </c>
      <c r="G386" s="101">
        <v>18</v>
      </c>
      <c r="H386" s="120">
        <f t="shared" si="6"/>
        <v>39114</v>
      </c>
    </row>
    <row r="387" ht="20.4" customHeight="1" spans="1:8">
      <c r="A387" s="316" t="s">
        <v>97</v>
      </c>
      <c r="B387" s="317" t="s">
        <v>117</v>
      </c>
      <c r="C387" s="317" t="s">
        <v>219</v>
      </c>
      <c r="D387" s="317" t="s">
        <v>105</v>
      </c>
      <c r="E387" s="120">
        <v>2173</v>
      </c>
      <c r="F387" s="120">
        <f t="shared" si="7"/>
        <v>2173</v>
      </c>
      <c r="G387" s="101">
        <v>21</v>
      </c>
      <c r="H387" s="120">
        <f t="shared" si="6"/>
        <v>45633</v>
      </c>
    </row>
    <row r="388" ht="20.4" customHeight="1" spans="1:8">
      <c r="A388" s="316" t="s">
        <v>109</v>
      </c>
      <c r="B388" s="317" t="s">
        <v>117</v>
      </c>
      <c r="C388" s="317" t="s">
        <v>152</v>
      </c>
      <c r="D388" s="317" t="s">
        <v>105</v>
      </c>
      <c r="E388" s="120">
        <v>932</v>
      </c>
      <c r="F388" s="120">
        <f t="shared" si="7"/>
        <v>932</v>
      </c>
      <c r="G388" s="101">
        <v>42</v>
      </c>
      <c r="H388" s="120">
        <f t="shared" si="6"/>
        <v>39144</v>
      </c>
    </row>
    <row r="389" ht="20.4" customHeight="1" spans="1:8">
      <c r="A389" s="316" t="s">
        <v>112</v>
      </c>
      <c r="B389" s="317" t="s">
        <v>117</v>
      </c>
      <c r="C389" s="317" t="s">
        <v>153</v>
      </c>
      <c r="D389" s="317" t="s">
        <v>105</v>
      </c>
      <c r="E389" s="120">
        <v>932</v>
      </c>
      <c r="F389" s="120">
        <f t="shared" si="7"/>
        <v>932</v>
      </c>
      <c r="G389" s="101">
        <v>50</v>
      </c>
      <c r="H389" s="120">
        <f t="shared" si="6"/>
        <v>46600</v>
      </c>
    </row>
    <row r="390" ht="20.4" customHeight="1" spans="1:8">
      <c r="A390" s="316" t="s">
        <v>116</v>
      </c>
      <c r="B390" s="317" t="s">
        <v>117</v>
      </c>
      <c r="C390" s="317" t="s">
        <v>204</v>
      </c>
      <c r="D390" s="317" t="s">
        <v>105</v>
      </c>
      <c r="E390" s="120">
        <v>932</v>
      </c>
      <c r="F390" s="120">
        <f t="shared" si="7"/>
        <v>932</v>
      </c>
      <c r="G390" s="101">
        <v>45</v>
      </c>
      <c r="H390" s="120">
        <f t="shared" si="6"/>
        <v>41940</v>
      </c>
    </row>
    <row r="391" ht="20.4" customHeight="1" spans="1:8">
      <c r="A391" s="316" t="s">
        <v>309</v>
      </c>
      <c r="B391" s="317" t="s">
        <v>117</v>
      </c>
      <c r="C391" s="317" t="s">
        <v>111</v>
      </c>
      <c r="D391" s="317" t="s">
        <v>105</v>
      </c>
      <c r="E391" s="120">
        <v>1009</v>
      </c>
      <c r="F391" s="120">
        <f t="shared" si="7"/>
        <v>1009</v>
      </c>
      <c r="G391" s="101">
        <v>2.5</v>
      </c>
      <c r="H391" s="120">
        <f t="shared" si="6"/>
        <v>2522.5</v>
      </c>
    </row>
    <row r="392" ht="20.4" customHeight="1" spans="1:8">
      <c r="A392" s="316" t="s">
        <v>310</v>
      </c>
      <c r="B392" s="317" t="s">
        <v>117</v>
      </c>
      <c r="C392" s="317" t="s">
        <v>155</v>
      </c>
      <c r="D392" s="317" t="s">
        <v>105</v>
      </c>
      <c r="E392" s="120">
        <v>4037</v>
      </c>
      <c r="F392" s="120">
        <f t="shared" si="7"/>
        <v>4037</v>
      </c>
      <c r="G392" s="101">
        <v>22</v>
      </c>
      <c r="H392" s="120">
        <f t="shared" si="6"/>
        <v>88814</v>
      </c>
    </row>
    <row r="393" ht="20.4" customHeight="1" spans="1:8">
      <c r="A393" s="316" t="s">
        <v>311</v>
      </c>
      <c r="B393" s="317" t="s">
        <v>113</v>
      </c>
      <c r="C393" s="112" t="s">
        <v>224</v>
      </c>
      <c r="D393" s="100" t="s">
        <v>115</v>
      </c>
      <c r="E393" s="101">
        <f>F368*0.5</f>
        <v>7.985</v>
      </c>
      <c r="F393" s="101">
        <f t="shared" si="7"/>
        <v>7.985</v>
      </c>
      <c r="G393" s="101" t="e">
        <f>工90030</f>
        <v>#NAME?</v>
      </c>
      <c r="H393" s="120" t="e">
        <f t="shared" si="6"/>
        <v>#NAME?</v>
      </c>
    </row>
    <row r="394" ht="20.4" customHeight="1" spans="1:8">
      <c r="A394" s="190" t="s">
        <v>42</v>
      </c>
      <c r="B394" s="193"/>
      <c r="C394" s="312" t="s">
        <v>316</v>
      </c>
      <c r="D394" s="312" t="s">
        <v>89</v>
      </c>
      <c r="E394" s="193"/>
      <c r="F394" s="191">
        <v>5.61</v>
      </c>
      <c r="G394" s="191"/>
      <c r="H394" s="193" t="e">
        <f>SUM(H395,H399,H403,H408,H409,H410)</f>
        <v>#REF!</v>
      </c>
    </row>
    <row r="395" ht="20.4" customHeight="1" spans="1:8">
      <c r="A395" s="190" t="s">
        <v>174</v>
      </c>
      <c r="B395" s="193"/>
      <c r="C395" s="312" t="s">
        <v>238</v>
      </c>
      <c r="D395" s="135"/>
      <c r="E395" s="193"/>
      <c r="F395" s="191"/>
      <c r="G395" s="191"/>
      <c r="H395" s="193" t="e">
        <f>SUM(H396:H398)</f>
        <v>#REF!</v>
      </c>
    </row>
    <row r="396" ht="20.4" customHeight="1" spans="1:8">
      <c r="A396" s="99" t="s">
        <v>90</v>
      </c>
      <c r="B396" s="317" t="s">
        <v>91</v>
      </c>
      <c r="C396" s="261" t="s">
        <v>92</v>
      </c>
      <c r="D396" s="199" t="s">
        <v>93</v>
      </c>
      <c r="E396" s="267">
        <f>F394*15*320</f>
        <v>26928</v>
      </c>
      <c r="F396" s="101">
        <f>E396*0.5/100</f>
        <v>134.64</v>
      </c>
      <c r="G396" s="101" t="e">
        <f>工10304</f>
        <v>#REF!</v>
      </c>
      <c r="H396" s="120" t="e">
        <f>G396*F396</f>
        <v>#REF!</v>
      </c>
    </row>
    <row r="397" ht="20.4" customHeight="1" spans="1:8">
      <c r="A397" s="99" t="s">
        <v>212</v>
      </c>
      <c r="B397" s="317" t="s">
        <v>95</v>
      </c>
      <c r="C397" s="261" t="s">
        <v>96</v>
      </c>
      <c r="D397" s="199" t="s">
        <v>93</v>
      </c>
      <c r="E397" s="269"/>
      <c r="F397" s="101">
        <f>E396*0.3/100</f>
        <v>80.784</v>
      </c>
      <c r="G397" s="101" t="e">
        <f>工10305</f>
        <v>#REF!</v>
      </c>
      <c r="H397" s="120" t="e">
        <f>G397*F397</f>
        <v>#REF!</v>
      </c>
    </row>
    <row r="398" ht="20.4" customHeight="1" spans="1:8">
      <c r="A398" s="99" t="s">
        <v>230</v>
      </c>
      <c r="B398" s="317" t="s">
        <v>98</v>
      </c>
      <c r="C398" s="261" t="s">
        <v>99</v>
      </c>
      <c r="D398" s="199" t="s">
        <v>93</v>
      </c>
      <c r="E398" s="269"/>
      <c r="F398" s="101">
        <f>E396*0.2/100</f>
        <v>53.856</v>
      </c>
      <c r="G398" s="101">
        <f>工10306</f>
        <v>309.620525377571</v>
      </c>
      <c r="H398" s="120">
        <f>G398*F398</f>
        <v>16674.9230147344</v>
      </c>
    </row>
    <row r="399" ht="20.4" customHeight="1" spans="1:8">
      <c r="A399" s="190" t="s">
        <v>252</v>
      </c>
      <c r="B399" s="193"/>
      <c r="C399" s="312" t="s">
        <v>297</v>
      </c>
      <c r="D399" s="135"/>
      <c r="E399" s="193"/>
      <c r="F399" s="191">
        <v>960</v>
      </c>
      <c r="G399" s="191"/>
      <c r="H399" s="193" t="e">
        <f>SUM(H400:H402)</f>
        <v>#REF!</v>
      </c>
    </row>
    <row r="400" ht="20.4" customHeight="1" spans="1:8">
      <c r="A400" s="99" t="s">
        <v>90</v>
      </c>
      <c r="B400" s="120">
        <v>10203</v>
      </c>
      <c r="C400" s="112" t="s">
        <v>172</v>
      </c>
      <c r="D400" s="100" t="s">
        <v>128</v>
      </c>
      <c r="E400" s="101">
        <v>3.62</v>
      </c>
      <c r="F400" s="101">
        <f>$F$399*E400</f>
        <v>3475.2</v>
      </c>
      <c r="G400" s="101" t="e">
        <f>工10203/100</f>
        <v>#REF!</v>
      </c>
      <c r="H400" s="120" t="e">
        <f>G400*F400</f>
        <v>#REF!</v>
      </c>
    </row>
    <row r="401" ht="20.4" customHeight="1" spans="1:8">
      <c r="A401" s="99" t="s">
        <v>94</v>
      </c>
      <c r="B401" s="120">
        <v>10345</v>
      </c>
      <c r="C401" s="112" t="s">
        <v>129</v>
      </c>
      <c r="D401" s="100" t="s">
        <v>128</v>
      </c>
      <c r="E401" s="101">
        <v>2.86</v>
      </c>
      <c r="F401" s="101">
        <f>$F$399*E401</f>
        <v>2745.6</v>
      </c>
      <c r="G401" s="101" t="e">
        <f>工10345/100</f>
        <v>#REF!</v>
      </c>
      <c r="H401" s="120" t="e">
        <f>G401*F401</f>
        <v>#REF!</v>
      </c>
    </row>
    <row r="402" ht="20.4" customHeight="1" spans="1:8">
      <c r="A402" s="99" t="s">
        <v>97</v>
      </c>
      <c r="B402" s="317" t="s">
        <v>241</v>
      </c>
      <c r="C402" s="317" t="s">
        <v>242</v>
      </c>
      <c r="D402" s="100" t="s">
        <v>128</v>
      </c>
      <c r="E402" s="101">
        <v>2.4</v>
      </c>
      <c r="F402" s="101">
        <f>$F$399*E402</f>
        <v>2304</v>
      </c>
      <c r="G402" s="101" t="e">
        <f>工宁水9010/100</f>
        <v>#NAME?</v>
      </c>
      <c r="H402" s="120" t="e">
        <f>G402*F402</f>
        <v>#NAME?</v>
      </c>
    </row>
    <row r="403" ht="20.4" customHeight="1" spans="1:8">
      <c r="A403" s="190" t="s">
        <v>253</v>
      </c>
      <c r="B403" s="193"/>
      <c r="C403" s="312" t="s">
        <v>298</v>
      </c>
      <c r="D403" s="135" t="s">
        <v>165</v>
      </c>
      <c r="E403" s="193"/>
      <c r="F403" s="191">
        <v>2035</v>
      </c>
      <c r="G403" s="191"/>
      <c r="H403" s="193" t="e">
        <f>SUM(H404:H407)</f>
        <v>#REF!</v>
      </c>
    </row>
    <row r="404" ht="20.4" customHeight="1" spans="1:8">
      <c r="A404" s="99" t="s">
        <v>90</v>
      </c>
      <c r="B404" s="120">
        <v>10334</v>
      </c>
      <c r="C404" s="318" t="s">
        <v>299</v>
      </c>
      <c r="D404" s="100" t="s">
        <v>184</v>
      </c>
      <c r="E404" s="120"/>
      <c r="F404" s="101">
        <f>F403*2</f>
        <v>4070</v>
      </c>
      <c r="G404" s="101" t="e">
        <f>工10334/12</f>
        <v>#REF!</v>
      </c>
      <c r="H404" s="120" t="e">
        <f>F404*G404</f>
        <v>#REF!</v>
      </c>
    </row>
    <row r="405" ht="20.4" customHeight="1" spans="1:8">
      <c r="A405" s="99" t="s">
        <v>94</v>
      </c>
      <c r="B405" s="317" t="s">
        <v>117</v>
      </c>
      <c r="C405" s="318" t="s">
        <v>300</v>
      </c>
      <c r="D405" s="105" t="s">
        <v>301</v>
      </c>
      <c r="E405" s="120"/>
      <c r="F405" s="101">
        <f>F403*4</f>
        <v>8140</v>
      </c>
      <c r="G405" s="101">
        <v>13</v>
      </c>
      <c r="H405" s="120">
        <f>F405*G405</f>
        <v>105820</v>
      </c>
    </row>
    <row r="406" ht="20.4" customHeight="1" spans="1:8">
      <c r="A406" s="99" t="s">
        <v>97</v>
      </c>
      <c r="B406" s="317" t="s">
        <v>302</v>
      </c>
      <c r="C406" s="317" t="s">
        <v>303</v>
      </c>
      <c r="D406" s="100" t="s">
        <v>128</v>
      </c>
      <c r="E406" s="101">
        <f>E407*0.2</f>
        <v>0.4</v>
      </c>
      <c r="F406" s="101">
        <f>F403*E406</f>
        <v>814</v>
      </c>
      <c r="G406" s="101" t="e">
        <f>工30003改/100</f>
        <v>#NAME?</v>
      </c>
      <c r="H406" s="120" t="e">
        <f>G406*F406</f>
        <v>#NAME?</v>
      </c>
    </row>
    <row r="407" ht="20.4" customHeight="1" spans="1:8">
      <c r="A407" s="99" t="s">
        <v>109</v>
      </c>
      <c r="B407" s="317" t="s">
        <v>117</v>
      </c>
      <c r="C407" s="317" t="s">
        <v>304</v>
      </c>
      <c r="D407" s="100" t="s">
        <v>184</v>
      </c>
      <c r="E407" s="101">
        <v>2</v>
      </c>
      <c r="F407" s="101">
        <f>F403*E407</f>
        <v>4070</v>
      </c>
      <c r="G407" s="101">
        <v>45</v>
      </c>
      <c r="H407" s="120">
        <f>G407*F407</f>
        <v>183150</v>
      </c>
    </row>
    <row r="408" ht="20.4" customHeight="1" spans="1:8">
      <c r="A408" s="190" t="s">
        <v>317</v>
      </c>
      <c r="B408" s="193"/>
      <c r="C408" s="312" t="s">
        <v>305</v>
      </c>
      <c r="D408" s="135" t="s">
        <v>306</v>
      </c>
      <c r="E408" s="193"/>
      <c r="F408" s="191"/>
      <c r="G408" s="191">
        <v>25700</v>
      </c>
      <c r="H408" s="193">
        <f>G408*F408</f>
        <v>0</v>
      </c>
    </row>
    <row r="409" ht="20.4" customHeight="1" spans="1:8">
      <c r="A409" s="190" t="s">
        <v>318</v>
      </c>
      <c r="B409" s="193"/>
      <c r="C409" s="319" t="s">
        <v>307</v>
      </c>
      <c r="D409" s="135" t="s">
        <v>306</v>
      </c>
      <c r="E409" s="193"/>
      <c r="F409" s="191">
        <v>3</v>
      </c>
      <c r="G409" s="191">
        <v>25000</v>
      </c>
      <c r="H409" s="193">
        <f>G409*F409</f>
        <v>75000</v>
      </c>
    </row>
    <row r="410" ht="20.4" customHeight="1" spans="1:8">
      <c r="A410" s="190" t="s">
        <v>319</v>
      </c>
      <c r="B410" s="193"/>
      <c r="C410" s="312" t="s">
        <v>308</v>
      </c>
      <c r="D410" s="135"/>
      <c r="E410" s="193"/>
      <c r="F410" s="191"/>
      <c r="G410" s="191"/>
      <c r="H410" s="193" t="e">
        <f>SUM(H411:H419)</f>
        <v>#NAME?</v>
      </c>
    </row>
    <row r="411" ht="20.4" customHeight="1" spans="1:8">
      <c r="A411" s="316" t="s">
        <v>90</v>
      </c>
      <c r="B411" s="317" t="s">
        <v>117</v>
      </c>
      <c r="C411" s="317" t="s">
        <v>104</v>
      </c>
      <c r="D411" s="317" t="s">
        <v>105</v>
      </c>
      <c r="E411" s="120">
        <v>764</v>
      </c>
      <c r="F411" s="120">
        <f>E411</f>
        <v>764</v>
      </c>
      <c r="G411" s="101">
        <v>25</v>
      </c>
      <c r="H411" s="120">
        <f t="shared" ref="H411:H419" si="8">G411*F411</f>
        <v>19100</v>
      </c>
    </row>
    <row r="412" ht="20.4" customHeight="1" spans="1:8">
      <c r="A412" s="316" t="s">
        <v>94</v>
      </c>
      <c r="B412" s="317" t="s">
        <v>117</v>
      </c>
      <c r="C412" s="317" t="s">
        <v>107</v>
      </c>
      <c r="D412" s="317" t="s">
        <v>105</v>
      </c>
      <c r="E412" s="120">
        <v>764</v>
      </c>
      <c r="F412" s="120">
        <f t="shared" ref="F412:F419" si="9">E412</f>
        <v>764</v>
      </c>
      <c r="G412" s="101">
        <v>18</v>
      </c>
      <c r="H412" s="120">
        <f t="shared" si="8"/>
        <v>13752</v>
      </c>
    </row>
    <row r="413" ht="20.4" customHeight="1" spans="1:8">
      <c r="A413" s="316" t="s">
        <v>97</v>
      </c>
      <c r="B413" s="317" t="s">
        <v>117</v>
      </c>
      <c r="C413" s="317" t="s">
        <v>219</v>
      </c>
      <c r="D413" s="317" t="s">
        <v>105</v>
      </c>
      <c r="E413" s="120">
        <v>764</v>
      </c>
      <c r="F413" s="120">
        <f t="shared" si="9"/>
        <v>764</v>
      </c>
      <c r="G413" s="101">
        <v>21</v>
      </c>
      <c r="H413" s="120">
        <f t="shared" si="8"/>
        <v>16044</v>
      </c>
    </row>
    <row r="414" ht="20.4" customHeight="1" spans="1:8">
      <c r="A414" s="316" t="s">
        <v>109</v>
      </c>
      <c r="B414" s="317" t="s">
        <v>117</v>
      </c>
      <c r="C414" s="317" t="s">
        <v>152</v>
      </c>
      <c r="D414" s="317" t="s">
        <v>105</v>
      </c>
      <c r="E414" s="120">
        <v>327</v>
      </c>
      <c r="F414" s="120">
        <f t="shared" si="9"/>
        <v>327</v>
      </c>
      <c r="G414" s="101">
        <v>42</v>
      </c>
      <c r="H414" s="120">
        <f t="shared" si="8"/>
        <v>13734</v>
      </c>
    </row>
    <row r="415" ht="20.4" customHeight="1" spans="1:8">
      <c r="A415" s="316" t="s">
        <v>112</v>
      </c>
      <c r="B415" s="317" t="s">
        <v>117</v>
      </c>
      <c r="C415" s="317" t="s">
        <v>153</v>
      </c>
      <c r="D415" s="317" t="s">
        <v>105</v>
      </c>
      <c r="E415" s="120">
        <v>327</v>
      </c>
      <c r="F415" s="120">
        <f t="shared" si="9"/>
        <v>327</v>
      </c>
      <c r="G415" s="101">
        <v>50</v>
      </c>
      <c r="H415" s="120">
        <f t="shared" si="8"/>
        <v>16350</v>
      </c>
    </row>
    <row r="416" ht="20.4" customHeight="1" spans="1:8">
      <c r="A416" s="316" t="s">
        <v>116</v>
      </c>
      <c r="B416" s="317" t="s">
        <v>117</v>
      </c>
      <c r="C416" s="317" t="s">
        <v>204</v>
      </c>
      <c r="D416" s="317" t="s">
        <v>105</v>
      </c>
      <c r="E416" s="120">
        <v>327</v>
      </c>
      <c r="F416" s="120">
        <f t="shared" si="9"/>
        <v>327</v>
      </c>
      <c r="G416" s="101">
        <v>45</v>
      </c>
      <c r="H416" s="120">
        <f t="shared" si="8"/>
        <v>14715</v>
      </c>
    </row>
    <row r="417" ht="20.4" customHeight="1" spans="1:8">
      <c r="A417" s="316" t="s">
        <v>309</v>
      </c>
      <c r="B417" s="317" t="s">
        <v>117</v>
      </c>
      <c r="C417" s="317" t="s">
        <v>111</v>
      </c>
      <c r="D417" s="317" t="s">
        <v>105</v>
      </c>
      <c r="E417" s="120">
        <v>1009</v>
      </c>
      <c r="F417" s="120">
        <f t="shared" si="9"/>
        <v>1009</v>
      </c>
      <c r="G417" s="101">
        <v>2.5</v>
      </c>
      <c r="H417" s="120">
        <f t="shared" si="8"/>
        <v>2522.5</v>
      </c>
    </row>
    <row r="418" ht="20.4" customHeight="1" spans="1:8">
      <c r="A418" s="316" t="s">
        <v>310</v>
      </c>
      <c r="B418" s="317" t="s">
        <v>117</v>
      </c>
      <c r="C418" s="317" t="s">
        <v>155</v>
      </c>
      <c r="D418" s="317" t="s">
        <v>105</v>
      </c>
      <c r="E418" s="120">
        <v>3056</v>
      </c>
      <c r="F418" s="120">
        <f t="shared" si="9"/>
        <v>3056</v>
      </c>
      <c r="G418" s="101">
        <v>22</v>
      </c>
      <c r="H418" s="120">
        <f t="shared" si="8"/>
        <v>67232</v>
      </c>
    </row>
    <row r="419" ht="20.4" customHeight="1" spans="1:8">
      <c r="A419" s="316" t="s">
        <v>311</v>
      </c>
      <c r="B419" s="317" t="s">
        <v>113</v>
      </c>
      <c r="C419" s="112" t="s">
        <v>224</v>
      </c>
      <c r="D419" s="100" t="s">
        <v>115</v>
      </c>
      <c r="E419" s="101">
        <f>F394*0.6</f>
        <v>3.366</v>
      </c>
      <c r="F419" s="101">
        <f t="shared" si="9"/>
        <v>3.366</v>
      </c>
      <c r="G419" s="101" t="e">
        <f>工90030</f>
        <v>#NAME?</v>
      </c>
      <c r="H419" s="120" t="e">
        <f t="shared" si="8"/>
        <v>#NAME?</v>
      </c>
    </row>
    <row r="420" ht="20.4" customHeight="1" spans="1:8">
      <c r="A420" s="190" t="s">
        <v>179</v>
      </c>
      <c r="B420" s="193"/>
      <c r="C420" s="312" t="s">
        <v>320</v>
      </c>
      <c r="D420" s="312" t="s">
        <v>89</v>
      </c>
      <c r="E420" s="193"/>
      <c r="F420" s="191">
        <v>2.47</v>
      </c>
      <c r="G420" s="191"/>
      <c r="H420" s="193" t="e">
        <f>SUM(H421,H425,H429,H434,H435,H436)</f>
        <v>#REF!</v>
      </c>
    </row>
    <row r="421" ht="20.4" customHeight="1" spans="1:8">
      <c r="A421" s="190" t="s">
        <v>181</v>
      </c>
      <c r="B421" s="193"/>
      <c r="C421" s="312" t="s">
        <v>238</v>
      </c>
      <c r="D421" s="135"/>
      <c r="E421" s="193"/>
      <c r="F421" s="191"/>
      <c r="G421" s="191"/>
      <c r="H421" s="193" t="e">
        <f>SUM(H422:H424)</f>
        <v>#REF!</v>
      </c>
    </row>
    <row r="422" ht="20.4" customHeight="1" spans="1:8">
      <c r="A422" s="99" t="s">
        <v>90</v>
      </c>
      <c r="B422" s="317" t="s">
        <v>91</v>
      </c>
      <c r="C422" s="261" t="s">
        <v>92</v>
      </c>
      <c r="D422" s="199" t="s">
        <v>93</v>
      </c>
      <c r="E422" s="267">
        <f>F420*15*320</f>
        <v>11856</v>
      </c>
      <c r="F422" s="101">
        <f>E422*0.5/100</f>
        <v>59.28</v>
      </c>
      <c r="G422" s="101" t="e">
        <f>工10304</f>
        <v>#REF!</v>
      </c>
      <c r="H422" s="120" t="e">
        <f>G422*F422</f>
        <v>#REF!</v>
      </c>
    </row>
    <row r="423" ht="20.4" customHeight="1" spans="1:8">
      <c r="A423" s="99" t="s">
        <v>212</v>
      </c>
      <c r="B423" s="317" t="s">
        <v>95</v>
      </c>
      <c r="C423" s="261" t="s">
        <v>96</v>
      </c>
      <c r="D423" s="199" t="s">
        <v>93</v>
      </c>
      <c r="E423" s="269"/>
      <c r="F423" s="101">
        <f>E422*0.3/100</f>
        <v>35.568</v>
      </c>
      <c r="G423" s="101" t="e">
        <f>工10305</f>
        <v>#REF!</v>
      </c>
      <c r="H423" s="120" t="e">
        <f>G423*F423</f>
        <v>#REF!</v>
      </c>
    </row>
    <row r="424" ht="20.4" customHeight="1" spans="1:8">
      <c r="A424" s="99" t="s">
        <v>230</v>
      </c>
      <c r="B424" s="317" t="s">
        <v>98</v>
      </c>
      <c r="C424" s="261" t="s">
        <v>99</v>
      </c>
      <c r="D424" s="199" t="s">
        <v>93</v>
      </c>
      <c r="E424" s="269"/>
      <c r="F424" s="101">
        <f>E422*0.2/100</f>
        <v>23.712</v>
      </c>
      <c r="G424" s="101">
        <f>工10306</f>
        <v>309.620525377571</v>
      </c>
      <c r="H424" s="120">
        <f>G424*F424</f>
        <v>7341.72189775295</v>
      </c>
    </row>
    <row r="425" ht="20.4" customHeight="1" spans="1:8">
      <c r="A425" s="190" t="s">
        <v>185</v>
      </c>
      <c r="B425" s="193"/>
      <c r="C425" s="312" t="s">
        <v>297</v>
      </c>
      <c r="D425" s="135"/>
      <c r="E425" s="193"/>
      <c r="F425" s="191">
        <v>560</v>
      </c>
      <c r="G425" s="191"/>
      <c r="H425" s="193" t="e">
        <f>SUM(H426:H428)</f>
        <v>#REF!</v>
      </c>
    </row>
    <row r="426" ht="20.4" customHeight="1" spans="1:8">
      <c r="A426" s="99" t="s">
        <v>90</v>
      </c>
      <c r="B426" s="120">
        <v>10203</v>
      </c>
      <c r="C426" s="112" t="s">
        <v>172</v>
      </c>
      <c r="D426" s="100" t="s">
        <v>128</v>
      </c>
      <c r="E426" s="101">
        <v>3.62</v>
      </c>
      <c r="F426" s="101">
        <f>$F$425*E426</f>
        <v>2027.2</v>
      </c>
      <c r="G426" s="101" t="e">
        <f>工10203/100</f>
        <v>#REF!</v>
      </c>
      <c r="H426" s="120" t="e">
        <f>G426*F426</f>
        <v>#REF!</v>
      </c>
    </row>
    <row r="427" ht="20.4" customHeight="1" spans="1:8">
      <c r="A427" s="99" t="s">
        <v>94</v>
      </c>
      <c r="B427" s="120">
        <v>10345</v>
      </c>
      <c r="C427" s="112" t="s">
        <v>129</v>
      </c>
      <c r="D427" s="100" t="s">
        <v>128</v>
      </c>
      <c r="E427" s="101">
        <v>2.86</v>
      </c>
      <c r="F427" s="101">
        <f>$F$425*E427</f>
        <v>1601.6</v>
      </c>
      <c r="G427" s="101" t="e">
        <f>工10345/100</f>
        <v>#REF!</v>
      </c>
      <c r="H427" s="120" t="e">
        <f>G427*F427</f>
        <v>#REF!</v>
      </c>
    </row>
    <row r="428" ht="20.4" customHeight="1" spans="1:8">
      <c r="A428" s="99" t="s">
        <v>97</v>
      </c>
      <c r="B428" s="317" t="s">
        <v>241</v>
      </c>
      <c r="C428" s="317" t="s">
        <v>242</v>
      </c>
      <c r="D428" s="100" t="s">
        <v>128</v>
      </c>
      <c r="E428" s="101">
        <v>2.4</v>
      </c>
      <c r="F428" s="101">
        <f>$F$425*E428</f>
        <v>1344</v>
      </c>
      <c r="G428" s="101" t="e">
        <f>工宁水9010/100</f>
        <v>#NAME?</v>
      </c>
      <c r="H428" s="120" t="e">
        <f>G428*F428</f>
        <v>#NAME?</v>
      </c>
    </row>
    <row r="429" ht="20.4" customHeight="1" spans="1:8">
      <c r="A429" s="190" t="s">
        <v>194</v>
      </c>
      <c r="B429" s="193"/>
      <c r="C429" s="312" t="s">
        <v>298</v>
      </c>
      <c r="D429" s="135" t="s">
        <v>165</v>
      </c>
      <c r="E429" s="193"/>
      <c r="F429" s="191">
        <v>1180</v>
      </c>
      <c r="G429" s="191"/>
      <c r="H429" s="193" t="e">
        <f>SUM(H430:H433)</f>
        <v>#REF!</v>
      </c>
    </row>
    <row r="430" ht="20.4" customHeight="1" spans="1:8">
      <c r="A430" s="99" t="s">
        <v>90</v>
      </c>
      <c r="B430" s="120">
        <v>10334</v>
      </c>
      <c r="C430" s="318" t="s">
        <v>299</v>
      </c>
      <c r="D430" s="100" t="s">
        <v>184</v>
      </c>
      <c r="E430" s="120"/>
      <c r="F430" s="101">
        <f>F429*2</f>
        <v>2360</v>
      </c>
      <c r="G430" s="101" t="e">
        <f>工10334/12</f>
        <v>#REF!</v>
      </c>
      <c r="H430" s="120" t="e">
        <f>F430*G430</f>
        <v>#REF!</v>
      </c>
    </row>
    <row r="431" ht="20.4" customHeight="1" spans="1:8">
      <c r="A431" s="99" t="s">
        <v>94</v>
      </c>
      <c r="B431" s="317" t="s">
        <v>117</v>
      </c>
      <c r="C431" s="318" t="s">
        <v>300</v>
      </c>
      <c r="D431" s="105" t="s">
        <v>301</v>
      </c>
      <c r="E431" s="120"/>
      <c r="F431" s="101">
        <f>F429*4</f>
        <v>4720</v>
      </c>
      <c r="G431" s="101">
        <v>13</v>
      </c>
      <c r="H431" s="120">
        <f>F431*G431</f>
        <v>61360</v>
      </c>
    </row>
    <row r="432" ht="20.4" customHeight="1" spans="1:8">
      <c r="A432" s="99" t="s">
        <v>97</v>
      </c>
      <c r="B432" s="317" t="s">
        <v>302</v>
      </c>
      <c r="C432" s="317" t="s">
        <v>303</v>
      </c>
      <c r="D432" s="100" t="s">
        <v>128</v>
      </c>
      <c r="E432" s="101">
        <f>E433*0.2</f>
        <v>0.4</v>
      </c>
      <c r="F432" s="101">
        <f>F429*E432</f>
        <v>472</v>
      </c>
      <c r="G432" s="101" t="e">
        <f>工30003改/100</f>
        <v>#NAME?</v>
      </c>
      <c r="H432" s="120" t="e">
        <f>G432*F432</f>
        <v>#NAME?</v>
      </c>
    </row>
    <row r="433" ht="20.4" customHeight="1" spans="1:8">
      <c r="A433" s="99" t="s">
        <v>109</v>
      </c>
      <c r="B433" s="317" t="s">
        <v>117</v>
      </c>
      <c r="C433" s="317" t="s">
        <v>304</v>
      </c>
      <c r="D433" s="100" t="s">
        <v>184</v>
      </c>
      <c r="E433" s="101">
        <v>2</v>
      </c>
      <c r="F433" s="101">
        <f>F429*E433</f>
        <v>2360</v>
      </c>
      <c r="G433" s="101">
        <v>45</v>
      </c>
      <c r="H433" s="120">
        <f>G433*F433</f>
        <v>106200</v>
      </c>
    </row>
    <row r="434" ht="20.4" customHeight="1" spans="1:8">
      <c r="A434" s="190" t="s">
        <v>321</v>
      </c>
      <c r="B434" s="193"/>
      <c r="C434" s="312" t="s">
        <v>305</v>
      </c>
      <c r="D434" s="135" t="s">
        <v>306</v>
      </c>
      <c r="E434" s="193"/>
      <c r="F434" s="191"/>
      <c r="G434" s="191">
        <v>25700</v>
      </c>
      <c r="H434" s="193">
        <f>G434*F434</f>
        <v>0</v>
      </c>
    </row>
    <row r="435" ht="20.4" customHeight="1" spans="1:8">
      <c r="A435" s="190" t="s">
        <v>322</v>
      </c>
      <c r="B435" s="193"/>
      <c r="C435" s="319" t="s">
        <v>307</v>
      </c>
      <c r="D435" s="135" t="s">
        <v>306</v>
      </c>
      <c r="E435" s="193"/>
      <c r="F435" s="191">
        <v>2</v>
      </c>
      <c r="G435" s="191">
        <v>25000</v>
      </c>
      <c r="H435" s="193">
        <f>G435*F435</f>
        <v>50000</v>
      </c>
    </row>
    <row r="436" ht="20.4" customHeight="1" spans="1:8">
      <c r="A436" s="190" t="s">
        <v>323</v>
      </c>
      <c r="B436" s="193"/>
      <c r="C436" s="312" t="s">
        <v>308</v>
      </c>
      <c r="D436" s="135"/>
      <c r="E436" s="193"/>
      <c r="F436" s="191"/>
      <c r="G436" s="191"/>
      <c r="H436" s="193" t="e">
        <f>SUM(H437:H445)</f>
        <v>#NAME?</v>
      </c>
    </row>
    <row r="437" ht="20.4" customHeight="1" spans="1:8">
      <c r="A437" s="316" t="s">
        <v>90</v>
      </c>
      <c r="B437" s="317" t="s">
        <v>117</v>
      </c>
      <c r="C437" s="317" t="s">
        <v>104</v>
      </c>
      <c r="D437" s="317" t="s">
        <v>105</v>
      </c>
      <c r="E437" s="120">
        <v>336</v>
      </c>
      <c r="F437" s="120">
        <f>E437</f>
        <v>336</v>
      </c>
      <c r="G437" s="101">
        <v>25</v>
      </c>
      <c r="H437" s="120">
        <f t="shared" ref="H437:H445" si="10">G437*F437</f>
        <v>8400</v>
      </c>
    </row>
    <row r="438" ht="20.4" customHeight="1" spans="1:8">
      <c r="A438" s="316" t="s">
        <v>94</v>
      </c>
      <c r="B438" s="317" t="s">
        <v>117</v>
      </c>
      <c r="C438" s="317" t="s">
        <v>107</v>
      </c>
      <c r="D438" s="317" t="s">
        <v>105</v>
      </c>
      <c r="E438" s="120">
        <v>336</v>
      </c>
      <c r="F438" s="120">
        <f t="shared" ref="F438:F445" si="11">E438</f>
        <v>336</v>
      </c>
      <c r="G438" s="101">
        <v>18</v>
      </c>
      <c r="H438" s="120">
        <f t="shared" si="10"/>
        <v>6048</v>
      </c>
    </row>
    <row r="439" ht="20.4" customHeight="1" spans="1:8">
      <c r="A439" s="316" t="s">
        <v>97</v>
      </c>
      <c r="B439" s="317" t="s">
        <v>117</v>
      </c>
      <c r="C439" s="317" t="s">
        <v>219</v>
      </c>
      <c r="D439" s="317" t="s">
        <v>105</v>
      </c>
      <c r="E439" s="120">
        <v>336</v>
      </c>
      <c r="F439" s="120">
        <f t="shared" si="11"/>
        <v>336</v>
      </c>
      <c r="G439" s="101">
        <v>21</v>
      </c>
      <c r="H439" s="120">
        <f t="shared" si="10"/>
        <v>7056</v>
      </c>
    </row>
    <row r="440" ht="20.4" customHeight="1" spans="1:8">
      <c r="A440" s="316" t="s">
        <v>109</v>
      </c>
      <c r="B440" s="317" t="s">
        <v>117</v>
      </c>
      <c r="C440" s="317" t="s">
        <v>152</v>
      </c>
      <c r="D440" s="317" t="s">
        <v>105</v>
      </c>
      <c r="E440" s="120">
        <v>145</v>
      </c>
      <c r="F440" s="120">
        <f t="shared" si="11"/>
        <v>145</v>
      </c>
      <c r="G440" s="101">
        <v>42</v>
      </c>
      <c r="H440" s="120">
        <f t="shared" si="10"/>
        <v>6090</v>
      </c>
    </row>
    <row r="441" ht="20.4" customHeight="1" spans="1:8">
      <c r="A441" s="316" t="s">
        <v>112</v>
      </c>
      <c r="B441" s="317" t="s">
        <v>117</v>
      </c>
      <c r="C441" s="317" t="s">
        <v>153</v>
      </c>
      <c r="D441" s="317" t="s">
        <v>105</v>
      </c>
      <c r="E441" s="120">
        <v>145</v>
      </c>
      <c r="F441" s="120">
        <f t="shared" si="11"/>
        <v>145</v>
      </c>
      <c r="G441" s="101">
        <v>50</v>
      </c>
      <c r="H441" s="120">
        <f t="shared" si="10"/>
        <v>7250</v>
      </c>
    </row>
    <row r="442" ht="20.4" customHeight="1" spans="1:8">
      <c r="A442" s="316" t="s">
        <v>116</v>
      </c>
      <c r="B442" s="317" t="s">
        <v>117</v>
      </c>
      <c r="C442" s="317" t="s">
        <v>204</v>
      </c>
      <c r="D442" s="317" t="s">
        <v>105</v>
      </c>
      <c r="E442" s="120">
        <v>145</v>
      </c>
      <c r="F442" s="120">
        <f t="shared" si="11"/>
        <v>145</v>
      </c>
      <c r="G442" s="101">
        <v>45</v>
      </c>
      <c r="H442" s="120">
        <f t="shared" si="10"/>
        <v>6525</v>
      </c>
    </row>
    <row r="443" ht="20.4" customHeight="1" spans="1:8">
      <c r="A443" s="316" t="s">
        <v>309</v>
      </c>
      <c r="B443" s="317" t="s">
        <v>117</v>
      </c>
      <c r="C443" s="317" t="s">
        <v>111</v>
      </c>
      <c r="D443" s="317" t="s">
        <v>105</v>
      </c>
      <c r="E443" s="120">
        <v>472</v>
      </c>
      <c r="F443" s="120">
        <f t="shared" si="11"/>
        <v>472</v>
      </c>
      <c r="G443" s="101">
        <v>2.5</v>
      </c>
      <c r="H443" s="120">
        <f t="shared" si="10"/>
        <v>1180</v>
      </c>
    </row>
    <row r="444" ht="20.4" customHeight="1" spans="1:8">
      <c r="A444" s="316" t="s">
        <v>310</v>
      </c>
      <c r="B444" s="317" t="s">
        <v>117</v>
      </c>
      <c r="C444" s="317" t="s">
        <v>155</v>
      </c>
      <c r="D444" s="317" t="s">
        <v>105</v>
      </c>
      <c r="E444" s="120">
        <v>1888</v>
      </c>
      <c r="F444" s="120">
        <f t="shared" si="11"/>
        <v>1888</v>
      </c>
      <c r="G444" s="101">
        <v>22</v>
      </c>
      <c r="H444" s="120">
        <f t="shared" si="10"/>
        <v>41536</v>
      </c>
    </row>
    <row r="445" ht="20.4" customHeight="1" spans="1:8">
      <c r="A445" s="316" t="s">
        <v>311</v>
      </c>
      <c r="B445" s="317" t="s">
        <v>113</v>
      </c>
      <c r="C445" s="112" t="s">
        <v>224</v>
      </c>
      <c r="D445" s="100" t="s">
        <v>115</v>
      </c>
      <c r="E445" s="101">
        <f>F420*0.6</f>
        <v>1.482</v>
      </c>
      <c r="F445" s="101">
        <f t="shared" si="11"/>
        <v>1.482</v>
      </c>
      <c r="G445" s="101" t="e">
        <f>工90030</f>
        <v>#NAME?</v>
      </c>
      <c r="H445" s="120" t="e">
        <f t="shared" si="10"/>
        <v>#NAME?</v>
      </c>
    </row>
    <row r="446" ht="20.4" customHeight="1" spans="1:8">
      <c r="A446" s="190" t="s">
        <v>255</v>
      </c>
      <c r="B446" s="193"/>
      <c r="C446" s="312" t="s">
        <v>324</v>
      </c>
      <c r="D446" s="312" t="s">
        <v>89</v>
      </c>
      <c r="E446" s="193"/>
      <c r="F446" s="191">
        <v>1.51</v>
      </c>
      <c r="G446" s="191"/>
      <c r="H446" s="193" t="e">
        <f>SUM(H447,H451,H455,H460,H461,H462)</f>
        <v>#REF!</v>
      </c>
    </row>
    <row r="447" ht="20.4" customHeight="1" spans="1:8">
      <c r="A447" s="190" t="s">
        <v>257</v>
      </c>
      <c r="B447" s="193"/>
      <c r="C447" s="312" t="s">
        <v>238</v>
      </c>
      <c r="D447" s="135"/>
      <c r="E447" s="193"/>
      <c r="F447" s="191"/>
      <c r="G447" s="191"/>
      <c r="H447" s="193" t="e">
        <f>SUM(H448:H450)</f>
        <v>#REF!</v>
      </c>
    </row>
    <row r="448" ht="20.4" customHeight="1" spans="1:8">
      <c r="A448" s="99" t="s">
        <v>90</v>
      </c>
      <c r="B448" s="317" t="s">
        <v>91</v>
      </c>
      <c r="C448" s="261" t="s">
        <v>92</v>
      </c>
      <c r="D448" s="199" t="s">
        <v>93</v>
      </c>
      <c r="E448" s="267">
        <f>F446*15*320</f>
        <v>7248</v>
      </c>
      <c r="F448" s="101">
        <f>E448*0.5/100</f>
        <v>36.24</v>
      </c>
      <c r="G448" s="101" t="e">
        <f>工10304</f>
        <v>#REF!</v>
      </c>
      <c r="H448" s="120" t="e">
        <f>G448*F448</f>
        <v>#REF!</v>
      </c>
    </row>
    <row r="449" ht="20.4" customHeight="1" spans="1:8">
      <c r="A449" s="99" t="s">
        <v>212</v>
      </c>
      <c r="B449" s="317" t="s">
        <v>95</v>
      </c>
      <c r="C449" s="261" t="s">
        <v>96</v>
      </c>
      <c r="D449" s="199" t="s">
        <v>93</v>
      </c>
      <c r="E449" s="269"/>
      <c r="F449" s="101">
        <f>E448*0.3/100</f>
        <v>21.744</v>
      </c>
      <c r="G449" s="101" t="e">
        <f>工10305</f>
        <v>#REF!</v>
      </c>
      <c r="H449" s="120" t="e">
        <f>G449*F449</f>
        <v>#REF!</v>
      </c>
    </row>
    <row r="450" ht="20.4" customHeight="1" spans="1:8">
      <c r="A450" s="99" t="s">
        <v>230</v>
      </c>
      <c r="B450" s="317" t="s">
        <v>98</v>
      </c>
      <c r="C450" s="261" t="s">
        <v>99</v>
      </c>
      <c r="D450" s="199" t="s">
        <v>93</v>
      </c>
      <c r="E450" s="269"/>
      <c r="F450" s="101">
        <f>E448*0.2/100</f>
        <v>14.496</v>
      </c>
      <c r="G450" s="101">
        <f>工10306</f>
        <v>309.620525377571</v>
      </c>
      <c r="H450" s="120">
        <f>G450*F450</f>
        <v>4488.25913587326</v>
      </c>
    </row>
    <row r="451" ht="20.4" customHeight="1" spans="1:8">
      <c r="A451" s="190" t="s">
        <v>258</v>
      </c>
      <c r="B451" s="193"/>
      <c r="C451" s="312" t="s">
        <v>297</v>
      </c>
      <c r="D451" s="135"/>
      <c r="E451" s="193"/>
      <c r="F451" s="191">
        <v>460</v>
      </c>
      <c r="G451" s="191"/>
      <c r="H451" s="193" t="e">
        <f>SUM(H452:H454)</f>
        <v>#REF!</v>
      </c>
    </row>
    <row r="452" ht="20.4" customHeight="1" spans="1:8">
      <c r="A452" s="99" t="s">
        <v>90</v>
      </c>
      <c r="B452" s="120">
        <v>10203</v>
      </c>
      <c r="C452" s="112" t="s">
        <v>172</v>
      </c>
      <c r="D452" s="100" t="s">
        <v>128</v>
      </c>
      <c r="E452" s="101">
        <v>3.62</v>
      </c>
      <c r="F452" s="101">
        <f>$F$451*E452</f>
        <v>1665.2</v>
      </c>
      <c r="G452" s="101" t="e">
        <f>工10203/100</f>
        <v>#REF!</v>
      </c>
      <c r="H452" s="120" t="e">
        <f>G452*F452</f>
        <v>#REF!</v>
      </c>
    </row>
    <row r="453" ht="20.4" customHeight="1" spans="1:8">
      <c r="A453" s="99" t="s">
        <v>94</v>
      </c>
      <c r="B453" s="120">
        <v>10345</v>
      </c>
      <c r="C453" s="112" t="s">
        <v>129</v>
      </c>
      <c r="D453" s="100" t="s">
        <v>128</v>
      </c>
      <c r="E453" s="101">
        <v>2.86</v>
      </c>
      <c r="F453" s="101">
        <f>$F$451*E453</f>
        <v>1315.6</v>
      </c>
      <c r="G453" s="101" t="e">
        <f>工10345/100</f>
        <v>#REF!</v>
      </c>
      <c r="H453" s="120" t="e">
        <f>G453*F453</f>
        <v>#REF!</v>
      </c>
    </row>
    <row r="454" ht="20.4" customHeight="1" spans="1:8">
      <c r="A454" s="99" t="s">
        <v>97</v>
      </c>
      <c r="B454" s="317" t="s">
        <v>241</v>
      </c>
      <c r="C454" s="317" t="s">
        <v>242</v>
      </c>
      <c r="D454" s="100" t="s">
        <v>128</v>
      </c>
      <c r="E454" s="101">
        <v>2.4</v>
      </c>
      <c r="F454" s="101">
        <f>$F$451*E454</f>
        <v>1104</v>
      </c>
      <c r="G454" s="101" t="e">
        <f>工宁水9010/100</f>
        <v>#NAME?</v>
      </c>
      <c r="H454" s="120" t="e">
        <f>G454*F454</f>
        <v>#NAME?</v>
      </c>
    </row>
    <row r="455" ht="20.4" customHeight="1" spans="1:8">
      <c r="A455" s="190" t="s">
        <v>259</v>
      </c>
      <c r="B455" s="193"/>
      <c r="C455" s="312" t="s">
        <v>298</v>
      </c>
      <c r="D455" s="135" t="s">
        <v>165</v>
      </c>
      <c r="E455" s="193"/>
      <c r="F455" s="191">
        <v>960</v>
      </c>
      <c r="G455" s="191"/>
      <c r="H455" s="193" t="e">
        <f>SUM(H456:H459)</f>
        <v>#REF!</v>
      </c>
    </row>
    <row r="456" ht="20.4" customHeight="1" spans="1:8">
      <c r="A456" s="99" t="s">
        <v>90</v>
      </c>
      <c r="B456" s="120">
        <v>10334</v>
      </c>
      <c r="C456" s="318" t="s">
        <v>299</v>
      </c>
      <c r="D456" s="100" t="s">
        <v>184</v>
      </c>
      <c r="E456" s="120"/>
      <c r="F456" s="101">
        <f>F455*2</f>
        <v>1920</v>
      </c>
      <c r="G456" s="101" t="e">
        <f>工10334/12</f>
        <v>#REF!</v>
      </c>
      <c r="H456" s="120" t="e">
        <f>F456*G456</f>
        <v>#REF!</v>
      </c>
    </row>
    <row r="457" ht="20.4" customHeight="1" spans="1:8">
      <c r="A457" s="99" t="s">
        <v>94</v>
      </c>
      <c r="B457" s="317" t="s">
        <v>117</v>
      </c>
      <c r="C457" s="318" t="s">
        <v>300</v>
      </c>
      <c r="D457" s="105" t="s">
        <v>301</v>
      </c>
      <c r="E457" s="120"/>
      <c r="F457" s="101">
        <f>F455*4</f>
        <v>3840</v>
      </c>
      <c r="G457" s="101">
        <v>13</v>
      </c>
      <c r="H457" s="120">
        <f>F457*G457</f>
        <v>49920</v>
      </c>
    </row>
    <row r="458" ht="20.4" customHeight="1" spans="1:8">
      <c r="A458" s="99" t="s">
        <v>97</v>
      </c>
      <c r="B458" s="317" t="s">
        <v>302</v>
      </c>
      <c r="C458" s="317" t="s">
        <v>303</v>
      </c>
      <c r="D458" s="100" t="s">
        <v>128</v>
      </c>
      <c r="E458" s="101">
        <f>E459*0.2</f>
        <v>0.4</v>
      </c>
      <c r="F458" s="101">
        <f>F455*E458</f>
        <v>384</v>
      </c>
      <c r="G458" s="101" t="e">
        <f>工30003改/100</f>
        <v>#NAME?</v>
      </c>
      <c r="H458" s="120" t="e">
        <f>G458*F458</f>
        <v>#NAME?</v>
      </c>
    </row>
    <row r="459" ht="20.4" customHeight="1" spans="1:8">
      <c r="A459" s="99" t="s">
        <v>109</v>
      </c>
      <c r="B459" s="317" t="s">
        <v>117</v>
      </c>
      <c r="C459" s="317" t="s">
        <v>304</v>
      </c>
      <c r="D459" s="100" t="s">
        <v>184</v>
      </c>
      <c r="E459" s="101">
        <v>2</v>
      </c>
      <c r="F459" s="101">
        <f>F455*E459</f>
        <v>1920</v>
      </c>
      <c r="G459" s="101">
        <v>45</v>
      </c>
      <c r="H459" s="120">
        <f>G459*F459</f>
        <v>86400</v>
      </c>
    </row>
    <row r="460" ht="20.4" customHeight="1" spans="1:8">
      <c r="A460" s="190" t="s">
        <v>325</v>
      </c>
      <c r="B460" s="193"/>
      <c r="C460" s="312" t="s">
        <v>305</v>
      </c>
      <c r="D460" s="135" t="s">
        <v>306</v>
      </c>
      <c r="E460" s="193"/>
      <c r="F460" s="191"/>
      <c r="G460" s="191">
        <v>25700</v>
      </c>
      <c r="H460" s="193">
        <f>G460*F460</f>
        <v>0</v>
      </c>
    </row>
    <row r="461" ht="20.4" customHeight="1" spans="1:8">
      <c r="A461" s="190" t="s">
        <v>326</v>
      </c>
      <c r="B461" s="193"/>
      <c r="C461" s="319" t="s">
        <v>307</v>
      </c>
      <c r="D461" s="135" t="s">
        <v>306</v>
      </c>
      <c r="E461" s="193"/>
      <c r="F461" s="191">
        <v>2</v>
      </c>
      <c r="G461" s="191">
        <v>25000</v>
      </c>
      <c r="H461" s="193">
        <f>G461*F461</f>
        <v>50000</v>
      </c>
    </row>
    <row r="462" ht="20.4" customHeight="1" spans="1:8">
      <c r="A462" s="190" t="s">
        <v>327</v>
      </c>
      <c r="B462" s="193"/>
      <c r="C462" s="312" t="s">
        <v>308</v>
      </c>
      <c r="D462" s="135"/>
      <c r="E462" s="193"/>
      <c r="F462" s="191"/>
      <c r="G462" s="191"/>
      <c r="H462" s="193" t="e">
        <f>SUM(H463:H471)</f>
        <v>#NAME?</v>
      </c>
    </row>
    <row r="463" ht="20.4" customHeight="1" spans="1:8">
      <c r="A463" s="316" t="s">
        <v>90</v>
      </c>
      <c r="B463" s="317" t="s">
        <v>117</v>
      </c>
      <c r="C463" s="317" t="s">
        <v>104</v>
      </c>
      <c r="D463" s="317" t="s">
        <v>105</v>
      </c>
      <c r="E463" s="120">
        <v>206</v>
      </c>
      <c r="F463" s="120">
        <f>E463</f>
        <v>206</v>
      </c>
      <c r="G463" s="101">
        <v>25</v>
      </c>
      <c r="H463" s="120">
        <f t="shared" ref="H463:H471" si="12">G463*F463</f>
        <v>5150</v>
      </c>
    </row>
    <row r="464" ht="20.4" customHeight="1" spans="1:8">
      <c r="A464" s="316" t="s">
        <v>94</v>
      </c>
      <c r="B464" s="317" t="s">
        <v>117</v>
      </c>
      <c r="C464" s="317" t="s">
        <v>107</v>
      </c>
      <c r="D464" s="317" t="s">
        <v>105</v>
      </c>
      <c r="E464" s="120">
        <v>206</v>
      </c>
      <c r="F464" s="120">
        <f t="shared" ref="F464:F471" si="13">E464</f>
        <v>206</v>
      </c>
      <c r="G464" s="101">
        <v>18</v>
      </c>
      <c r="H464" s="120">
        <f t="shared" si="12"/>
        <v>3708</v>
      </c>
    </row>
    <row r="465" ht="20.4" customHeight="1" spans="1:8">
      <c r="A465" s="316" t="s">
        <v>97</v>
      </c>
      <c r="B465" s="317" t="s">
        <v>117</v>
      </c>
      <c r="C465" s="317" t="s">
        <v>219</v>
      </c>
      <c r="D465" s="317" t="s">
        <v>105</v>
      </c>
      <c r="E465" s="120">
        <v>206</v>
      </c>
      <c r="F465" s="120">
        <f t="shared" si="13"/>
        <v>206</v>
      </c>
      <c r="G465" s="101">
        <v>21</v>
      </c>
      <c r="H465" s="120">
        <f t="shared" si="12"/>
        <v>4326</v>
      </c>
    </row>
    <row r="466" ht="20.4" customHeight="1" spans="1:8">
      <c r="A466" s="316" t="s">
        <v>109</v>
      </c>
      <c r="B466" s="317" t="s">
        <v>117</v>
      </c>
      <c r="C466" s="317" t="s">
        <v>152</v>
      </c>
      <c r="D466" s="317" t="s">
        <v>105</v>
      </c>
      <c r="E466" s="120">
        <v>88</v>
      </c>
      <c r="F466" s="120">
        <f t="shared" si="13"/>
        <v>88</v>
      </c>
      <c r="G466" s="101">
        <v>42</v>
      </c>
      <c r="H466" s="120">
        <f t="shared" si="12"/>
        <v>3696</v>
      </c>
    </row>
    <row r="467" ht="20.4" customHeight="1" spans="1:8">
      <c r="A467" s="316" t="s">
        <v>112</v>
      </c>
      <c r="B467" s="317" t="s">
        <v>117</v>
      </c>
      <c r="C467" s="317" t="s">
        <v>153</v>
      </c>
      <c r="D467" s="317" t="s">
        <v>105</v>
      </c>
      <c r="E467" s="120">
        <v>88</v>
      </c>
      <c r="F467" s="120">
        <f t="shared" si="13"/>
        <v>88</v>
      </c>
      <c r="G467" s="101">
        <v>50</v>
      </c>
      <c r="H467" s="120">
        <f t="shared" si="12"/>
        <v>4400</v>
      </c>
    </row>
    <row r="468" ht="20.4" customHeight="1" spans="1:8">
      <c r="A468" s="316" t="s">
        <v>116</v>
      </c>
      <c r="B468" s="317" t="s">
        <v>117</v>
      </c>
      <c r="C468" s="317" t="s">
        <v>204</v>
      </c>
      <c r="D468" s="317" t="s">
        <v>105</v>
      </c>
      <c r="E468" s="120">
        <v>88</v>
      </c>
      <c r="F468" s="120">
        <f t="shared" si="13"/>
        <v>88</v>
      </c>
      <c r="G468" s="101">
        <v>45</v>
      </c>
      <c r="H468" s="120">
        <f t="shared" si="12"/>
        <v>3960</v>
      </c>
    </row>
    <row r="469" ht="20.4" customHeight="1" spans="1:8">
      <c r="A469" s="316" t="s">
        <v>309</v>
      </c>
      <c r="B469" s="317" t="s">
        <v>117</v>
      </c>
      <c r="C469" s="317" t="s">
        <v>111</v>
      </c>
      <c r="D469" s="317" t="s">
        <v>105</v>
      </c>
      <c r="E469" s="120">
        <v>576</v>
      </c>
      <c r="F469" s="120">
        <f t="shared" si="13"/>
        <v>576</v>
      </c>
      <c r="G469" s="101">
        <v>2.5</v>
      </c>
      <c r="H469" s="120">
        <f t="shared" si="12"/>
        <v>1440</v>
      </c>
    </row>
    <row r="470" ht="20.4" customHeight="1" spans="1:8">
      <c r="A470" s="316" t="s">
        <v>310</v>
      </c>
      <c r="B470" s="317" t="s">
        <v>117</v>
      </c>
      <c r="C470" s="317" t="s">
        <v>155</v>
      </c>
      <c r="D470" s="317" t="s">
        <v>105</v>
      </c>
      <c r="E470" s="120">
        <v>1144</v>
      </c>
      <c r="F470" s="120">
        <f t="shared" si="13"/>
        <v>1144</v>
      </c>
      <c r="G470" s="101">
        <v>22</v>
      </c>
      <c r="H470" s="120">
        <f t="shared" si="12"/>
        <v>25168</v>
      </c>
    </row>
    <row r="471" ht="20.4" customHeight="1" spans="1:8">
      <c r="A471" s="316" t="s">
        <v>311</v>
      </c>
      <c r="B471" s="317" t="s">
        <v>113</v>
      </c>
      <c r="C471" s="112" t="s">
        <v>224</v>
      </c>
      <c r="D471" s="100" t="s">
        <v>115</v>
      </c>
      <c r="E471" s="101">
        <f>F446*0.6</f>
        <v>0.906</v>
      </c>
      <c r="F471" s="101">
        <f t="shared" si="13"/>
        <v>0.906</v>
      </c>
      <c r="G471" s="101" t="e">
        <f>工90030</f>
        <v>#NAME?</v>
      </c>
      <c r="H471" s="120" t="e">
        <f t="shared" si="12"/>
        <v>#NAME?</v>
      </c>
    </row>
    <row r="472" ht="20.4" customHeight="1" spans="1:8">
      <c r="A472" s="190" t="s">
        <v>260</v>
      </c>
      <c r="B472" s="193"/>
      <c r="C472" s="312" t="s">
        <v>328</v>
      </c>
      <c r="D472" s="312" t="s">
        <v>89</v>
      </c>
      <c r="E472" s="193"/>
      <c r="F472" s="191">
        <v>2.08</v>
      </c>
      <c r="G472" s="191"/>
      <c r="H472" s="193" t="e">
        <f>SUM(H473,H477,H481,H486,H487,H488)</f>
        <v>#REF!</v>
      </c>
    </row>
    <row r="473" ht="20.4" customHeight="1" spans="1:8">
      <c r="A473" s="190" t="s">
        <v>262</v>
      </c>
      <c r="B473" s="193"/>
      <c r="C473" s="312" t="s">
        <v>238</v>
      </c>
      <c r="D473" s="135"/>
      <c r="E473" s="193"/>
      <c r="F473" s="191"/>
      <c r="G473" s="191"/>
      <c r="H473" s="193" t="e">
        <f>SUM(H474:H476)</f>
        <v>#REF!</v>
      </c>
    </row>
    <row r="474" ht="20.4" customHeight="1" spans="1:8">
      <c r="A474" s="99" t="s">
        <v>90</v>
      </c>
      <c r="B474" s="317" t="s">
        <v>91</v>
      </c>
      <c r="C474" s="261" t="s">
        <v>92</v>
      </c>
      <c r="D474" s="199" t="s">
        <v>93</v>
      </c>
      <c r="E474" s="267">
        <f>F472*15*320</f>
        <v>9984</v>
      </c>
      <c r="F474" s="101">
        <f>E474*0.5/100</f>
        <v>49.92</v>
      </c>
      <c r="G474" s="101" t="e">
        <f>工10304</f>
        <v>#REF!</v>
      </c>
      <c r="H474" s="120" t="e">
        <f>G474*F474</f>
        <v>#REF!</v>
      </c>
    </row>
    <row r="475" ht="20.4" customHeight="1" spans="1:8">
      <c r="A475" s="99" t="s">
        <v>212</v>
      </c>
      <c r="B475" s="317" t="s">
        <v>95</v>
      </c>
      <c r="C475" s="261" t="s">
        <v>96</v>
      </c>
      <c r="D475" s="199" t="s">
        <v>93</v>
      </c>
      <c r="E475" s="269"/>
      <c r="F475" s="101">
        <f>E474*0.3/100</f>
        <v>29.952</v>
      </c>
      <c r="G475" s="101" t="e">
        <f>工10305</f>
        <v>#REF!</v>
      </c>
      <c r="H475" s="120" t="e">
        <f>G475*F475</f>
        <v>#REF!</v>
      </c>
    </row>
    <row r="476" ht="20.4" customHeight="1" spans="1:8">
      <c r="A476" s="99" t="s">
        <v>230</v>
      </c>
      <c r="B476" s="317" t="s">
        <v>98</v>
      </c>
      <c r="C476" s="261" t="s">
        <v>99</v>
      </c>
      <c r="D476" s="199" t="s">
        <v>93</v>
      </c>
      <c r="E476" s="269"/>
      <c r="F476" s="101">
        <f>E474*0.2/100</f>
        <v>19.968</v>
      </c>
      <c r="G476" s="101">
        <f>工10306</f>
        <v>309.620525377571</v>
      </c>
      <c r="H476" s="120">
        <f>G476*F476</f>
        <v>6182.50265073933</v>
      </c>
    </row>
    <row r="477" ht="20.4" customHeight="1" spans="1:8">
      <c r="A477" s="190" t="s">
        <v>263</v>
      </c>
      <c r="B477" s="193"/>
      <c r="C477" s="312" t="s">
        <v>297</v>
      </c>
      <c r="D477" s="135"/>
      <c r="E477" s="193"/>
      <c r="F477" s="191">
        <v>380</v>
      </c>
      <c r="G477" s="191"/>
      <c r="H477" s="193" t="e">
        <f>SUM(H478:H480)</f>
        <v>#REF!</v>
      </c>
    </row>
    <row r="478" ht="20.4" customHeight="1" spans="1:8">
      <c r="A478" s="99" t="s">
        <v>90</v>
      </c>
      <c r="B478" s="120">
        <v>10203</v>
      </c>
      <c r="C478" s="112" t="s">
        <v>172</v>
      </c>
      <c r="D478" s="100" t="s">
        <v>128</v>
      </c>
      <c r="E478" s="101">
        <v>3.62</v>
      </c>
      <c r="F478" s="101">
        <f>$F$477*E478</f>
        <v>1375.6</v>
      </c>
      <c r="G478" s="101" t="e">
        <f>工10203/100</f>
        <v>#REF!</v>
      </c>
      <c r="H478" s="120" t="e">
        <f>G478*F478</f>
        <v>#REF!</v>
      </c>
    </row>
    <row r="479" ht="20.4" customHeight="1" spans="1:8">
      <c r="A479" s="99" t="s">
        <v>94</v>
      </c>
      <c r="B479" s="120">
        <v>10345</v>
      </c>
      <c r="C479" s="112" t="s">
        <v>129</v>
      </c>
      <c r="D479" s="100" t="s">
        <v>128</v>
      </c>
      <c r="E479" s="101">
        <v>2.86</v>
      </c>
      <c r="F479" s="101">
        <f>$F$477*E479</f>
        <v>1086.8</v>
      </c>
      <c r="G479" s="101" t="e">
        <f>工10345/100</f>
        <v>#REF!</v>
      </c>
      <c r="H479" s="120" t="e">
        <f>G479*F479</f>
        <v>#REF!</v>
      </c>
    </row>
    <row r="480" ht="20.4" customHeight="1" spans="1:8">
      <c r="A480" s="99" t="s">
        <v>97</v>
      </c>
      <c r="B480" s="317" t="s">
        <v>241</v>
      </c>
      <c r="C480" s="317" t="s">
        <v>242</v>
      </c>
      <c r="D480" s="100" t="s">
        <v>128</v>
      </c>
      <c r="E480" s="101">
        <v>2.4</v>
      </c>
      <c r="F480" s="101">
        <f>$F$477*E480</f>
        <v>912</v>
      </c>
      <c r="G480" s="101" t="e">
        <f>工宁水9010/100</f>
        <v>#NAME?</v>
      </c>
      <c r="H480" s="120" t="e">
        <f>G480*F480</f>
        <v>#NAME?</v>
      </c>
    </row>
    <row r="481" ht="20.4" customHeight="1" spans="1:8">
      <c r="A481" s="190" t="s">
        <v>264</v>
      </c>
      <c r="B481" s="193"/>
      <c r="C481" s="312" t="s">
        <v>298</v>
      </c>
      <c r="D481" s="135" t="s">
        <v>165</v>
      </c>
      <c r="E481" s="193"/>
      <c r="F481" s="191">
        <v>790</v>
      </c>
      <c r="G481" s="191"/>
      <c r="H481" s="193" t="e">
        <f>SUM(H482:H485)</f>
        <v>#REF!</v>
      </c>
    </row>
    <row r="482" ht="20.4" customHeight="1" spans="1:8">
      <c r="A482" s="99" t="s">
        <v>90</v>
      </c>
      <c r="B482" s="120">
        <v>10334</v>
      </c>
      <c r="C482" s="318" t="s">
        <v>299</v>
      </c>
      <c r="D482" s="100" t="s">
        <v>184</v>
      </c>
      <c r="E482" s="120"/>
      <c r="F482" s="101">
        <f>F481*2</f>
        <v>1580</v>
      </c>
      <c r="G482" s="101" t="e">
        <f>工10334/12</f>
        <v>#REF!</v>
      </c>
      <c r="H482" s="120" t="e">
        <f>F482*G482</f>
        <v>#REF!</v>
      </c>
    </row>
    <row r="483" ht="20.4" customHeight="1" spans="1:8">
      <c r="A483" s="99" t="s">
        <v>94</v>
      </c>
      <c r="B483" s="317" t="s">
        <v>117</v>
      </c>
      <c r="C483" s="318" t="s">
        <v>300</v>
      </c>
      <c r="D483" s="105" t="s">
        <v>301</v>
      </c>
      <c r="E483" s="120"/>
      <c r="F483" s="101">
        <f>F481*4</f>
        <v>3160</v>
      </c>
      <c r="G483" s="101">
        <v>13</v>
      </c>
      <c r="H483" s="120">
        <f>F483*G483</f>
        <v>41080</v>
      </c>
    </row>
    <row r="484" ht="20.4" customHeight="1" spans="1:8">
      <c r="A484" s="99" t="s">
        <v>97</v>
      </c>
      <c r="B484" s="317" t="s">
        <v>302</v>
      </c>
      <c r="C484" s="317" t="s">
        <v>303</v>
      </c>
      <c r="D484" s="100" t="s">
        <v>128</v>
      </c>
      <c r="E484" s="101">
        <f>E485*0.2</f>
        <v>0.4</v>
      </c>
      <c r="F484" s="101">
        <f>F481*E484</f>
        <v>316</v>
      </c>
      <c r="G484" s="101" t="e">
        <f>工30003改/100</f>
        <v>#NAME?</v>
      </c>
      <c r="H484" s="120" t="e">
        <f>G484*F484</f>
        <v>#NAME?</v>
      </c>
    </row>
    <row r="485" ht="20.4" customHeight="1" spans="1:8">
      <c r="A485" s="99" t="s">
        <v>109</v>
      </c>
      <c r="B485" s="317" t="s">
        <v>117</v>
      </c>
      <c r="C485" s="317" t="s">
        <v>304</v>
      </c>
      <c r="D485" s="100" t="s">
        <v>184</v>
      </c>
      <c r="E485" s="101">
        <v>2</v>
      </c>
      <c r="F485" s="101">
        <f>F484*E485</f>
        <v>632</v>
      </c>
      <c r="G485" s="101">
        <v>45</v>
      </c>
      <c r="H485" s="120">
        <f>G485*F485</f>
        <v>28440</v>
      </c>
    </row>
    <row r="486" ht="20.4" customHeight="1" spans="1:8">
      <c r="A486" s="190" t="s">
        <v>329</v>
      </c>
      <c r="B486" s="193"/>
      <c r="C486" s="312" t="s">
        <v>305</v>
      </c>
      <c r="D486" s="135" t="s">
        <v>306</v>
      </c>
      <c r="E486" s="193"/>
      <c r="F486" s="191"/>
      <c r="G486" s="191">
        <v>25700</v>
      </c>
      <c r="H486" s="193">
        <f>G486*F486</f>
        <v>0</v>
      </c>
    </row>
    <row r="487" ht="20.4" customHeight="1" spans="1:8">
      <c r="A487" s="190" t="s">
        <v>330</v>
      </c>
      <c r="B487" s="193"/>
      <c r="C487" s="319" t="s">
        <v>307</v>
      </c>
      <c r="D487" s="135" t="s">
        <v>306</v>
      </c>
      <c r="E487" s="193"/>
      <c r="F487" s="191">
        <v>1</v>
      </c>
      <c r="G487" s="191">
        <v>25000</v>
      </c>
      <c r="H487" s="193">
        <f>G487*F487</f>
        <v>25000</v>
      </c>
    </row>
    <row r="488" ht="20.4" customHeight="1" spans="1:8">
      <c r="A488" s="190" t="s">
        <v>331</v>
      </c>
      <c r="B488" s="193"/>
      <c r="C488" s="312" t="s">
        <v>308</v>
      </c>
      <c r="D488" s="135"/>
      <c r="E488" s="193"/>
      <c r="F488" s="191"/>
      <c r="G488" s="191"/>
      <c r="H488" s="193" t="e">
        <f>SUM(H489:H497)</f>
        <v>#NAME?</v>
      </c>
    </row>
    <row r="489" ht="20.4" customHeight="1" spans="1:8">
      <c r="A489" s="316" t="s">
        <v>90</v>
      </c>
      <c r="B489" s="317" t="s">
        <v>117</v>
      </c>
      <c r="C489" s="317" t="s">
        <v>104</v>
      </c>
      <c r="D489" s="317" t="s">
        <v>105</v>
      </c>
      <c r="E489" s="120">
        <v>283</v>
      </c>
      <c r="F489" s="120">
        <f>E489</f>
        <v>283</v>
      </c>
      <c r="G489" s="101">
        <v>73</v>
      </c>
      <c r="H489" s="120">
        <f t="shared" ref="H489:H498" si="14">G489*F489</f>
        <v>20659</v>
      </c>
    </row>
    <row r="490" ht="20.4" customHeight="1" spans="1:8">
      <c r="A490" s="316" t="s">
        <v>94</v>
      </c>
      <c r="B490" s="317" t="s">
        <v>117</v>
      </c>
      <c r="C490" s="317" t="s">
        <v>107</v>
      </c>
      <c r="D490" s="317" t="s">
        <v>105</v>
      </c>
      <c r="E490" s="120">
        <v>283</v>
      </c>
      <c r="F490" s="120">
        <f t="shared" ref="F490:F497" si="15">E490</f>
        <v>283</v>
      </c>
      <c r="G490" s="101">
        <v>73</v>
      </c>
      <c r="H490" s="120">
        <f t="shared" si="14"/>
        <v>20659</v>
      </c>
    </row>
    <row r="491" ht="20.4" customHeight="1" spans="1:8">
      <c r="A491" s="316" t="s">
        <v>97</v>
      </c>
      <c r="B491" s="317" t="s">
        <v>117</v>
      </c>
      <c r="C491" s="317" t="s">
        <v>219</v>
      </c>
      <c r="D491" s="317" t="s">
        <v>105</v>
      </c>
      <c r="E491" s="120">
        <v>283</v>
      </c>
      <c r="F491" s="120">
        <f t="shared" si="15"/>
        <v>283</v>
      </c>
      <c r="G491" s="101">
        <v>73</v>
      </c>
      <c r="H491" s="120">
        <f t="shared" si="14"/>
        <v>20659</v>
      </c>
    </row>
    <row r="492" ht="20.4" customHeight="1" spans="1:8">
      <c r="A492" s="316" t="s">
        <v>109</v>
      </c>
      <c r="B492" s="317" t="s">
        <v>117</v>
      </c>
      <c r="C492" s="317" t="s">
        <v>152</v>
      </c>
      <c r="D492" s="317" t="s">
        <v>105</v>
      </c>
      <c r="E492" s="120">
        <v>121</v>
      </c>
      <c r="F492" s="120">
        <f t="shared" si="15"/>
        <v>121</v>
      </c>
      <c r="G492" s="101">
        <v>73</v>
      </c>
      <c r="H492" s="120">
        <f t="shared" si="14"/>
        <v>8833</v>
      </c>
    </row>
    <row r="493" ht="20.4" customHeight="1" spans="1:8">
      <c r="A493" s="316" t="s">
        <v>112</v>
      </c>
      <c r="B493" s="317" t="s">
        <v>117</v>
      </c>
      <c r="C493" s="317" t="s">
        <v>153</v>
      </c>
      <c r="D493" s="317" t="s">
        <v>105</v>
      </c>
      <c r="E493" s="120">
        <v>121</v>
      </c>
      <c r="F493" s="120">
        <f t="shared" si="15"/>
        <v>121</v>
      </c>
      <c r="G493" s="101">
        <v>73</v>
      </c>
      <c r="H493" s="120">
        <f t="shared" si="14"/>
        <v>8833</v>
      </c>
    </row>
    <row r="494" ht="20.4" customHeight="1" spans="1:8">
      <c r="A494" s="316" t="s">
        <v>116</v>
      </c>
      <c r="B494" s="317" t="s">
        <v>117</v>
      </c>
      <c r="C494" s="317" t="s">
        <v>204</v>
      </c>
      <c r="D494" s="317" t="s">
        <v>105</v>
      </c>
      <c r="E494" s="120">
        <v>121</v>
      </c>
      <c r="F494" s="120">
        <f t="shared" si="15"/>
        <v>121</v>
      </c>
      <c r="G494" s="101">
        <v>73</v>
      </c>
      <c r="H494" s="120">
        <f t="shared" si="14"/>
        <v>8833</v>
      </c>
    </row>
    <row r="495" ht="20.4" customHeight="1" spans="1:8">
      <c r="A495" s="316" t="s">
        <v>309</v>
      </c>
      <c r="B495" s="317" t="s">
        <v>117</v>
      </c>
      <c r="C495" s="317" t="s">
        <v>111</v>
      </c>
      <c r="D495" s="317" t="s">
        <v>105</v>
      </c>
      <c r="E495" s="120">
        <v>474</v>
      </c>
      <c r="F495" s="120">
        <f t="shared" si="15"/>
        <v>474</v>
      </c>
      <c r="G495" s="101">
        <v>12</v>
      </c>
      <c r="H495" s="120">
        <f t="shared" si="14"/>
        <v>5688</v>
      </c>
    </row>
    <row r="496" ht="20.4" customHeight="1" spans="1:8">
      <c r="A496" s="316" t="s">
        <v>310</v>
      </c>
      <c r="B496" s="317" t="s">
        <v>117</v>
      </c>
      <c r="C496" s="317" t="s">
        <v>155</v>
      </c>
      <c r="D496" s="317" t="s">
        <v>105</v>
      </c>
      <c r="E496" s="120">
        <v>1106</v>
      </c>
      <c r="F496" s="120">
        <f t="shared" si="15"/>
        <v>1106</v>
      </c>
      <c r="G496" s="101">
        <v>22</v>
      </c>
      <c r="H496" s="120">
        <f t="shared" si="14"/>
        <v>24332</v>
      </c>
    </row>
    <row r="497" ht="20.4" customHeight="1" spans="1:8">
      <c r="A497" s="316" t="s">
        <v>311</v>
      </c>
      <c r="B497" s="317" t="s">
        <v>113</v>
      </c>
      <c r="C497" s="112" t="s">
        <v>224</v>
      </c>
      <c r="D497" s="100" t="s">
        <v>115</v>
      </c>
      <c r="E497" s="101">
        <f>F472*0.6</f>
        <v>1.248</v>
      </c>
      <c r="F497" s="101">
        <f t="shared" si="15"/>
        <v>1.248</v>
      </c>
      <c r="G497" s="101" t="e">
        <f>工90030</f>
        <v>#NAME?</v>
      </c>
      <c r="H497" s="120" t="e">
        <f t="shared" si="14"/>
        <v>#NAME?</v>
      </c>
    </row>
    <row r="498" s="79" customFormat="1" ht="20.4" customHeight="1" spans="1:8">
      <c r="A498" s="314" t="s">
        <v>332</v>
      </c>
      <c r="B498" s="193"/>
      <c r="C498" s="119" t="s">
        <v>333</v>
      </c>
      <c r="D498" s="100" t="s">
        <v>115</v>
      </c>
      <c r="E498" s="191"/>
      <c r="F498" s="191">
        <f>F342+F368+F394+F420+F446+F472</f>
        <v>36.46</v>
      </c>
      <c r="G498" s="191">
        <v>23000</v>
      </c>
      <c r="H498" s="193">
        <f t="shared" si="14"/>
        <v>838580</v>
      </c>
    </row>
    <row r="499" s="79" customFormat="1" ht="20.4" customHeight="1" spans="1:8">
      <c r="A499" s="314" t="s">
        <v>334</v>
      </c>
      <c r="B499" s="193"/>
      <c r="C499" s="196" t="s">
        <v>126</v>
      </c>
      <c r="D499" s="312" t="s">
        <v>335</v>
      </c>
      <c r="E499" s="193"/>
      <c r="F499" s="193">
        <v>9</v>
      </c>
      <c r="G499" s="191"/>
      <c r="H499" s="193" t="e">
        <f>SUM(H500:H502)</f>
        <v>#REF!</v>
      </c>
    </row>
    <row r="500" s="79" customFormat="1" ht="21.45" customHeight="1" spans="1:8">
      <c r="A500" s="316" t="s">
        <v>90</v>
      </c>
      <c r="B500" s="120">
        <v>10203</v>
      </c>
      <c r="C500" s="121" t="s">
        <v>127</v>
      </c>
      <c r="D500" s="199" t="s">
        <v>128</v>
      </c>
      <c r="E500" s="101">
        <v>16.45</v>
      </c>
      <c r="F500" s="101">
        <f>E500*$F$499</f>
        <v>148.05</v>
      </c>
      <c r="G500" s="101" t="e">
        <f>工10203/100</f>
        <v>#REF!</v>
      </c>
      <c r="H500" s="120" t="e">
        <f>G500*F500</f>
        <v>#REF!</v>
      </c>
    </row>
    <row r="501" ht="21.45" customHeight="1" spans="1:8">
      <c r="A501" s="316" t="s">
        <v>94</v>
      </c>
      <c r="B501" s="120">
        <v>10345</v>
      </c>
      <c r="C501" s="121" t="s">
        <v>129</v>
      </c>
      <c r="D501" s="199" t="s">
        <v>128</v>
      </c>
      <c r="E501" s="101">
        <v>12.3</v>
      </c>
      <c r="F501" s="101">
        <f>E501*$F$499</f>
        <v>110.7</v>
      </c>
      <c r="G501" s="101" t="e">
        <f>工10345/100</f>
        <v>#REF!</v>
      </c>
      <c r="H501" s="120" t="e">
        <f>G501*F501</f>
        <v>#REF!</v>
      </c>
    </row>
    <row r="502" ht="21.45" customHeight="1" spans="1:8">
      <c r="A502" s="316" t="s">
        <v>97</v>
      </c>
      <c r="B502" s="120" t="s">
        <v>130</v>
      </c>
      <c r="C502" s="121" t="s">
        <v>131</v>
      </c>
      <c r="D502" s="199" t="s">
        <v>132</v>
      </c>
      <c r="E502" s="101">
        <v>1</v>
      </c>
      <c r="F502" s="101">
        <f>E502*$F$499</f>
        <v>9</v>
      </c>
      <c r="G502" s="101">
        <v>15000</v>
      </c>
      <c r="H502" s="120">
        <f>G502*F502</f>
        <v>135000</v>
      </c>
    </row>
    <row r="503" s="79" customFormat="1" ht="21.45" customHeight="1" spans="1:8">
      <c r="A503" s="191" t="s">
        <v>75</v>
      </c>
      <c r="B503" s="191"/>
      <c r="C503" s="191"/>
      <c r="D503" s="191"/>
      <c r="E503" s="191"/>
      <c r="F503" s="191"/>
      <c r="G503" s="191"/>
      <c r="H503" s="193" t="e">
        <f>H5+H50+H85+H125</f>
        <v>#REF!</v>
      </c>
    </row>
    <row r="504" ht="21.45" customHeight="1"/>
    <row r="505" ht="21.45" customHeight="1"/>
    <row r="506" ht="21.45" customHeight="1"/>
    <row r="507" ht="21.45" customHeight="1"/>
    <row r="508" ht="36" customHeight="1"/>
  </sheetData>
  <autoFilter ref="C1:C511">
    <extLst/>
  </autoFilter>
  <mergeCells count="10">
    <mergeCell ref="A1:B1"/>
    <mergeCell ref="C1:H1"/>
    <mergeCell ref="A2:F2"/>
    <mergeCell ref="G2:H2"/>
    <mergeCell ref="B5:D5"/>
    <mergeCell ref="B50:D50"/>
    <mergeCell ref="B85:D85"/>
    <mergeCell ref="B125:D125"/>
    <mergeCell ref="A503:D503"/>
    <mergeCell ref="A3:A4"/>
  </mergeCells>
  <printOptions horizontalCentered="1"/>
  <pageMargins left="0.78740157480315" right="0.78740157480315" top="0.748031496062992" bottom="0.748031496062992" header="0.31496062992126" footer="0.31496062992126"/>
  <pageSetup paperSize="9" scale="9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DDD9C3"/>
  </sheetPr>
  <dimension ref="A1:P10"/>
  <sheetViews>
    <sheetView workbookViewId="0">
      <selection activeCell="A1" sqref="A1:B1"/>
    </sheetView>
  </sheetViews>
  <sheetFormatPr defaultColWidth="9" defaultRowHeight="15.75"/>
  <cols>
    <col min="1" max="16384" width="9" style="228"/>
  </cols>
  <sheetData>
    <row r="1" s="227" customFormat="1" ht="30.75" customHeight="1" spans="1:16">
      <c r="A1" s="229" t="s">
        <v>336</v>
      </c>
      <c r="B1" s="229"/>
      <c r="C1" s="229" t="s">
        <v>337</v>
      </c>
      <c r="D1" s="229"/>
      <c r="E1" s="229"/>
      <c r="F1" s="229"/>
      <c r="G1" s="229"/>
      <c r="H1" s="229"/>
      <c r="I1" s="229"/>
      <c r="J1" s="229"/>
      <c r="K1" s="229"/>
      <c r="L1" s="229"/>
      <c r="M1" s="229"/>
      <c r="N1" s="229"/>
      <c r="O1" s="229"/>
      <c r="P1" s="229"/>
    </row>
    <row r="2" s="97" customFormat="1" ht="24.75" customHeight="1" spans="1:16">
      <c r="A2" s="230" t="e">
        <f>'表3-1（总）'!A2:F2</f>
        <v>#REF!</v>
      </c>
      <c r="B2" s="230"/>
      <c r="C2" s="230"/>
      <c r="D2" s="230"/>
      <c r="E2" s="230"/>
      <c r="F2" s="230"/>
      <c r="G2" s="230"/>
      <c r="H2" s="230"/>
      <c r="I2" s="230"/>
      <c r="J2" s="230"/>
      <c r="K2" s="246"/>
      <c r="L2" s="246"/>
      <c r="M2" s="246"/>
      <c r="N2" s="246"/>
      <c r="O2" s="246" t="s">
        <v>67</v>
      </c>
      <c r="P2" s="246"/>
    </row>
    <row r="3" ht="14.25" spans="1:16">
      <c r="A3" s="231" t="s">
        <v>68</v>
      </c>
      <c r="B3" s="232" t="s">
        <v>69</v>
      </c>
      <c r="C3" s="232" t="s">
        <v>70</v>
      </c>
      <c r="D3" s="233" t="s">
        <v>71</v>
      </c>
      <c r="E3" s="234" t="s">
        <v>338</v>
      </c>
      <c r="F3" s="234"/>
      <c r="G3" s="234"/>
      <c r="H3" s="234"/>
      <c r="I3" s="234"/>
      <c r="J3" s="234"/>
      <c r="K3" s="234" t="s">
        <v>339</v>
      </c>
      <c r="L3" s="234" t="s">
        <v>340</v>
      </c>
      <c r="M3" s="237" t="s">
        <v>341</v>
      </c>
      <c r="N3" s="237" t="s">
        <v>342</v>
      </c>
      <c r="O3" s="234" t="s">
        <v>343</v>
      </c>
      <c r="P3" s="234" t="s">
        <v>74</v>
      </c>
    </row>
    <row r="4" ht="27" spans="1:16">
      <c r="A4" s="235"/>
      <c r="B4" s="236"/>
      <c r="C4" s="236"/>
      <c r="D4" s="233"/>
      <c r="E4" s="237" t="s">
        <v>344</v>
      </c>
      <c r="F4" s="237" t="s">
        <v>345</v>
      </c>
      <c r="G4" s="237" t="s">
        <v>346</v>
      </c>
      <c r="H4" s="237" t="s">
        <v>347</v>
      </c>
      <c r="I4" s="237" t="s">
        <v>348</v>
      </c>
      <c r="J4" s="237" t="s">
        <v>75</v>
      </c>
      <c r="K4" s="234"/>
      <c r="L4" s="234"/>
      <c r="M4" s="237"/>
      <c r="N4" s="237"/>
      <c r="O4" s="234"/>
      <c r="P4" s="234"/>
    </row>
    <row r="5" ht="14.25" spans="1:16">
      <c r="A5" s="238"/>
      <c r="B5" s="234" t="s">
        <v>349</v>
      </c>
      <c r="C5" s="234" t="s">
        <v>350</v>
      </c>
      <c r="D5" s="234" t="s">
        <v>351</v>
      </c>
      <c r="E5" s="234" t="s">
        <v>352</v>
      </c>
      <c r="F5" s="234" t="s">
        <v>353</v>
      </c>
      <c r="G5" s="234" t="s">
        <v>354</v>
      </c>
      <c r="H5" s="234" t="s">
        <v>355</v>
      </c>
      <c r="I5" s="234" t="s">
        <v>356</v>
      </c>
      <c r="J5" s="234" t="s">
        <v>357</v>
      </c>
      <c r="K5" s="234" t="s">
        <v>358</v>
      </c>
      <c r="L5" s="234" t="s">
        <v>359</v>
      </c>
      <c r="M5" s="234" t="s">
        <v>360</v>
      </c>
      <c r="N5" s="234" t="s">
        <v>361</v>
      </c>
      <c r="O5" s="234" t="s">
        <v>362</v>
      </c>
      <c r="P5" s="234" t="s">
        <v>363</v>
      </c>
    </row>
    <row r="6" ht="27" spans="1:16">
      <c r="A6" s="239" t="s">
        <v>364</v>
      </c>
      <c r="B6" s="239" t="s">
        <v>365</v>
      </c>
      <c r="C6" s="240" t="s">
        <v>366</v>
      </c>
      <c r="D6" s="233"/>
      <c r="E6" s="241"/>
      <c r="F6" s="241"/>
      <c r="G6" s="241"/>
      <c r="H6" s="241"/>
      <c r="I6" s="241"/>
      <c r="J6" s="241"/>
      <c r="K6" s="241"/>
      <c r="L6" s="241"/>
      <c r="M6" s="241"/>
      <c r="N6" s="241"/>
      <c r="O6" s="241"/>
      <c r="P6" s="241"/>
    </row>
    <row r="7" ht="27" spans="1:16">
      <c r="A7" s="239" t="s">
        <v>38</v>
      </c>
      <c r="B7" s="239" t="s">
        <v>365</v>
      </c>
      <c r="C7" s="240" t="s">
        <v>367</v>
      </c>
      <c r="D7" s="242"/>
      <c r="E7" s="243"/>
      <c r="F7" s="243"/>
      <c r="G7" s="243"/>
      <c r="H7" s="243"/>
      <c r="I7" s="243"/>
      <c r="J7" s="243"/>
      <c r="K7" s="243"/>
      <c r="L7" s="243"/>
      <c r="M7" s="243"/>
      <c r="N7" s="243"/>
      <c r="O7" s="243"/>
      <c r="P7" s="243"/>
    </row>
    <row r="8" ht="15" spans="1:16">
      <c r="A8" s="244"/>
      <c r="B8" s="244"/>
      <c r="C8" s="244"/>
      <c r="D8" s="244"/>
      <c r="E8" s="244"/>
      <c r="F8" s="244"/>
      <c r="G8" s="244"/>
      <c r="H8" s="244"/>
      <c r="I8" s="244"/>
      <c r="J8" s="244"/>
      <c r="K8" s="244"/>
      <c r="L8" s="244"/>
      <c r="M8" s="244"/>
      <c r="N8" s="244"/>
      <c r="O8" s="244"/>
      <c r="P8" s="244"/>
    </row>
    <row r="9" ht="15" spans="1:16">
      <c r="A9" s="244"/>
      <c r="B9" s="244"/>
      <c r="C9" s="244"/>
      <c r="D9" s="244"/>
      <c r="E9" s="244"/>
      <c r="F9" s="244"/>
      <c r="G9" s="244"/>
      <c r="H9" s="244"/>
      <c r="I9" s="244"/>
      <c r="J9" s="244"/>
      <c r="K9" s="244"/>
      <c r="L9" s="244"/>
      <c r="M9" s="244"/>
      <c r="N9" s="244"/>
      <c r="O9" s="244"/>
      <c r="P9" s="244"/>
    </row>
    <row r="10" ht="14.25" spans="1:16">
      <c r="A10" s="245" t="s">
        <v>368</v>
      </c>
      <c r="B10" s="245"/>
      <c r="C10" s="245"/>
      <c r="D10" s="245"/>
      <c r="E10" s="245"/>
      <c r="F10" s="245"/>
      <c r="G10" s="245"/>
      <c r="H10" s="245"/>
      <c r="I10" s="245"/>
      <c r="J10" s="245"/>
      <c r="K10" s="245"/>
      <c r="L10" s="245"/>
      <c r="M10" s="245"/>
      <c r="N10" s="245"/>
      <c r="O10" s="245"/>
      <c r="P10" s="245"/>
    </row>
  </sheetData>
  <mergeCells count="16">
    <mergeCell ref="A1:B1"/>
    <mergeCell ref="C1:P1"/>
    <mergeCell ref="A2:J2"/>
    <mergeCell ref="O2:P2"/>
    <mergeCell ref="E3:J3"/>
    <mergeCell ref="A10:P10"/>
    <mergeCell ref="A3:A5"/>
    <mergeCell ref="B3:B4"/>
    <mergeCell ref="C3:C4"/>
    <mergeCell ref="D3:D4"/>
    <mergeCell ref="K3:K4"/>
    <mergeCell ref="L3:L4"/>
    <mergeCell ref="M3:M4"/>
    <mergeCell ref="N3:N4"/>
    <mergeCell ref="O3:O4"/>
    <mergeCell ref="P3:P4"/>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G20"/>
  <sheetViews>
    <sheetView workbookViewId="0">
      <selection activeCell="G20" sqref="G20"/>
    </sheetView>
  </sheetViews>
  <sheetFormatPr defaultColWidth="9" defaultRowHeight="14.25" outlineLevelCol="6"/>
  <cols>
    <col min="4" max="4" width="12.2" customWidth="1"/>
    <col min="5" max="5" width="18.1" customWidth="1"/>
    <col min="6" max="6" width="11" customWidth="1"/>
    <col min="7" max="7" width="42" customWidth="1"/>
  </cols>
  <sheetData>
    <row r="5" spans="4:7">
      <c r="D5" s="173" t="s">
        <v>369</v>
      </c>
      <c r="E5" s="173" t="s">
        <v>370</v>
      </c>
      <c r="F5" t="e">
        <f>#REF!</f>
        <v>#REF!</v>
      </c>
      <c r="G5" s="173" t="s">
        <v>371</v>
      </c>
    </row>
    <row r="6" spans="5:6">
      <c r="E6" s="173"/>
      <c r="F6" t="e">
        <f>#REF!</f>
        <v>#REF!</v>
      </c>
    </row>
    <row r="7" spans="5:6">
      <c r="E7" s="173"/>
      <c r="F7" t="e">
        <f>#REF!+#REF!+#REF!+#REF!+#REF!</f>
        <v>#REF!</v>
      </c>
    </row>
    <row r="8" spans="5:7">
      <c r="E8" s="173"/>
      <c r="F8" t="e">
        <f>#REF!+#REF!</f>
        <v>#REF!</v>
      </c>
      <c r="G8" s="173" t="s">
        <v>372</v>
      </c>
    </row>
    <row r="9" spans="5:7">
      <c r="E9" s="173"/>
      <c r="F9" t="e">
        <f>#REF!</f>
        <v>#REF!</v>
      </c>
      <c r="G9" s="173" t="s">
        <v>373</v>
      </c>
    </row>
    <row r="10" spans="5:5">
      <c r="E10" s="173"/>
    </row>
    <row r="12" spans="5:6">
      <c r="E12" s="173" t="s">
        <v>374</v>
      </c>
      <c r="F12">
        <v>1</v>
      </c>
    </row>
    <row r="13" spans="6:6">
      <c r="F13">
        <v>1</v>
      </c>
    </row>
    <row r="14" spans="6:6">
      <c r="F14">
        <v>1</v>
      </c>
    </row>
    <row r="15" spans="6:6">
      <c r="F15">
        <v>1</v>
      </c>
    </row>
    <row r="16" spans="5:6">
      <c r="E16" s="173" t="s">
        <v>375</v>
      </c>
      <c r="F16" t="e">
        <f>#REF!</f>
        <v>#REF!</v>
      </c>
    </row>
    <row r="17" spans="5:6">
      <c r="E17" s="173"/>
      <c r="F17" t="e">
        <f>#REF!+#REF!+#REF!</f>
        <v>#REF!</v>
      </c>
    </row>
    <row r="18" spans="5:6">
      <c r="E18" s="173" t="s">
        <v>376</v>
      </c>
      <c r="F18" t="e">
        <f>庭院经济</f>
        <v>#NAME?</v>
      </c>
    </row>
    <row r="19" spans="5:6">
      <c r="E19" s="173" t="s">
        <v>377</v>
      </c>
      <c r="F19" t="e">
        <f>#REF!</f>
        <v>#REF!</v>
      </c>
    </row>
    <row r="20" spans="6:6">
      <c r="F20" t="e">
        <f>#REF!</f>
        <v>#REF!</v>
      </c>
    </row>
  </sheetData>
  <pageMargins left="0.7" right="0.7" top="0.75" bottom="0.75" header="0.3" footer="0.3"/>
  <pageSetup paperSize="9" orientation="portrait" horizontalDpi="1200" verticalDpi="12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workbookViewId="0">
      <pane xSplit="3" ySplit="2" topLeftCell="D3" activePane="bottomRight" state="frozen"/>
      <selection/>
      <selection pane="topRight"/>
      <selection pane="bottomLeft"/>
      <selection pane="bottomRight" activeCell="I56" sqref="A1:I56"/>
    </sheetView>
  </sheetViews>
  <sheetFormatPr defaultColWidth="9" defaultRowHeight="18.6" customHeight="1"/>
  <cols>
    <col min="1" max="1" width="8.9" customWidth="1"/>
    <col min="2" max="2" width="14.5" customWidth="1"/>
    <col min="3" max="3" width="27.9" customWidth="1"/>
    <col min="4" max="4" width="13.2" style="201" customWidth="1"/>
    <col min="5" max="5" width="13.2" customWidth="1"/>
    <col min="6" max="6" width="13.2" style="202" customWidth="1"/>
    <col min="7" max="7" width="13.2" style="203" customWidth="1"/>
    <col min="8" max="8" width="13.2" customWidth="1"/>
    <col min="9" max="9" width="9.9" customWidth="1"/>
  </cols>
  <sheetData>
    <row r="1" customHeight="1" spans="1:9">
      <c r="A1" s="204" t="s">
        <v>378</v>
      </c>
      <c r="B1" s="204" t="s">
        <v>379</v>
      </c>
      <c r="C1" s="204" t="s">
        <v>380</v>
      </c>
      <c r="D1" s="205" t="s">
        <v>381</v>
      </c>
      <c r="E1" s="206" t="s">
        <v>382</v>
      </c>
      <c r="F1" s="207" t="s">
        <v>383</v>
      </c>
      <c r="G1" s="208" t="s">
        <v>384</v>
      </c>
      <c r="H1" s="206" t="s">
        <v>385</v>
      </c>
      <c r="I1" s="206" t="s">
        <v>28</v>
      </c>
    </row>
    <row r="2" customHeight="1" spans="1:9">
      <c r="A2" s="204"/>
      <c r="B2" s="204"/>
      <c r="C2" s="204"/>
      <c r="D2" s="205" t="s">
        <v>386</v>
      </c>
      <c r="E2" s="206" t="s">
        <v>387</v>
      </c>
      <c r="F2" s="207" t="s">
        <v>388</v>
      </c>
      <c r="G2" s="208" t="s">
        <v>389</v>
      </c>
      <c r="H2" s="206" t="s">
        <v>390</v>
      </c>
      <c r="I2" s="206"/>
    </row>
    <row r="3" customHeight="1" spans="1:9">
      <c r="A3" s="87">
        <v>1</v>
      </c>
      <c r="B3" s="100" t="s">
        <v>391</v>
      </c>
      <c r="C3" s="100" t="s">
        <v>392</v>
      </c>
      <c r="D3" s="209"/>
      <c r="E3" s="210"/>
      <c r="F3" s="211"/>
      <c r="G3" s="212">
        <v>27</v>
      </c>
      <c r="H3" s="210"/>
      <c r="I3" s="90">
        <f>SUM(D3:H3)</f>
        <v>27</v>
      </c>
    </row>
    <row r="4" customHeight="1" spans="1:9">
      <c r="A4" s="87">
        <v>2</v>
      </c>
      <c r="B4" s="100" t="s">
        <v>391</v>
      </c>
      <c r="C4" s="100" t="s">
        <v>393</v>
      </c>
      <c r="D4" s="213">
        <v>1259</v>
      </c>
      <c r="E4" s="210"/>
      <c r="F4" s="214">
        <v>275</v>
      </c>
      <c r="G4" s="215"/>
      <c r="H4" s="210"/>
      <c r="I4" s="90">
        <f t="shared" ref="I4:I55" si="0">SUM(D4:H4)</f>
        <v>1534</v>
      </c>
    </row>
    <row r="5" customHeight="1" spans="1:9">
      <c r="A5" s="87">
        <v>3</v>
      </c>
      <c r="B5" s="100" t="s">
        <v>391</v>
      </c>
      <c r="C5" s="100" t="s">
        <v>394</v>
      </c>
      <c r="D5" s="209"/>
      <c r="E5" s="210"/>
      <c r="F5" s="214">
        <v>5143</v>
      </c>
      <c r="G5" s="215"/>
      <c r="H5" s="210"/>
      <c r="I5" s="90">
        <f t="shared" si="0"/>
        <v>5143</v>
      </c>
    </row>
    <row r="6" customHeight="1" spans="1:9">
      <c r="A6" s="87">
        <v>4</v>
      </c>
      <c r="B6" s="105" t="s">
        <v>395</v>
      </c>
      <c r="C6" s="100" t="s">
        <v>396</v>
      </c>
      <c r="D6" s="213"/>
      <c r="E6" s="210"/>
      <c r="F6" s="214">
        <v>336</v>
      </c>
      <c r="G6" s="212"/>
      <c r="H6" s="210"/>
      <c r="I6" s="90">
        <f t="shared" si="0"/>
        <v>336</v>
      </c>
    </row>
    <row r="7" customHeight="1" spans="1:9">
      <c r="A7" s="87">
        <v>5</v>
      </c>
      <c r="B7" s="105" t="s">
        <v>395</v>
      </c>
      <c r="C7" s="100" t="s">
        <v>397</v>
      </c>
      <c r="D7" s="209"/>
      <c r="E7" s="210" t="e">
        <f>#REF!</f>
        <v>#REF!</v>
      </c>
      <c r="F7" s="214">
        <v>20317</v>
      </c>
      <c r="G7" s="215"/>
      <c r="H7" s="210"/>
      <c r="I7" s="90" t="e">
        <f t="shared" si="0"/>
        <v>#REF!</v>
      </c>
    </row>
    <row r="8" customHeight="1" spans="1:9">
      <c r="A8" s="87">
        <v>6</v>
      </c>
      <c r="B8" s="105" t="s">
        <v>398</v>
      </c>
      <c r="C8" s="100" t="s">
        <v>393</v>
      </c>
      <c r="D8" s="209"/>
      <c r="E8" s="90"/>
      <c r="F8" s="214">
        <v>275</v>
      </c>
      <c r="G8" s="215"/>
      <c r="H8" s="210"/>
      <c r="I8" s="90">
        <f t="shared" si="0"/>
        <v>275</v>
      </c>
    </row>
    <row r="9" customHeight="1" spans="1:9">
      <c r="A9" s="87">
        <v>7</v>
      </c>
      <c r="B9" s="105" t="s">
        <v>399</v>
      </c>
      <c r="C9" s="100" t="s">
        <v>396</v>
      </c>
      <c r="D9" s="213"/>
      <c r="E9" s="210"/>
      <c r="F9" s="214">
        <v>1176</v>
      </c>
      <c r="G9" s="212"/>
      <c r="H9" s="210"/>
      <c r="I9" s="90">
        <f t="shared" si="0"/>
        <v>1176</v>
      </c>
    </row>
    <row r="10" customHeight="1" spans="1:9">
      <c r="A10" s="87">
        <v>8</v>
      </c>
      <c r="B10" s="100" t="s">
        <v>400</v>
      </c>
      <c r="C10" s="100" t="s">
        <v>401</v>
      </c>
      <c r="D10" s="213">
        <v>1704</v>
      </c>
      <c r="E10" s="210"/>
      <c r="F10" s="214"/>
      <c r="G10" s="212">
        <v>46</v>
      </c>
      <c r="H10" s="210"/>
      <c r="I10" s="90">
        <f t="shared" si="0"/>
        <v>1750</v>
      </c>
    </row>
    <row r="11" customHeight="1" spans="1:9">
      <c r="A11" s="87">
        <v>9</v>
      </c>
      <c r="B11" s="105" t="s">
        <v>402</v>
      </c>
      <c r="C11" s="100" t="s">
        <v>403</v>
      </c>
      <c r="D11" s="213"/>
      <c r="E11" s="210" t="e">
        <f>#REF!</f>
        <v>#REF!</v>
      </c>
      <c r="F11" s="214">
        <v>41207</v>
      </c>
      <c r="G11" s="215"/>
      <c r="H11" s="210"/>
      <c r="I11" s="90" t="e">
        <f t="shared" si="0"/>
        <v>#REF!</v>
      </c>
    </row>
    <row r="12" customHeight="1" spans="1:9">
      <c r="A12" s="87">
        <v>10</v>
      </c>
      <c r="B12" s="100" t="s">
        <v>404</v>
      </c>
      <c r="C12" s="100" t="s">
        <v>405</v>
      </c>
      <c r="D12" s="213">
        <v>1531</v>
      </c>
      <c r="E12" s="210"/>
      <c r="F12" s="211">
        <v>4075</v>
      </c>
      <c r="G12" s="215">
        <v>4431</v>
      </c>
      <c r="H12" s="210"/>
      <c r="I12" s="90">
        <f t="shared" si="0"/>
        <v>10037</v>
      </c>
    </row>
    <row r="13" customHeight="1" spans="1:9">
      <c r="A13" s="87">
        <v>11</v>
      </c>
      <c r="B13" s="216" t="s">
        <v>406</v>
      </c>
      <c r="C13" s="100" t="s">
        <v>407</v>
      </c>
      <c r="D13" s="213">
        <v>1704</v>
      </c>
      <c r="E13" s="210"/>
      <c r="F13" s="214">
        <v>3760</v>
      </c>
      <c r="G13" s="215">
        <v>5806</v>
      </c>
      <c r="H13" s="210"/>
      <c r="I13" s="90">
        <f t="shared" si="0"/>
        <v>11270</v>
      </c>
    </row>
    <row r="14" customHeight="1" spans="1:9">
      <c r="A14" s="87">
        <v>12</v>
      </c>
      <c r="B14" s="105" t="s">
        <v>408</v>
      </c>
      <c r="C14" s="100" t="s">
        <v>409</v>
      </c>
      <c r="D14" s="209">
        <v>135</v>
      </c>
      <c r="E14" s="210"/>
      <c r="F14" s="211"/>
      <c r="G14" s="212"/>
      <c r="H14" s="90"/>
      <c r="I14" s="90">
        <f t="shared" si="0"/>
        <v>135</v>
      </c>
    </row>
    <row r="15" customHeight="1" spans="1:9">
      <c r="A15" s="87">
        <v>13</v>
      </c>
      <c r="B15" s="100" t="s">
        <v>410</v>
      </c>
      <c r="C15" s="100" t="s">
        <v>411</v>
      </c>
      <c r="D15" s="209">
        <v>605</v>
      </c>
      <c r="E15" s="210"/>
      <c r="F15" s="211"/>
      <c r="G15" s="212"/>
      <c r="H15" s="90"/>
      <c r="I15" s="90">
        <f t="shared" si="0"/>
        <v>605</v>
      </c>
    </row>
    <row r="16" customHeight="1" spans="1:9">
      <c r="A16" s="87">
        <v>14</v>
      </c>
      <c r="B16" s="100" t="s">
        <v>412</v>
      </c>
      <c r="C16" s="100" t="s">
        <v>411</v>
      </c>
      <c r="D16" s="209">
        <v>1495</v>
      </c>
      <c r="E16" s="210"/>
      <c r="F16" s="211">
        <v>2029</v>
      </c>
      <c r="G16" s="212"/>
      <c r="H16" s="90"/>
      <c r="I16" s="90">
        <f t="shared" si="0"/>
        <v>3524</v>
      </c>
    </row>
    <row r="17" customHeight="1" spans="1:9">
      <c r="A17" s="87">
        <v>15</v>
      </c>
      <c r="B17" s="100" t="s">
        <v>413</v>
      </c>
      <c r="C17" s="100" t="s">
        <v>411</v>
      </c>
      <c r="D17" s="209">
        <v>1099</v>
      </c>
      <c r="E17" s="210"/>
      <c r="F17" s="211">
        <v>853</v>
      </c>
      <c r="G17" s="212"/>
      <c r="H17" s="90"/>
      <c r="I17" s="90">
        <f t="shared" si="0"/>
        <v>1952</v>
      </c>
    </row>
    <row r="18" customHeight="1" spans="1:9">
      <c r="A18" s="87">
        <v>16</v>
      </c>
      <c r="B18" s="105" t="s">
        <v>414</v>
      </c>
      <c r="C18" s="100" t="s">
        <v>411</v>
      </c>
      <c r="D18" s="209"/>
      <c r="E18" s="210"/>
      <c r="F18" s="211">
        <v>611</v>
      </c>
      <c r="G18" s="215"/>
      <c r="H18" s="90"/>
      <c r="I18" s="90">
        <f t="shared" si="0"/>
        <v>611</v>
      </c>
    </row>
    <row r="19" customHeight="1" spans="1:9">
      <c r="A19" s="87">
        <v>17</v>
      </c>
      <c r="B19" s="100" t="s">
        <v>415</v>
      </c>
      <c r="C19" s="100" t="s">
        <v>411</v>
      </c>
      <c r="D19" s="209">
        <v>489</v>
      </c>
      <c r="E19" s="210"/>
      <c r="F19" s="211"/>
      <c r="G19" s="215"/>
      <c r="H19" s="90"/>
      <c r="I19" s="90">
        <f t="shared" si="0"/>
        <v>489</v>
      </c>
    </row>
    <row r="20" customHeight="1" spans="1:9">
      <c r="A20" s="87">
        <v>18</v>
      </c>
      <c r="B20" s="100" t="s">
        <v>416</v>
      </c>
      <c r="C20" s="100" t="s">
        <v>411</v>
      </c>
      <c r="D20" s="209">
        <v>1099</v>
      </c>
      <c r="E20" s="210"/>
      <c r="F20" s="211">
        <v>1709</v>
      </c>
      <c r="G20" s="212"/>
      <c r="H20" s="90"/>
      <c r="I20" s="90">
        <f t="shared" si="0"/>
        <v>2808</v>
      </c>
    </row>
    <row r="21" customHeight="1" spans="1:9">
      <c r="A21" s="87">
        <v>19</v>
      </c>
      <c r="B21" s="216" t="s">
        <v>417</v>
      </c>
      <c r="C21" s="100" t="s">
        <v>418</v>
      </c>
      <c r="D21" s="209"/>
      <c r="E21" s="210"/>
      <c r="F21" s="211"/>
      <c r="G21" s="212">
        <v>1300</v>
      </c>
      <c r="H21" s="90" t="e">
        <f>#REF!+#REF!</f>
        <v>#REF!</v>
      </c>
      <c r="I21" s="90" t="e">
        <f t="shared" si="0"/>
        <v>#REF!</v>
      </c>
    </row>
    <row r="22" customHeight="1" spans="1:9">
      <c r="A22" s="87">
        <v>20</v>
      </c>
      <c r="B22" s="216" t="s">
        <v>419</v>
      </c>
      <c r="C22" s="100" t="s">
        <v>418</v>
      </c>
      <c r="D22" s="209"/>
      <c r="E22" s="210"/>
      <c r="F22" s="211"/>
      <c r="G22" s="212">
        <v>4020</v>
      </c>
      <c r="H22" s="210" t="e">
        <f>#REF!</f>
        <v>#REF!</v>
      </c>
      <c r="I22" s="90" t="e">
        <f t="shared" si="0"/>
        <v>#REF!</v>
      </c>
    </row>
    <row r="23" customHeight="1" spans="1:9">
      <c r="A23" s="87">
        <v>21</v>
      </c>
      <c r="B23" s="216" t="s">
        <v>420</v>
      </c>
      <c r="C23" s="100" t="s">
        <v>418</v>
      </c>
      <c r="D23" s="213"/>
      <c r="E23" s="210"/>
      <c r="F23" s="211"/>
      <c r="G23" s="215">
        <v>801</v>
      </c>
      <c r="H23" t="e">
        <f>#REF!+#REF!</f>
        <v>#REF!</v>
      </c>
      <c r="I23" s="90" t="e">
        <f t="shared" si="0"/>
        <v>#REF!</v>
      </c>
    </row>
    <row r="24" customHeight="1" spans="1:9">
      <c r="A24" s="87">
        <v>22</v>
      </c>
      <c r="B24" s="216" t="s">
        <v>421</v>
      </c>
      <c r="C24" s="100" t="s">
        <v>418</v>
      </c>
      <c r="D24" s="213"/>
      <c r="E24" s="210"/>
      <c r="F24" s="211"/>
      <c r="G24" s="215"/>
      <c r="H24" s="210" t="e">
        <f>#REF!</f>
        <v>#REF!</v>
      </c>
      <c r="I24" s="90" t="e">
        <f t="shared" si="0"/>
        <v>#REF!</v>
      </c>
    </row>
    <row r="25" customHeight="1" spans="1:9">
      <c r="A25" s="87">
        <v>23</v>
      </c>
      <c r="B25" s="216" t="s">
        <v>422</v>
      </c>
      <c r="C25" s="100" t="s">
        <v>418</v>
      </c>
      <c r="D25" s="213"/>
      <c r="E25" s="210"/>
      <c r="G25" s="90">
        <v>4099</v>
      </c>
      <c r="H25" s="210" t="e">
        <f>#REF!+#REF!</f>
        <v>#REF!</v>
      </c>
      <c r="I25" s="90" t="e">
        <f t="shared" si="0"/>
        <v>#REF!</v>
      </c>
    </row>
    <row r="26" customHeight="1" spans="1:9">
      <c r="A26" s="87">
        <v>24</v>
      </c>
      <c r="B26" s="216" t="s">
        <v>423</v>
      </c>
      <c r="C26" s="100" t="s">
        <v>418</v>
      </c>
      <c r="D26" s="213"/>
      <c r="E26" s="210"/>
      <c r="G26" s="210">
        <v>3775</v>
      </c>
      <c r="H26" s="90" t="e">
        <f>#REF!+#REF!</f>
        <v>#REF!</v>
      </c>
      <c r="I26" s="90" t="e">
        <f t="shared" si="0"/>
        <v>#REF!</v>
      </c>
    </row>
    <row r="27" customHeight="1" spans="1:9">
      <c r="A27" s="87">
        <v>25</v>
      </c>
      <c r="B27" s="216" t="s">
        <v>424</v>
      </c>
      <c r="C27" s="100" t="s">
        <v>418</v>
      </c>
      <c r="D27" s="213"/>
      <c r="E27" s="210"/>
      <c r="G27" s="90">
        <v>1625</v>
      </c>
      <c r="H27" s="90" t="e">
        <f>#REF!</f>
        <v>#REF!</v>
      </c>
      <c r="I27" s="90" t="e">
        <f t="shared" si="0"/>
        <v>#REF!</v>
      </c>
    </row>
    <row r="28" customHeight="1" spans="1:9">
      <c r="A28" s="87">
        <v>26</v>
      </c>
      <c r="B28" s="216" t="s">
        <v>425</v>
      </c>
      <c r="C28" s="100" t="s">
        <v>418</v>
      </c>
      <c r="D28" s="213"/>
      <c r="E28" s="210"/>
      <c r="F28" s="211"/>
      <c r="G28" s="212">
        <v>3525</v>
      </c>
      <c r="H28" s="90"/>
      <c r="I28" s="90">
        <f t="shared" si="0"/>
        <v>3525</v>
      </c>
    </row>
    <row r="29" customHeight="1" spans="1:9">
      <c r="A29" s="87">
        <v>27</v>
      </c>
      <c r="B29" s="216" t="s">
        <v>426</v>
      </c>
      <c r="C29" s="100" t="s">
        <v>418</v>
      </c>
      <c r="D29" s="213">
        <v>1099</v>
      </c>
      <c r="E29" s="210"/>
      <c r="F29" s="211"/>
      <c r="G29" s="212">
        <v>4811</v>
      </c>
      <c r="H29" s="90"/>
      <c r="I29" s="90">
        <f t="shared" si="0"/>
        <v>5910</v>
      </c>
    </row>
    <row r="30" customHeight="1" spans="1:9">
      <c r="A30" s="87">
        <v>28</v>
      </c>
      <c r="B30" s="217" t="s">
        <v>427</v>
      </c>
      <c r="C30" s="100" t="s">
        <v>418</v>
      </c>
      <c r="D30" s="213"/>
      <c r="E30" s="210"/>
      <c r="F30" s="214"/>
      <c r="G30" s="215">
        <v>5856</v>
      </c>
      <c r="H30" s="210"/>
      <c r="I30" s="90">
        <f t="shared" si="0"/>
        <v>5856</v>
      </c>
    </row>
    <row r="31" customHeight="1" spans="1:9">
      <c r="A31" s="87">
        <v>29</v>
      </c>
      <c r="B31" s="217" t="s">
        <v>428</v>
      </c>
      <c r="C31" s="105" t="s">
        <v>429</v>
      </c>
      <c r="D31" s="213">
        <v>4203</v>
      </c>
      <c r="E31" s="210"/>
      <c r="F31" s="211"/>
      <c r="G31" s="212">
        <v>332</v>
      </c>
      <c r="H31" s="210"/>
      <c r="I31" s="90">
        <f t="shared" si="0"/>
        <v>4535</v>
      </c>
    </row>
    <row r="32" customHeight="1" spans="1:9">
      <c r="A32" s="87">
        <v>30</v>
      </c>
      <c r="B32" s="216" t="s">
        <v>430</v>
      </c>
      <c r="C32" s="100" t="s">
        <v>431</v>
      </c>
      <c r="D32" s="213">
        <v>109695</v>
      </c>
      <c r="E32" s="210"/>
      <c r="F32" s="211"/>
      <c r="G32" s="215"/>
      <c r="H32" s="210"/>
      <c r="I32" s="90">
        <f t="shared" si="0"/>
        <v>109695</v>
      </c>
    </row>
    <row r="33" customHeight="1" spans="1:9">
      <c r="A33" s="87">
        <v>31</v>
      </c>
      <c r="B33" s="217" t="s">
        <v>432</v>
      </c>
      <c r="C33" s="100" t="s">
        <v>433</v>
      </c>
      <c r="D33" s="213">
        <v>428678</v>
      </c>
      <c r="E33" s="210"/>
      <c r="F33" s="214"/>
      <c r="G33" s="212"/>
      <c r="H33" s="210"/>
      <c r="I33" s="90">
        <f t="shared" si="0"/>
        <v>428678</v>
      </c>
    </row>
    <row r="34" customHeight="1" spans="1:9">
      <c r="A34" s="87">
        <v>32</v>
      </c>
      <c r="B34" s="216" t="s">
        <v>434</v>
      </c>
      <c r="C34" s="100" t="s">
        <v>435</v>
      </c>
      <c r="D34" s="213">
        <v>14634</v>
      </c>
      <c r="E34" s="90"/>
      <c r="F34" s="214">
        <v>344</v>
      </c>
      <c r="G34" s="215">
        <v>1021</v>
      </c>
      <c r="H34" s="210"/>
      <c r="I34" s="90">
        <f t="shared" si="0"/>
        <v>15999</v>
      </c>
    </row>
    <row r="35" customHeight="1" spans="1:9">
      <c r="A35" s="87">
        <v>33</v>
      </c>
      <c r="B35" s="216" t="s">
        <v>436</v>
      </c>
      <c r="C35" s="100" t="s">
        <v>435</v>
      </c>
      <c r="D35" s="209">
        <v>22126</v>
      </c>
      <c r="E35" s="90"/>
      <c r="F35" s="214"/>
      <c r="G35" s="215">
        <v>589</v>
      </c>
      <c r="H35" s="210"/>
      <c r="I35" s="90">
        <f t="shared" si="0"/>
        <v>22715</v>
      </c>
    </row>
    <row r="36" customHeight="1" spans="1:9">
      <c r="A36" s="87">
        <v>34</v>
      </c>
      <c r="B36" s="216" t="s">
        <v>437</v>
      </c>
      <c r="C36" s="100" t="s">
        <v>435</v>
      </c>
      <c r="D36" s="209">
        <v>20866</v>
      </c>
      <c r="E36" s="210"/>
      <c r="F36" s="211">
        <v>3938</v>
      </c>
      <c r="G36" s="212">
        <v>1121</v>
      </c>
      <c r="H36" s="210"/>
      <c r="I36" s="90">
        <f t="shared" si="0"/>
        <v>25925</v>
      </c>
    </row>
    <row r="37" customHeight="1" spans="1:9">
      <c r="A37" s="87">
        <v>35</v>
      </c>
      <c r="B37" s="216" t="s">
        <v>438</v>
      </c>
      <c r="C37" s="100" t="s">
        <v>435</v>
      </c>
      <c r="D37" s="209">
        <v>185</v>
      </c>
      <c r="E37" s="210"/>
      <c r="F37" s="211">
        <v>1300</v>
      </c>
      <c r="G37" s="212">
        <v>100</v>
      </c>
      <c r="H37" s="210"/>
      <c r="I37" s="90">
        <f t="shared" si="0"/>
        <v>1585</v>
      </c>
    </row>
    <row r="38" customHeight="1" spans="1:9">
      <c r="A38" s="87">
        <v>36</v>
      </c>
      <c r="B38" s="216" t="s">
        <v>439</v>
      </c>
      <c r="C38" s="100" t="s">
        <v>435</v>
      </c>
      <c r="D38" s="209">
        <v>14987</v>
      </c>
      <c r="E38" s="210"/>
      <c r="F38" s="211"/>
      <c r="G38" s="212">
        <v>1121</v>
      </c>
      <c r="H38" s="210"/>
      <c r="I38" s="90">
        <f t="shared" si="0"/>
        <v>16108</v>
      </c>
    </row>
    <row r="39" customHeight="1" spans="1:9">
      <c r="A39" s="87">
        <v>37</v>
      </c>
      <c r="B39" s="217" t="s">
        <v>440</v>
      </c>
      <c r="C39" s="100" t="s">
        <v>418</v>
      </c>
      <c r="D39" s="209"/>
      <c r="E39" s="210"/>
      <c r="F39" s="211"/>
      <c r="G39" s="212">
        <v>10</v>
      </c>
      <c r="H39" s="210"/>
      <c r="I39" s="90">
        <f t="shared" si="0"/>
        <v>10</v>
      </c>
    </row>
    <row r="40" customHeight="1" spans="1:9">
      <c r="A40" s="87">
        <v>38</v>
      </c>
      <c r="B40" s="216" t="s">
        <v>441</v>
      </c>
      <c r="C40" s="100" t="s">
        <v>435</v>
      </c>
      <c r="D40" s="213">
        <v>8620</v>
      </c>
      <c r="E40" s="210"/>
      <c r="F40" s="211">
        <v>1300</v>
      </c>
      <c r="G40" s="218">
        <v>962</v>
      </c>
      <c r="H40" s="90"/>
      <c r="I40" s="90">
        <f t="shared" si="0"/>
        <v>10882</v>
      </c>
    </row>
    <row r="41" customHeight="1" spans="1:9">
      <c r="A41" s="87">
        <v>39</v>
      </c>
      <c r="B41" s="216" t="s">
        <v>442</v>
      </c>
      <c r="C41" s="100" t="s">
        <v>435</v>
      </c>
      <c r="D41" s="213">
        <v>11493</v>
      </c>
      <c r="E41" s="210"/>
      <c r="F41" s="211"/>
      <c r="G41" s="212"/>
      <c r="H41" s="90"/>
      <c r="I41" s="90">
        <f t="shared" si="0"/>
        <v>11493</v>
      </c>
    </row>
    <row r="42" customHeight="1" spans="1:9">
      <c r="A42" s="87">
        <v>40</v>
      </c>
      <c r="B42" s="216" t="s">
        <v>443</v>
      </c>
      <c r="C42" s="100" t="s">
        <v>444</v>
      </c>
      <c r="D42" s="213">
        <v>865</v>
      </c>
      <c r="E42" s="210"/>
      <c r="F42" s="211">
        <v>403</v>
      </c>
      <c r="G42" s="212"/>
      <c r="H42" s="90"/>
      <c r="I42" s="90">
        <f t="shared" si="0"/>
        <v>1268</v>
      </c>
    </row>
    <row r="43" customHeight="1" spans="1:9">
      <c r="A43" s="87">
        <v>41</v>
      </c>
      <c r="B43" s="216" t="s">
        <v>445</v>
      </c>
      <c r="C43" s="100" t="s">
        <v>446</v>
      </c>
      <c r="D43" s="213">
        <v>1253</v>
      </c>
      <c r="E43" s="210"/>
      <c r="F43" s="211"/>
      <c r="G43" s="212">
        <v>338</v>
      </c>
      <c r="H43" s="90"/>
      <c r="I43" s="90">
        <f t="shared" si="0"/>
        <v>1591</v>
      </c>
    </row>
    <row r="44" customHeight="1" spans="1:9">
      <c r="A44" s="87">
        <v>42</v>
      </c>
      <c r="B44" s="216" t="s">
        <v>447</v>
      </c>
      <c r="C44" s="100" t="s">
        <v>448</v>
      </c>
      <c r="D44" s="213">
        <v>185</v>
      </c>
      <c r="E44" s="210"/>
      <c r="F44" s="211">
        <v>1300</v>
      </c>
      <c r="G44" s="212">
        <v>338</v>
      </c>
      <c r="H44" s="90"/>
      <c r="I44" s="90">
        <f t="shared" si="0"/>
        <v>1823</v>
      </c>
    </row>
    <row r="45" customHeight="1" spans="1:9">
      <c r="A45" s="87">
        <v>43</v>
      </c>
      <c r="B45" s="320" t="s">
        <v>449</v>
      </c>
      <c r="C45" s="100" t="s">
        <v>450</v>
      </c>
      <c r="D45" s="220"/>
      <c r="E45" s="221" t="e">
        <f>#REF!</f>
        <v>#REF!</v>
      </c>
      <c r="F45" s="222"/>
      <c r="G45" s="223"/>
      <c r="H45" s="221"/>
      <c r="I45" s="90" t="e">
        <f t="shared" si="0"/>
        <v>#REF!</v>
      </c>
    </row>
    <row r="46" customHeight="1" spans="1:9">
      <c r="A46" s="87">
        <v>44</v>
      </c>
      <c r="B46" s="320" t="s">
        <v>449</v>
      </c>
      <c r="C46" s="100" t="s">
        <v>451</v>
      </c>
      <c r="D46" s="220">
        <v>424</v>
      </c>
      <c r="E46" s="221"/>
      <c r="F46" s="222"/>
      <c r="G46" s="223"/>
      <c r="H46" s="221"/>
      <c r="I46" s="90">
        <f t="shared" si="0"/>
        <v>424</v>
      </c>
    </row>
    <row r="47" customHeight="1" spans="1:9">
      <c r="A47" s="87">
        <v>45</v>
      </c>
      <c r="B47" s="320" t="s">
        <v>452</v>
      </c>
      <c r="C47" s="100" t="s">
        <v>453</v>
      </c>
      <c r="D47" s="220"/>
      <c r="E47" s="221" t="e">
        <f>#REF!</f>
        <v>#REF!</v>
      </c>
      <c r="F47" s="222">
        <v>20207</v>
      </c>
      <c r="G47" s="223"/>
      <c r="H47" s="221"/>
      <c r="I47" s="90" t="e">
        <f t="shared" si="0"/>
        <v>#REF!</v>
      </c>
    </row>
    <row r="48" customHeight="1" spans="1:9">
      <c r="A48" s="87">
        <v>46</v>
      </c>
      <c r="B48" s="216" t="s">
        <v>454</v>
      </c>
      <c r="C48" s="100" t="s">
        <v>455</v>
      </c>
      <c r="D48" s="220"/>
      <c r="E48" s="221"/>
      <c r="F48" s="222"/>
      <c r="G48" s="223">
        <v>59</v>
      </c>
      <c r="H48" s="221"/>
      <c r="I48" s="90">
        <f t="shared" si="0"/>
        <v>59</v>
      </c>
    </row>
    <row r="49" customHeight="1" spans="1:9">
      <c r="A49" s="87">
        <v>47</v>
      </c>
      <c r="B49" s="216" t="s">
        <v>456</v>
      </c>
      <c r="C49" s="100" t="s">
        <v>455</v>
      </c>
      <c r="D49" s="220"/>
      <c r="E49" s="221"/>
      <c r="F49" s="222"/>
      <c r="G49" s="223">
        <v>36</v>
      </c>
      <c r="H49" s="221"/>
      <c r="I49" s="90">
        <f t="shared" si="0"/>
        <v>36</v>
      </c>
    </row>
    <row r="50" customHeight="1" spans="1:9">
      <c r="A50" s="87">
        <v>48</v>
      </c>
      <c r="B50" s="216" t="s">
        <v>457</v>
      </c>
      <c r="C50" s="100" t="s">
        <v>458</v>
      </c>
      <c r="D50" s="220"/>
      <c r="E50" s="221"/>
      <c r="F50" s="222"/>
      <c r="G50" s="223">
        <v>23</v>
      </c>
      <c r="H50" s="221"/>
      <c r="I50" s="90">
        <f t="shared" si="0"/>
        <v>23</v>
      </c>
    </row>
    <row r="51" customHeight="1" spans="1:9">
      <c r="A51" s="87">
        <v>49</v>
      </c>
      <c r="B51" s="216" t="s">
        <v>459</v>
      </c>
      <c r="C51" s="100" t="s">
        <v>455</v>
      </c>
      <c r="D51" s="220">
        <v>166341</v>
      </c>
      <c r="E51" s="221"/>
      <c r="F51" s="222"/>
      <c r="G51" s="223">
        <v>11409</v>
      </c>
      <c r="H51" s="221"/>
      <c r="I51" s="90">
        <f t="shared" si="0"/>
        <v>177750</v>
      </c>
    </row>
    <row r="52" customHeight="1" spans="1:9">
      <c r="A52" s="87">
        <v>50</v>
      </c>
      <c r="B52" s="216" t="s">
        <v>460</v>
      </c>
      <c r="C52" s="100" t="s">
        <v>455</v>
      </c>
      <c r="D52" s="220">
        <v>166341</v>
      </c>
      <c r="E52" s="221"/>
      <c r="F52" s="222"/>
      <c r="G52" s="223">
        <v>11409</v>
      </c>
      <c r="H52" s="221"/>
      <c r="I52" s="90">
        <f t="shared" si="0"/>
        <v>177750</v>
      </c>
    </row>
    <row r="53" customHeight="1" spans="1:9">
      <c r="A53" s="87">
        <v>51</v>
      </c>
      <c r="B53" s="216" t="s">
        <v>461</v>
      </c>
      <c r="C53" s="100" t="s">
        <v>455</v>
      </c>
      <c r="D53" s="220">
        <v>166341</v>
      </c>
      <c r="E53" s="221"/>
      <c r="F53" s="222"/>
      <c r="G53" s="223">
        <v>5920</v>
      </c>
      <c r="H53" s="221"/>
      <c r="I53" s="90">
        <f t="shared" si="0"/>
        <v>172261</v>
      </c>
    </row>
    <row r="54" customHeight="1" spans="1:9">
      <c r="A54" s="87">
        <v>52</v>
      </c>
      <c r="B54" s="216" t="s">
        <v>462</v>
      </c>
      <c r="C54" s="100" t="s">
        <v>455</v>
      </c>
      <c r="D54" s="220">
        <v>166341</v>
      </c>
      <c r="E54" s="221"/>
      <c r="F54" s="222"/>
      <c r="G54" s="223">
        <v>11409</v>
      </c>
      <c r="H54" s="221"/>
      <c r="I54" s="90">
        <f t="shared" si="0"/>
        <v>177750</v>
      </c>
    </row>
    <row r="55" customHeight="1" spans="1:9">
      <c r="A55" s="87">
        <v>53</v>
      </c>
      <c r="B55" s="216" t="s">
        <v>463</v>
      </c>
      <c r="C55" s="100" t="s">
        <v>455</v>
      </c>
      <c r="D55" s="220">
        <v>166341</v>
      </c>
      <c r="E55" s="221"/>
      <c r="F55" s="222"/>
      <c r="G55" s="223">
        <v>5920</v>
      </c>
      <c r="H55" s="221"/>
      <c r="I55" s="90">
        <f t="shared" si="0"/>
        <v>172261</v>
      </c>
    </row>
    <row r="56" customHeight="1" spans="1:9">
      <c r="A56" s="224" t="s">
        <v>28</v>
      </c>
      <c r="B56" s="225"/>
      <c r="C56" s="226" t="s">
        <v>117</v>
      </c>
      <c r="D56" s="201">
        <f>SUM(D3:D55)</f>
        <v>1482138</v>
      </c>
      <c r="E56" s="201" t="e">
        <f t="shared" ref="E56:I56" si="1">SUM(E3:E55)</f>
        <v>#REF!</v>
      </c>
      <c r="F56" s="201">
        <f t="shared" si="1"/>
        <v>110558</v>
      </c>
      <c r="G56" s="201">
        <f t="shared" si="1"/>
        <v>92239</v>
      </c>
      <c r="H56" s="201" t="e">
        <f t="shared" si="1"/>
        <v>#REF!</v>
      </c>
      <c r="I56" s="201" t="e">
        <f t="shared" si="1"/>
        <v>#REF!</v>
      </c>
    </row>
  </sheetData>
  <mergeCells count="5">
    <mergeCell ref="A56:B56"/>
    <mergeCell ref="A1:A2"/>
    <mergeCell ref="B1:B2"/>
    <mergeCell ref="C1:C2"/>
    <mergeCell ref="I1:I2"/>
  </mergeCells>
  <pageMargins left="0.7" right="0.7" top="0.75" bottom="0.75" header="0.3" footer="0.3"/>
  <pageSetup paperSize="9" orientation="portrait" horizontalDpi="1200" verticalDpi="12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6"/>
  <sheetViews>
    <sheetView tabSelected="1" view="pageBreakPreview" zoomScaleNormal="100" workbookViewId="0">
      <pane xSplit="3" ySplit="5" topLeftCell="D6" activePane="bottomRight" state="frozen"/>
      <selection/>
      <selection pane="topRight"/>
      <selection pane="bottomLeft"/>
      <selection pane="bottomRight" activeCell="A1" sqref="A1:G1"/>
    </sheetView>
  </sheetViews>
  <sheetFormatPr defaultColWidth="8.9" defaultRowHeight="15" outlineLevelCol="6"/>
  <cols>
    <col min="1" max="1" width="7" style="96" customWidth="1"/>
    <col min="2" max="2" width="38" style="187" customWidth="1"/>
    <col min="3" max="3" width="7" style="96" customWidth="1"/>
    <col min="4" max="4" width="11.7" style="96" hidden="1" customWidth="1"/>
    <col min="5" max="5" width="9.5" style="188" customWidth="1"/>
    <col min="6" max="6" width="10.6" style="186" customWidth="1"/>
    <col min="7" max="7" width="8.7" style="96" customWidth="1"/>
    <col min="8" max="16384" width="8.9" style="96"/>
  </cols>
  <sheetData>
    <row r="1" s="185" customFormat="1" ht="32.4" customHeight="1" spans="1:7">
      <c r="A1" s="189" t="s">
        <v>464</v>
      </c>
      <c r="B1" s="189"/>
      <c r="C1" s="189"/>
      <c r="D1" s="189"/>
      <c r="E1" s="189"/>
      <c r="F1" s="189"/>
      <c r="G1" s="189"/>
    </row>
    <row r="2" ht="22.5" customHeight="1" spans="1:7">
      <c r="A2" s="190" t="s">
        <v>68</v>
      </c>
      <c r="B2" s="128" t="s">
        <v>465</v>
      </c>
      <c r="C2" s="191" t="s">
        <v>71</v>
      </c>
      <c r="D2" s="191" t="s">
        <v>72</v>
      </c>
      <c r="E2" s="192" t="s">
        <v>73</v>
      </c>
      <c r="F2" s="191" t="s">
        <v>74</v>
      </c>
      <c r="G2" s="191" t="s">
        <v>75</v>
      </c>
    </row>
    <row r="3" ht="22.5" customHeight="1" spans="1:7">
      <c r="A3" s="190"/>
      <c r="B3" s="312" t="s">
        <v>466</v>
      </c>
      <c r="C3" s="312" t="s">
        <v>467</v>
      </c>
      <c r="D3" s="312" t="s">
        <v>80</v>
      </c>
      <c r="E3" s="321" t="s">
        <v>80</v>
      </c>
      <c r="F3" s="322" t="s">
        <v>468</v>
      </c>
      <c r="G3" s="312" t="s">
        <v>469</v>
      </c>
    </row>
    <row r="4" s="132" customFormat="1" ht="22.5" customHeight="1" spans="1:7">
      <c r="A4" s="323" t="s">
        <v>10</v>
      </c>
      <c r="B4" s="194" t="s">
        <v>470</v>
      </c>
      <c r="C4" s="195"/>
      <c r="D4" s="193"/>
      <c r="E4" s="191"/>
      <c r="F4" s="191"/>
      <c r="G4" s="193">
        <f>G5+G7</f>
        <v>2172510</v>
      </c>
    </row>
    <row r="5" ht="22.5" customHeight="1" spans="1:7">
      <c r="A5" s="314" t="s">
        <v>86</v>
      </c>
      <c r="B5" s="196" t="s">
        <v>88</v>
      </c>
      <c r="C5" s="191"/>
      <c r="D5" s="191">
        <v>219384</v>
      </c>
      <c r="E5" s="191"/>
      <c r="F5" s="101"/>
      <c r="G5" s="193">
        <f>SUM(G6:G6)</f>
        <v>601993</v>
      </c>
    </row>
    <row r="6" ht="22.5" customHeight="1" spans="1:7">
      <c r="A6" s="197" t="s">
        <v>471</v>
      </c>
      <c r="B6" s="198" t="s">
        <v>472</v>
      </c>
      <c r="C6" s="199" t="s">
        <v>128</v>
      </c>
      <c r="D6" s="191"/>
      <c r="E6" s="101">
        <v>222137.8</v>
      </c>
      <c r="F6" s="101">
        <v>2.71</v>
      </c>
      <c r="G6" s="120">
        <f t="shared" ref="G6" si="0">ROUND(F6*E6,0)</f>
        <v>601993</v>
      </c>
    </row>
    <row r="7" s="132" customFormat="1" ht="22.5" customHeight="1" spans="1:7">
      <c r="A7" s="314" t="s">
        <v>100</v>
      </c>
      <c r="B7" s="194" t="s">
        <v>473</v>
      </c>
      <c r="C7" s="193"/>
      <c r="D7" s="193"/>
      <c r="E7" s="191"/>
      <c r="F7" s="191"/>
      <c r="G7" s="193">
        <f>G8+G9+G15</f>
        <v>1570517</v>
      </c>
    </row>
    <row r="8" s="186" customFormat="1" ht="22.5" customHeight="1" spans="1:7">
      <c r="A8" s="197" t="s">
        <v>38</v>
      </c>
      <c r="B8" s="183" t="s">
        <v>474</v>
      </c>
      <c r="C8" s="199" t="s">
        <v>184</v>
      </c>
      <c r="D8" s="101"/>
      <c r="E8" s="101">
        <f>1.05*112882</f>
        <v>118526.1</v>
      </c>
      <c r="F8" s="101">
        <v>1.05</v>
      </c>
      <c r="G8" s="120">
        <f>ROUND(F8*E8,0)</f>
        <v>124452</v>
      </c>
    </row>
    <row r="9" s="186" customFormat="1" ht="22.5" customHeight="1" spans="1:7">
      <c r="A9" s="197" t="s">
        <v>40</v>
      </c>
      <c r="B9" s="183" t="s">
        <v>475</v>
      </c>
      <c r="C9" s="199" t="s">
        <v>165</v>
      </c>
      <c r="D9" s="101"/>
      <c r="E9" s="101">
        <f>150+312+216+84+42+192</f>
        <v>996</v>
      </c>
      <c r="F9" s="101"/>
      <c r="G9" s="120">
        <f>SUM(G10:G14)</f>
        <v>1083980</v>
      </c>
    </row>
    <row r="10" s="186" customFormat="1" ht="22.5" customHeight="1" spans="1:7">
      <c r="A10" s="197" t="s">
        <v>471</v>
      </c>
      <c r="B10" s="183" t="s">
        <v>476</v>
      </c>
      <c r="C10" s="200" t="s">
        <v>477</v>
      </c>
      <c r="D10" s="101"/>
      <c r="E10" s="101">
        <v>166</v>
      </c>
      <c r="F10" s="101">
        <v>160</v>
      </c>
      <c r="G10" s="120">
        <f t="shared" ref="G10:G14" si="1">ROUND(F10*E10,0)</f>
        <v>26560</v>
      </c>
    </row>
    <row r="11" s="186" customFormat="1" ht="22.5" customHeight="1" spans="1:7">
      <c r="A11" s="197" t="s">
        <v>478</v>
      </c>
      <c r="B11" s="183" t="s">
        <v>479</v>
      </c>
      <c r="C11" s="200" t="s">
        <v>477</v>
      </c>
      <c r="D11" s="101"/>
      <c r="E11" s="101">
        <v>166</v>
      </c>
      <c r="F11" s="101">
        <v>1300</v>
      </c>
      <c r="G11" s="120">
        <f t="shared" si="1"/>
        <v>215800</v>
      </c>
    </row>
    <row r="12" s="186" customFormat="1" ht="22.5" customHeight="1" spans="1:7">
      <c r="A12" s="197" t="s">
        <v>480</v>
      </c>
      <c r="B12" s="183" t="s">
        <v>481</v>
      </c>
      <c r="C12" s="199" t="s">
        <v>128</v>
      </c>
      <c r="D12" s="101"/>
      <c r="E12" s="101">
        <v>83</v>
      </c>
      <c r="F12" s="101">
        <v>620</v>
      </c>
      <c r="G12" s="120">
        <f t="shared" si="1"/>
        <v>51460</v>
      </c>
    </row>
    <row r="13" s="186" customFormat="1" ht="22.5" customHeight="1" spans="1:7">
      <c r="A13" s="197" t="s">
        <v>482</v>
      </c>
      <c r="B13" s="183" t="s">
        <v>483</v>
      </c>
      <c r="C13" s="199" t="s">
        <v>165</v>
      </c>
      <c r="D13" s="101"/>
      <c r="E13" s="101">
        <v>1162</v>
      </c>
      <c r="F13" s="101">
        <v>392</v>
      </c>
      <c r="G13" s="120">
        <f t="shared" si="1"/>
        <v>455504</v>
      </c>
    </row>
    <row r="14" s="186" customFormat="1" ht="22.5" customHeight="1" spans="1:7">
      <c r="A14" s="197" t="s">
        <v>484</v>
      </c>
      <c r="B14" s="183" t="s">
        <v>485</v>
      </c>
      <c r="C14" s="199" t="s">
        <v>184</v>
      </c>
      <c r="D14" s="101"/>
      <c r="E14" s="101">
        <v>6972</v>
      </c>
      <c r="F14" s="101">
        <v>48</v>
      </c>
      <c r="G14" s="120">
        <f t="shared" si="1"/>
        <v>334656</v>
      </c>
    </row>
    <row r="15" s="186" customFormat="1" ht="22.5" customHeight="1" spans="1:7">
      <c r="A15" s="197" t="s">
        <v>42</v>
      </c>
      <c r="B15" s="183" t="s">
        <v>486</v>
      </c>
      <c r="C15" s="199"/>
      <c r="D15" s="101"/>
      <c r="E15" s="101"/>
      <c r="F15" s="101"/>
      <c r="G15" s="120">
        <f>(G5+G8+G9)*0.2</f>
        <v>362085</v>
      </c>
    </row>
    <row r="16" ht="21" customHeight="1"/>
  </sheetData>
  <autoFilter ref="B1:B96">
    <extLst/>
  </autoFilter>
  <mergeCells count="2">
    <mergeCell ref="A1:G1"/>
    <mergeCell ref="A2:A3"/>
  </mergeCells>
  <printOptions horizontalCentered="1"/>
  <pageMargins left="0.708661417322835" right="0.708661417322835" top="0.590551181102362" bottom="0.59055118110236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8"/>
  <sheetViews>
    <sheetView workbookViewId="0">
      <selection activeCell="A1" sqref="A1:G1"/>
    </sheetView>
  </sheetViews>
  <sheetFormatPr defaultColWidth="9" defaultRowHeight="14.25" outlineLevelRow="7" outlineLevelCol="6"/>
  <cols>
    <col min="1" max="1" width="9.9" customWidth="1"/>
    <col min="2" max="2" width="20.5" customWidth="1"/>
    <col min="3" max="3" width="18.9" customWidth="1"/>
    <col min="4" max="4" width="16.6" customWidth="1"/>
    <col min="5" max="5" width="14.2" customWidth="1"/>
    <col min="6" max="6" width="18.9" customWidth="1"/>
    <col min="7" max="7" width="20.5" customWidth="1"/>
  </cols>
  <sheetData>
    <row r="1" s="172" customFormat="1" ht="52.5" customHeight="1" spans="1:7">
      <c r="A1" s="174" t="s">
        <v>487</v>
      </c>
      <c r="B1" s="174"/>
      <c r="C1" s="174"/>
      <c r="D1" s="174"/>
      <c r="E1" s="174"/>
      <c r="F1" s="174"/>
      <c r="G1" s="174"/>
    </row>
    <row r="2" ht="27" customHeight="1" spans="1:7">
      <c r="A2" s="175" t="s">
        <v>488</v>
      </c>
      <c r="B2" s="175" t="e">
        <f>#REF!</f>
        <v>#REF!</v>
      </c>
      <c r="C2" s="175"/>
      <c r="D2" s="175"/>
      <c r="E2" s="175"/>
      <c r="F2" s="176"/>
      <c r="G2" s="177" t="s">
        <v>489</v>
      </c>
    </row>
    <row r="3" ht="27" customHeight="1" spans="1:7">
      <c r="A3" s="178" t="s">
        <v>378</v>
      </c>
      <c r="B3" s="178" t="s">
        <v>490</v>
      </c>
      <c r="C3" s="178" t="s">
        <v>491</v>
      </c>
      <c r="D3" s="178" t="s">
        <v>492</v>
      </c>
      <c r="E3" s="178" t="s">
        <v>493</v>
      </c>
      <c r="F3" s="178" t="s">
        <v>28</v>
      </c>
      <c r="G3" s="179" t="s">
        <v>5</v>
      </c>
    </row>
    <row r="4" ht="27" customHeight="1" spans="1:7">
      <c r="A4" s="178"/>
      <c r="B4" s="180" t="s">
        <v>471</v>
      </c>
      <c r="C4" s="180" t="s">
        <v>478</v>
      </c>
      <c r="D4" s="180" t="s">
        <v>480</v>
      </c>
      <c r="E4" s="180" t="s">
        <v>482</v>
      </c>
      <c r="F4" s="180" t="s">
        <v>484</v>
      </c>
      <c r="G4" s="180" t="s">
        <v>494</v>
      </c>
    </row>
    <row r="5" s="173" customFormat="1" ht="27" customHeight="1" spans="1:7">
      <c r="A5" s="92">
        <v>1</v>
      </c>
      <c r="B5" s="92" t="s">
        <v>495</v>
      </c>
      <c r="C5" s="181" t="s">
        <v>306</v>
      </c>
      <c r="D5" s="181">
        <v>5</v>
      </c>
      <c r="E5" s="181">
        <v>800</v>
      </c>
      <c r="F5" s="181">
        <f>D5*E5/10000</f>
        <v>0.4</v>
      </c>
      <c r="G5" s="182"/>
    </row>
    <row r="6" s="173" customFormat="1" ht="27" customHeight="1" spans="1:7">
      <c r="A6" s="92">
        <v>2</v>
      </c>
      <c r="B6" s="92" t="s">
        <v>496</v>
      </c>
      <c r="C6" s="181" t="s">
        <v>306</v>
      </c>
      <c r="D6" s="181"/>
      <c r="E6" s="181">
        <v>1200</v>
      </c>
      <c r="F6" s="181">
        <f>D6*E6/10000</f>
        <v>0</v>
      </c>
      <c r="G6" s="182"/>
    </row>
    <row r="7" ht="27" customHeight="1" spans="1:7">
      <c r="A7" s="105"/>
      <c r="B7" s="105"/>
      <c r="C7" s="105"/>
      <c r="D7" s="105"/>
      <c r="E7" s="105"/>
      <c r="F7" s="105"/>
      <c r="G7" s="183"/>
    </row>
    <row r="8" ht="27" customHeight="1" spans="1:7">
      <c r="A8" s="178" t="s">
        <v>497</v>
      </c>
      <c r="B8" s="178"/>
      <c r="C8" s="178" t="s">
        <v>498</v>
      </c>
      <c r="D8" s="178" t="s">
        <v>498</v>
      </c>
      <c r="E8" s="178" t="s">
        <v>498</v>
      </c>
      <c r="F8" s="184">
        <f>F5+F6</f>
        <v>0.4</v>
      </c>
      <c r="G8" s="179"/>
    </row>
  </sheetData>
  <mergeCells count="3">
    <mergeCell ref="A1:G1"/>
    <mergeCell ref="A8:B8"/>
    <mergeCell ref="A3:A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Landdev</Company>
  <Application>Microsoft Excel</Application>
  <HeadingPairs>
    <vt:vector size="2" baseType="variant">
      <vt:variant>
        <vt:lpstr>工作表</vt:lpstr>
      </vt:variant>
      <vt:variant>
        <vt:i4>18</vt:i4>
      </vt:variant>
    </vt:vector>
  </HeadingPairs>
  <TitlesOfParts>
    <vt:vector size="18" baseType="lpstr">
      <vt:lpstr>投资结构表</vt:lpstr>
      <vt:lpstr>总概算表</vt:lpstr>
      <vt:lpstr>Sheet9</vt:lpstr>
      <vt:lpstr>表3-1（总）</vt:lpstr>
      <vt:lpstr>表3-2</vt:lpstr>
      <vt:lpstr>标段划分</vt:lpstr>
      <vt:lpstr>Sheet1</vt:lpstr>
      <vt:lpstr>工程施工费</vt:lpstr>
      <vt:lpstr>表5-4</vt:lpstr>
      <vt:lpstr>表7</vt:lpstr>
      <vt:lpstr>附表1 </vt:lpstr>
      <vt:lpstr>附表2</vt:lpstr>
      <vt:lpstr>附表2-1</vt:lpstr>
      <vt:lpstr>附表3</vt:lpstr>
      <vt:lpstr>附表4</vt:lpstr>
      <vt:lpstr>附表5</vt:lpstr>
      <vt:lpstr>附表6</vt:lpstr>
      <vt:lpstr>费率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土地整理项目预算</dc:title>
  <dc:creator>li</dc:creator>
  <cp:lastModifiedBy>WPS_1178778167</cp:lastModifiedBy>
  <dcterms:created xsi:type="dcterms:W3CDTF">2001-10-20T08:06:00Z</dcterms:created>
  <cp:lastPrinted>2024-01-16T02:39:00Z</cp:lastPrinted>
  <dcterms:modified xsi:type="dcterms:W3CDTF">2024-02-23T03:15:47Z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E0E96479C5654763B2CE37FB458BEA21_13</vt:lpwstr>
  </property>
  <property fmtid="{D5CDD505-2E9C-101B-9397-08002B2CF9AE}" pid="3" name="KSOProductBuildVer">
    <vt:lpwstr>2052-12.1.0.16250</vt:lpwstr>
  </property>
</Properties>
</file>